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94419D3A-43DB-43F3-B298-0DD78702B4C6}" xr6:coauthVersionLast="47" xr6:coauthVersionMax="47" xr10:uidLastSave="{00000000-0000-0000-0000-000000000000}"/>
  <bookViews>
    <workbookView xWindow="28680" yWindow="-120" windowWidth="29040" windowHeight="15720" firstSheet="10" activeTab="17"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Calculating Shutdown" sheetId="92"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 r:id="rId43"/>
  </externalReferences>
  <calcPr calcId="191029"/>
  <pivotCaches>
    <pivotCache cacheId="0" r:id="rId4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92" l="1"/>
  <c r="G13" i="92" s="1"/>
  <c r="G10" i="92" l="1"/>
  <c r="G11" i="92"/>
  <c r="F10" i="92"/>
  <c r="E10" i="92"/>
  <c r="D10" i="92"/>
  <c r="U13" i="20"/>
  <c r="V13" i="20"/>
  <c r="W13" i="20"/>
  <c r="X13" i="20"/>
  <c r="Y13" i="20"/>
  <c r="Z13" i="20"/>
  <c r="AA13" i="20"/>
  <c r="AG10" i="20"/>
  <c r="M19" i="20"/>
  <c r="N19" i="20"/>
  <c r="O19" i="20"/>
  <c r="P19" i="20"/>
  <c r="Q19" i="20"/>
  <c r="R19" i="20"/>
  <c r="S19" i="20"/>
  <c r="T19" i="20"/>
  <c r="AB19" i="20"/>
  <c r="V18" i="20"/>
  <c r="W18" i="20"/>
  <c r="W19" i="20" s="1"/>
  <c r="X18" i="20"/>
  <c r="X19" i="20" s="1"/>
  <c r="Y18" i="20"/>
  <c r="Z19" i="20" s="1"/>
  <c r="Z18" i="20"/>
  <c r="AA18" i="20"/>
  <c r="AA19" i="20" s="1"/>
  <c r="AB18" i="20"/>
  <c r="AC18" i="20"/>
  <c r="AC19" i="20" s="1"/>
  <c r="AD18" i="20"/>
  <c r="AE18" i="20"/>
  <c r="AE19" i="20" s="1"/>
  <c r="AF18" i="20"/>
  <c r="AF19" i="20" s="1"/>
  <c r="AG18" i="20"/>
  <c r="AG19" i="20" s="1"/>
  <c r="AH18" i="20"/>
  <c r="AH19" i="20" s="1"/>
  <c r="AI18" i="20"/>
  <c r="AI19" i="20" s="1"/>
  <c r="AJ18" i="20"/>
  <c r="AJ19" i="20" s="1"/>
  <c r="AK18" i="20"/>
  <c r="AK19" i="20" s="1"/>
  <c r="AL18" i="20"/>
  <c r="AL19" i="20" s="1"/>
  <c r="AM18" i="20"/>
  <c r="AN18" i="20"/>
  <c r="AN19" i="20" s="1"/>
  <c r="U18" i="20"/>
  <c r="U19" i="20" s="1"/>
  <c r="E23" i="92"/>
  <c r="E22" i="92" s="1"/>
  <c r="D25" i="92"/>
  <c r="E25" i="92" s="1"/>
  <c r="F25" i="92" s="1"/>
  <c r="D21" i="92"/>
  <c r="D11" i="92" s="1"/>
  <c r="E7" i="92"/>
  <c r="E13" i="92" s="1"/>
  <c r="F7" i="92"/>
  <c r="F13" i="92" s="1"/>
  <c r="D13" i="92"/>
  <c r="D16" i="92"/>
  <c r="D17" i="92"/>
  <c r="D18" i="92" s="1"/>
  <c r="AD19" i="20" l="1"/>
  <c r="V19" i="20"/>
  <c r="AM19" i="20"/>
  <c r="Y19" i="20"/>
  <c r="E21" i="92"/>
  <c r="E11" i="92"/>
  <c r="F21" i="92" l="1"/>
  <c r="F11" i="92" s="1"/>
  <c r="AF9" i="20" l="1"/>
  <c r="K21" i="49"/>
  <c r="AM14" i="49" l="1"/>
  <c r="AL14" i="49"/>
  <c r="AK14" i="49"/>
  <c r="AJ14" i="49"/>
  <c r="AI14" i="49"/>
  <c r="AH14" i="49"/>
  <c r="AG14" i="49"/>
  <c r="AF40" i="70"/>
  <c r="C4" i="35"/>
  <c r="C7" i="35"/>
  <c r="D11" i="55" s="1"/>
  <c r="C9" i="35"/>
  <c r="C13" i="35"/>
  <c r="C14" i="35"/>
  <c r="C15" i="35"/>
  <c r="C16" i="35"/>
  <c r="D20" i="55" s="1"/>
  <c r="D88" i="55" s="1"/>
  <c r="C23" i="35"/>
  <c r="C24" i="35"/>
  <c r="C25" i="35"/>
  <c r="AR93" i="80"/>
  <c r="AR90" i="80"/>
  <c r="AR92" i="80"/>
  <c r="K7" i="35"/>
  <c r="K9" i="35"/>
  <c r="K13" i="35"/>
  <c r="L17" i="55" s="1"/>
  <c r="K14" i="35"/>
  <c r="L18" i="55" s="1"/>
  <c r="K15" i="35"/>
  <c r="L19" i="55" s="1"/>
  <c r="K16" i="35"/>
  <c r="L20" i="55" s="1"/>
  <c r="K23" i="35"/>
  <c r="K24" i="35"/>
  <c r="K25" i="35"/>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F12" i="21"/>
  <c r="V11" i="21"/>
  <c r="U11" i="21"/>
  <c r="T11" i="21"/>
  <c r="S11" i="21"/>
  <c r="R11" i="21"/>
  <c r="G81" i="21" s="1"/>
  <c r="Q11" i="21"/>
  <c r="P11" i="21"/>
  <c r="O11" i="21"/>
  <c r="N11" i="21"/>
  <c r="M11" i="21"/>
  <c r="L11" i="21"/>
  <c r="K11" i="21"/>
  <c r="J11" i="21"/>
  <c r="E81" i="21" s="1"/>
  <c r="I11" i="21"/>
  <c r="H11" i="21"/>
  <c r="G11" i="21"/>
  <c r="F11" i="21"/>
  <c r="D81" i="21" s="1"/>
  <c r="D11" i="21"/>
  <c r="C11" i="21"/>
  <c r="V10" i="21"/>
  <c r="I10" i="21"/>
  <c r="H10" i="21"/>
  <c r="G10" i="21"/>
  <c r="F10" i="21"/>
  <c r="D80" i="21" s="1"/>
  <c r="V9" i="21"/>
  <c r="U9" i="21"/>
  <c r="T9" i="21"/>
  <c r="R9" i="21"/>
  <c r="P9" i="21"/>
  <c r="O9" i="21"/>
  <c r="N9" i="21"/>
  <c r="D9" i="21"/>
  <c r="C8" i="21"/>
  <c r="V7" i="21"/>
  <c r="U7" i="21"/>
  <c r="T7" i="21"/>
  <c r="F7" i="21"/>
  <c r="T6" i="21"/>
  <c r="S6" i="21"/>
  <c r="R6" i="21"/>
  <c r="G76" i="21" s="1"/>
  <c r="P6" i="21"/>
  <c r="N6" i="21"/>
  <c r="M6" i="21"/>
  <c r="L6" i="21"/>
  <c r="S5" i="21"/>
  <c r="AC32" i="75" s="1"/>
  <c r="R5" i="21"/>
  <c r="Q5" i="21"/>
  <c r="P5" i="21"/>
  <c r="O5" i="21"/>
  <c r="Y32" i="75" s="1"/>
  <c r="N5" i="21"/>
  <c r="F75" i="21" s="1"/>
  <c r="N4" i="21"/>
  <c r="H4" i="21"/>
  <c r="G4" i="21"/>
  <c r="Q33" i="75" s="1"/>
  <c r="F4" i="21"/>
  <c r="O3" i="21"/>
  <c r="L3" i="21"/>
  <c r="K3" i="21"/>
  <c r="C3" i="21"/>
  <c r="D1" i="21"/>
  <c r="C19" i="6"/>
  <c r="B19" i="6"/>
  <c r="T17" i="6"/>
  <c r="S17" i="6"/>
  <c r="R17" i="6"/>
  <c r="Q17" i="6"/>
  <c r="U16" i="6"/>
  <c r="T16" i="6"/>
  <c r="S16" i="6"/>
  <c r="V49" i="21" s="1"/>
  <c r="R16" i="6"/>
  <c r="U49" i="21" s="1"/>
  <c r="Q16" i="6"/>
  <c r="T49" i="21" s="1"/>
  <c r="P16" i="6"/>
  <c r="S49" i="21" s="1"/>
  <c r="O16" i="6"/>
  <c r="R49" i="21" s="1"/>
  <c r="N16" i="6"/>
  <c r="C9" i="6"/>
  <c r="U6" i="6"/>
  <c r="V3" i="21" s="1"/>
  <c r="T6" i="6"/>
  <c r="S6" i="6"/>
  <c r="R6" i="6"/>
  <c r="S3" i="21" s="1"/>
  <c r="Q6" i="6"/>
  <c r="R3" i="21" s="1"/>
  <c r="P6" i="6"/>
  <c r="Q3" i="21" s="1"/>
  <c r="O6" i="6"/>
  <c r="P3" i="21" s="1"/>
  <c r="N6" i="6"/>
  <c r="M6" i="6"/>
  <c r="L6" i="6"/>
  <c r="M3" i="21" s="1"/>
  <c r="K6" i="6"/>
  <c r="J6" i="6"/>
  <c r="I6" i="6"/>
  <c r="J3" i="21" s="1"/>
  <c r="H6" i="6"/>
  <c r="G6" i="6"/>
  <c r="F6" i="6"/>
  <c r="E6" i="6"/>
  <c r="F3" i="21" s="1"/>
  <c r="D6" i="6"/>
  <c r="C6" i="6"/>
  <c r="B6" i="6"/>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N15" i="5"/>
  <c r="M15" i="5"/>
  <c r="K15" i="5"/>
  <c r="J15" i="5"/>
  <c r="I15" i="5"/>
  <c r="H15" i="5"/>
  <c r="G15" i="5"/>
  <c r="D15" i="5"/>
  <c r="C15" i="5"/>
  <c r="F15" i="5" s="1"/>
  <c r="B15" i="5"/>
  <c r="E15" i="5" s="1"/>
  <c r="N14" i="5"/>
  <c r="M14" i="5"/>
  <c r="K14" i="5"/>
  <c r="J14" i="5"/>
  <c r="I14" i="5"/>
  <c r="H14" i="5"/>
  <c r="G14" i="5"/>
  <c r="E14" i="5"/>
  <c r="D14" i="5"/>
  <c r="C14" i="5"/>
  <c r="F14" i="5" s="1"/>
  <c r="B14" i="5"/>
  <c r="N13" i="5"/>
  <c r="M13" i="5"/>
  <c r="K13" i="5"/>
  <c r="J13" i="5"/>
  <c r="I13" i="5"/>
  <c r="H13" i="5"/>
  <c r="G13" i="5"/>
  <c r="F13" i="5"/>
  <c r="D13" i="5"/>
  <c r="C13" i="5"/>
  <c r="B13" i="5"/>
  <c r="E13" i="5" s="1"/>
  <c r="N12" i="5"/>
  <c r="M12" i="5"/>
  <c r="K12" i="5"/>
  <c r="J12" i="5"/>
  <c r="I12" i="5"/>
  <c r="H12" i="5"/>
  <c r="G12" i="5"/>
  <c r="D12" i="5"/>
  <c r="F12" i="5" s="1"/>
  <c r="C12" i="5"/>
  <c r="B12" i="5"/>
  <c r="E12" i="5" s="1"/>
  <c r="N11" i="5"/>
  <c r="M11" i="5"/>
  <c r="K11" i="5"/>
  <c r="J11" i="5"/>
  <c r="I11" i="5"/>
  <c r="H11" i="5"/>
  <c r="G11" i="5"/>
  <c r="D11" i="5"/>
  <c r="C11" i="5"/>
  <c r="B11" i="5"/>
  <c r="E11" i="5" s="1"/>
  <c r="N10" i="5"/>
  <c r="M10" i="5"/>
  <c r="V12" i="21" s="1"/>
  <c r="K10" i="5"/>
  <c r="J10" i="5"/>
  <c r="I10" i="5"/>
  <c r="H10" i="5"/>
  <c r="G10" i="5"/>
  <c r="V6" i="21" s="1"/>
  <c r="E10" i="5"/>
  <c r="V4" i="21" s="1"/>
  <c r="D10" i="5"/>
  <c r="C10" i="5"/>
  <c r="B10" i="5"/>
  <c r="N9" i="5"/>
  <c r="M9" i="5"/>
  <c r="K9" i="5"/>
  <c r="U10" i="21" s="1"/>
  <c r="J9" i="5"/>
  <c r="S9" i="21" s="1"/>
  <c r="I9" i="5"/>
  <c r="H9" i="5"/>
  <c r="G9" i="5"/>
  <c r="U6" i="21" s="1"/>
  <c r="D9" i="5"/>
  <c r="C9" i="5"/>
  <c r="F9" i="5" s="1"/>
  <c r="B9" i="5"/>
  <c r="E9" i="5" s="1"/>
  <c r="N8" i="5"/>
  <c r="M8" i="5"/>
  <c r="K8" i="5"/>
  <c r="J8" i="5"/>
  <c r="Q9" i="21" s="1"/>
  <c r="I8" i="5"/>
  <c r="H8" i="5"/>
  <c r="G8" i="5"/>
  <c r="Q6" i="21" s="1"/>
  <c r="F8" i="5"/>
  <c r="E8" i="5"/>
  <c r="D8" i="5"/>
  <c r="C8" i="5"/>
  <c r="N3" i="21" s="1"/>
  <c r="B8" i="5"/>
  <c r="N7" i="5"/>
  <c r="M7" i="5"/>
  <c r="K7" i="5"/>
  <c r="J7" i="5"/>
  <c r="J9" i="21" s="1"/>
  <c r="I7" i="5"/>
  <c r="H7" i="5"/>
  <c r="G7" i="5"/>
  <c r="D7" i="5"/>
  <c r="D16" i="5" s="1"/>
  <c r="C7" i="5"/>
  <c r="B7" i="5"/>
  <c r="N6" i="5"/>
  <c r="M6" i="5"/>
  <c r="K6" i="5"/>
  <c r="J6" i="5"/>
  <c r="F9" i="21" s="1"/>
  <c r="I6" i="5"/>
  <c r="H6" i="5"/>
  <c r="I7" i="21" s="1"/>
  <c r="G6" i="5"/>
  <c r="E6" i="5"/>
  <c r="I4" i="21" s="1"/>
  <c r="S23" i="75" s="1"/>
  <c r="D6" i="5"/>
  <c r="C6" i="5"/>
  <c r="H3" i="21" s="1"/>
  <c r="B6" i="5"/>
  <c r="N5" i="5"/>
  <c r="E13" i="21" s="1"/>
  <c r="E14" i="21" s="1"/>
  <c r="E15" i="21" s="1"/>
  <c r="M5" i="5"/>
  <c r="C12" i="21" s="1"/>
  <c r="L5" i="5"/>
  <c r="K5" i="5"/>
  <c r="C10" i="21" s="1"/>
  <c r="J5" i="5"/>
  <c r="I5" i="5"/>
  <c r="H5" i="5"/>
  <c r="C7" i="21" s="1"/>
  <c r="G5" i="5"/>
  <c r="C6" i="21" s="1"/>
  <c r="D5" i="5"/>
  <c r="C5" i="5"/>
  <c r="B5" i="5"/>
  <c r="F17" i="27"/>
  <c r="F16" i="27"/>
  <c r="F15" i="27"/>
  <c r="F14" i="27"/>
  <c r="F13" i="27"/>
  <c r="F12" i="27"/>
  <c r="F11" i="27"/>
  <c r="F9" i="27"/>
  <c r="F8" i="27"/>
  <c r="F7" i="27"/>
  <c r="F6" i="27"/>
  <c r="F5" i="27"/>
  <c r="B3" i="27"/>
  <c r="F194" i="65"/>
  <c r="G194" i="65" s="1"/>
  <c r="H194" i="65" s="1"/>
  <c r="I194" i="65" s="1"/>
  <c r="K193" i="65"/>
  <c r="L193" i="65" s="1"/>
  <c r="M193" i="65" s="1"/>
  <c r="J193" i="65"/>
  <c r="F193" i="65"/>
  <c r="G193" i="65" s="1"/>
  <c r="H193" i="65" s="1"/>
  <c r="I193" i="65" s="1"/>
  <c r="D193" i="65"/>
  <c r="E193" i="65" s="1"/>
  <c r="P191" i="65"/>
  <c r="Q191" i="65" s="1"/>
  <c r="O191" i="65"/>
  <c r="R190" i="65"/>
  <c r="S190" i="65" s="1"/>
  <c r="P190" i="65"/>
  <c r="Q190" i="65" s="1"/>
  <c r="O190" i="65"/>
  <c r="L189" i="65"/>
  <c r="M189" i="65" s="1"/>
  <c r="J189" i="65"/>
  <c r="K189" i="65" s="1"/>
  <c r="S188" i="65"/>
  <c r="R188" i="65"/>
  <c r="O188" i="65"/>
  <c r="P188" i="65" s="1"/>
  <c r="Q188" i="65" s="1"/>
  <c r="N188" i="65"/>
  <c r="J188" i="65"/>
  <c r="K188" i="65" s="1"/>
  <c r="L188" i="65" s="1"/>
  <c r="M188" i="65" s="1"/>
  <c r="F188" i="65"/>
  <c r="G188" i="65" s="1"/>
  <c r="H188" i="65" s="1"/>
  <c r="I188" i="65" s="1"/>
  <c r="E188" i="65"/>
  <c r="D188" i="65"/>
  <c r="J187" i="65"/>
  <c r="K187" i="65" s="1"/>
  <c r="L187" i="65" s="1"/>
  <c r="M187" i="65" s="1"/>
  <c r="F187" i="65"/>
  <c r="G187" i="65" s="1"/>
  <c r="H187" i="65" s="1"/>
  <c r="I187" i="65" s="1"/>
  <c r="O185" i="65"/>
  <c r="P185" i="65" s="1"/>
  <c r="Q185" i="65" s="1"/>
  <c r="R184" i="65"/>
  <c r="S184" i="65" s="1"/>
  <c r="P184" i="65"/>
  <c r="Q184" i="65" s="1"/>
  <c r="O184" i="65"/>
  <c r="J184" i="65"/>
  <c r="K184" i="65" s="1"/>
  <c r="L184" i="65" s="1"/>
  <c r="M184" i="65" s="1"/>
  <c r="F184" i="65"/>
  <c r="G184" i="65" s="1"/>
  <c r="H184" i="65" s="1"/>
  <c r="I184" i="65" s="1"/>
  <c r="N179" i="65"/>
  <c r="M179" i="65"/>
  <c r="L179" i="65"/>
  <c r="K179" i="65"/>
  <c r="F179" i="65"/>
  <c r="J194" i="65" s="1"/>
  <c r="K194" i="65" s="1"/>
  <c r="L194" i="65" s="1"/>
  <c r="M194" i="65" s="1"/>
  <c r="E179" i="65"/>
  <c r="D179" i="65"/>
  <c r="D194" i="65" s="1"/>
  <c r="E194" i="65" s="1"/>
  <c r="N178" i="65"/>
  <c r="K178" i="65"/>
  <c r="G178" i="65"/>
  <c r="N193" i="65" s="1"/>
  <c r="O193" i="65" s="1"/>
  <c r="P193" i="65" s="1"/>
  <c r="Q193" i="65" s="1"/>
  <c r="D178" i="65"/>
  <c r="O177" i="65"/>
  <c r="N177" i="65"/>
  <c r="M177" i="65"/>
  <c r="J177" i="65"/>
  <c r="H177" i="65"/>
  <c r="R192" i="65" s="1"/>
  <c r="S192" i="65" s="1"/>
  <c r="G177" i="65"/>
  <c r="N192" i="65" s="1"/>
  <c r="O192" i="65" s="1"/>
  <c r="P192" i="65" s="1"/>
  <c r="Q192" i="65" s="1"/>
  <c r="K176" i="65"/>
  <c r="I176" i="65"/>
  <c r="H176" i="65"/>
  <c r="R191" i="65" s="1"/>
  <c r="S191" i="65" s="1"/>
  <c r="F176" i="65"/>
  <c r="J191" i="65" s="1"/>
  <c r="K191" i="65" s="1"/>
  <c r="E176" i="65"/>
  <c r="F191" i="65" s="1"/>
  <c r="G191" i="65" s="1"/>
  <c r="D176" i="65"/>
  <c r="D191" i="65" s="1"/>
  <c r="E191" i="65" s="1"/>
  <c r="S40" i="75" s="1"/>
  <c r="O175" i="65"/>
  <c r="N175" i="65"/>
  <c r="M175" i="65"/>
  <c r="G175" i="65"/>
  <c r="N190" i="65" s="1"/>
  <c r="N174" i="65"/>
  <c r="M174" i="65"/>
  <c r="L174" i="65"/>
  <c r="K174" i="65"/>
  <c r="J174" i="65"/>
  <c r="I174" i="65"/>
  <c r="D174" i="65"/>
  <c r="D189" i="65" s="1"/>
  <c r="E189" i="65" s="1"/>
  <c r="O172" i="65"/>
  <c r="J172" i="65"/>
  <c r="G172" i="65"/>
  <c r="N187" i="65" s="1"/>
  <c r="O187" i="65" s="1"/>
  <c r="P187" i="65" s="1"/>
  <c r="Q187" i="65" s="1"/>
  <c r="F172" i="65"/>
  <c r="E172" i="65"/>
  <c r="L171" i="65"/>
  <c r="K171" i="65"/>
  <c r="I171" i="65"/>
  <c r="H171" i="65"/>
  <c r="R186" i="65" s="1"/>
  <c r="S186" i="65" s="1"/>
  <c r="F171" i="65"/>
  <c r="J186" i="65" s="1"/>
  <c r="K186" i="65" s="1"/>
  <c r="L186" i="65" s="1"/>
  <c r="M186" i="65" s="1"/>
  <c r="O170" i="65"/>
  <c r="K170" i="65"/>
  <c r="H170" i="65"/>
  <c r="R185" i="65" s="1"/>
  <c r="S185" i="65" s="1"/>
  <c r="G170" i="65"/>
  <c r="N185" i="65" s="1"/>
  <c r="F170" i="65"/>
  <c r="J185" i="65" s="1"/>
  <c r="K185" i="65" s="1"/>
  <c r="L185" i="65" s="1"/>
  <c r="M185" i="65" s="1"/>
  <c r="E170" i="65"/>
  <c r="F185" i="65" s="1"/>
  <c r="G185" i="65" s="1"/>
  <c r="H185" i="65" s="1"/>
  <c r="I185" i="65" s="1"/>
  <c r="O169" i="65"/>
  <c r="N169" i="65"/>
  <c r="M169" i="65"/>
  <c r="L169" i="65"/>
  <c r="K169" i="65"/>
  <c r="J169" i="65"/>
  <c r="I169" i="65"/>
  <c r="H169" i="65"/>
  <c r="G169" i="65"/>
  <c r="N184" i="65" s="1"/>
  <c r="F169" i="65"/>
  <c r="E169" i="65"/>
  <c r="D169" i="65"/>
  <c r="D184" i="65" s="1"/>
  <c r="E184" i="65" s="1"/>
  <c r="O85" i="65"/>
  <c r="O178" i="65" s="1"/>
  <c r="N85" i="65"/>
  <c r="M85" i="65"/>
  <c r="M178" i="65" s="1"/>
  <c r="L85" i="65"/>
  <c r="L178" i="65" s="1"/>
  <c r="K85" i="65"/>
  <c r="J85" i="65"/>
  <c r="J178" i="65" s="1"/>
  <c r="I85" i="65"/>
  <c r="I178" i="65" s="1"/>
  <c r="H85" i="65"/>
  <c r="H178" i="65" s="1"/>
  <c r="R193" i="65" s="1"/>
  <c r="S193" i="65" s="1"/>
  <c r="G85" i="65"/>
  <c r="F85" i="65"/>
  <c r="F178" i="65" s="1"/>
  <c r="E85" i="65"/>
  <c r="E178" i="65" s="1"/>
  <c r="D85" i="65"/>
  <c r="O84" i="65"/>
  <c r="N84" i="65"/>
  <c r="M84" i="65"/>
  <c r="L84" i="65"/>
  <c r="L177" i="65" s="1"/>
  <c r="K84" i="65"/>
  <c r="K177" i="65" s="1"/>
  <c r="J84" i="65"/>
  <c r="I84" i="65"/>
  <c r="I177" i="65" s="1"/>
  <c r="H84" i="65"/>
  <c r="G84" i="65"/>
  <c r="F84" i="65"/>
  <c r="F177" i="65" s="1"/>
  <c r="J192" i="65" s="1"/>
  <c r="K192" i="65" s="1"/>
  <c r="L192" i="65" s="1"/>
  <c r="M192" i="65" s="1"/>
  <c r="E84" i="65"/>
  <c r="E177" i="65" s="1"/>
  <c r="F192" i="65" s="1"/>
  <c r="G192" i="65" s="1"/>
  <c r="H192" i="65" s="1"/>
  <c r="I192" i="65" s="1"/>
  <c r="D84" i="65"/>
  <c r="D177" i="65" s="1"/>
  <c r="D192" i="65" s="1"/>
  <c r="E192" i="65" s="1"/>
  <c r="O83" i="65"/>
  <c r="O179" i="65" s="1"/>
  <c r="N83" i="65"/>
  <c r="M83" i="65"/>
  <c r="L83" i="65"/>
  <c r="K83" i="65"/>
  <c r="J83" i="65"/>
  <c r="J179" i="65" s="1"/>
  <c r="I83" i="65"/>
  <c r="I179" i="65" s="1"/>
  <c r="H83" i="65"/>
  <c r="H179" i="65" s="1"/>
  <c r="R194" i="65" s="1"/>
  <c r="S194" i="65" s="1"/>
  <c r="G83" i="65"/>
  <c r="G179" i="65" s="1"/>
  <c r="N194" i="65" s="1"/>
  <c r="O194" i="65" s="1"/>
  <c r="P194" i="65" s="1"/>
  <c r="Q194" i="65" s="1"/>
  <c r="F83" i="65"/>
  <c r="E83" i="65"/>
  <c r="D83" i="65"/>
  <c r="O74" i="65"/>
  <c r="N74" i="65"/>
  <c r="N172" i="65" s="1"/>
  <c r="M74" i="65"/>
  <c r="M172" i="65" s="1"/>
  <c r="L74" i="65"/>
  <c r="L172" i="65" s="1"/>
  <c r="K74" i="65"/>
  <c r="K172" i="65" s="1"/>
  <c r="J74" i="65"/>
  <c r="I74" i="65"/>
  <c r="I172" i="65" s="1"/>
  <c r="H74" i="65"/>
  <c r="H172" i="65" s="1"/>
  <c r="R187" i="65" s="1"/>
  <c r="S187" i="65" s="1"/>
  <c r="G74" i="65"/>
  <c r="F74" i="65"/>
  <c r="E74" i="65"/>
  <c r="D74" i="65"/>
  <c r="D172" i="65" s="1"/>
  <c r="D187" i="65" s="1"/>
  <c r="E187" i="65" s="1"/>
  <c r="S28" i="30" s="1"/>
  <c r="O73" i="65"/>
  <c r="O176" i="65" s="1"/>
  <c r="N73" i="65"/>
  <c r="N176" i="65" s="1"/>
  <c r="M73" i="65"/>
  <c r="M176" i="65" s="1"/>
  <c r="L73" i="65"/>
  <c r="L176" i="65" s="1"/>
  <c r="K73" i="65"/>
  <c r="J73" i="65"/>
  <c r="J176" i="65" s="1"/>
  <c r="I73" i="65"/>
  <c r="H73" i="65"/>
  <c r="G73" i="65"/>
  <c r="G176" i="65" s="1"/>
  <c r="N191" i="65" s="1"/>
  <c r="F73" i="65"/>
  <c r="E73" i="65"/>
  <c r="D73" i="65"/>
  <c r="O72" i="65"/>
  <c r="N72" i="65"/>
  <c r="M72" i="65"/>
  <c r="L72" i="65"/>
  <c r="L175" i="65" s="1"/>
  <c r="K72" i="65"/>
  <c r="K175" i="65" s="1"/>
  <c r="J72" i="65"/>
  <c r="J175" i="65" s="1"/>
  <c r="I72" i="65"/>
  <c r="I175" i="65" s="1"/>
  <c r="H72" i="65"/>
  <c r="H175" i="65" s="1"/>
  <c r="G72" i="65"/>
  <c r="F72" i="65"/>
  <c r="F175" i="65" s="1"/>
  <c r="J190" i="65" s="1"/>
  <c r="K190" i="65" s="1"/>
  <c r="L190" i="65" s="1"/>
  <c r="M190" i="65" s="1"/>
  <c r="E72" i="65"/>
  <c r="E175" i="65" s="1"/>
  <c r="F190" i="65" s="1"/>
  <c r="G190" i="65" s="1"/>
  <c r="H190" i="65" s="1"/>
  <c r="I190" i="65" s="1"/>
  <c r="D72" i="65"/>
  <c r="D175" i="65" s="1"/>
  <c r="D190" i="65" s="1"/>
  <c r="E190" i="65" s="1"/>
  <c r="O71" i="65"/>
  <c r="O174" i="65" s="1"/>
  <c r="N71" i="65"/>
  <c r="M71" i="65"/>
  <c r="L71" i="65"/>
  <c r="K71" i="65"/>
  <c r="J71" i="65"/>
  <c r="I71" i="65"/>
  <c r="H71" i="65"/>
  <c r="H174" i="65" s="1"/>
  <c r="R189" i="65" s="1"/>
  <c r="S189" i="65" s="1"/>
  <c r="G71" i="65"/>
  <c r="G174" i="65" s="1"/>
  <c r="N189" i="65" s="1"/>
  <c r="O189" i="65" s="1"/>
  <c r="P189" i="65" s="1"/>
  <c r="Q189" i="65" s="1"/>
  <c r="F71" i="65"/>
  <c r="F174" i="65" s="1"/>
  <c r="E71" i="65"/>
  <c r="E174" i="65" s="1"/>
  <c r="F189" i="65" s="1"/>
  <c r="G189" i="65" s="1"/>
  <c r="H189" i="65" s="1"/>
  <c r="I189" i="65" s="1"/>
  <c r="D71" i="65"/>
  <c r="O70" i="65"/>
  <c r="N70" i="65"/>
  <c r="N170" i="65" s="1"/>
  <c r="M70" i="65"/>
  <c r="M170" i="65" s="1"/>
  <c r="L70" i="65"/>
  <c r="L170" i="65" s="1"/>
  <c r="K70" i="65"/>
  <c r="J70" i="65"/>
  <c r="J170" i="65" s="1"/>
  <c r="I70" i="65"/>
  <c r="I170" i="65" s="1"/>
  <c r="H70" i="65"/>
  <c r="G70" i="65"/>
  <c r="F70" i="65"/>
  <c r="E70" i="65"/>
  <c r="D70" i="65"/>
  <c r="D170" i="65" s="1"/>
  <c r="D185" i="65" s="1"/>
  <c r="E185" i="65" s="1"/>
  <c r="O69" i="65"/>
  <c r="O171" i="65" s="1"/>
  <c r="N69" i="65"/>
  <c r="N171" i="65" s="1"/>
  <c r="M69" i="65"/>
  <c r="M171" i="65" s="1"/>
  <c r="L69" i="65"/>
  <c r="K69" i="65"/>
  <c r="J69" i="65"/>
  <c r="J171" i="65" s="1"/>
  <c r="I69" i="65"/>
  <c r="H69" i="65"/>
  <c r="G69" i="65"/>
  <c r="G171" i="65" s="1"/>
  <c r="N186" i="65" s="1"/>
  <c r="O186" i="65" s="1"/>
  <c r="P186" i="65" s="1"/>
  <c r="Q186" i="65" s="1"/>
  <c r="F69" i="65"/>
  <c r="E69" i="65"/>
  <c r="E171" i="65" s="1"/>
  <c r="F186" i="65" s="1"/>
  <c r="G186" i="65" s="1"/>
  <c r="H186" i="65" s="1"/>
  <c r="I186" i="65" s="1"/>
  <c r="D69" i="65"/>
  <c r="D171" i="65" s="1"/>
  <c r="D186" i="65" s="1"/>
  <c r="E186" i="65" s="1"/>
  <c r="M11" i="29"/>
  <c r="O10" i="29"/>
  <c r="O18" i="75" s="1"/>
  <c r="T9" i="29"/>
  <c r="T10" i="29" s="1"/>
  <c r="S9" i="29"/>
  <c r="S10" i="29" s="1"/>
  <c r="R9" i="29"/>
  <c r="R10" i="29" s="1"/>
  <c r="Q9" i="29"/>
  <c r="Q10" i="29" s="1"/>
  <c r="P9" i="29"/>
  <c r="P10" i="29" s="1"/>
  <c r="P18" i="75" s="1"/>
  <c r="O9" i="29"/>
  <c r="N9" i="29"/>
  <c r="N10" i="29" s="1"/>
  <c r="M9" i="29"/>
  <c r="M10" i="29" s="1"/>
  <c r="L9" i="29"/>
  <c r="L11" i="29" s="1"/>
  <c r="L18" i="75" s="1"/>
  <c r="K9" i="29"/>
  <c r="K11" i="29" s="1"/>
  <c r="K18" i="75" s="1"/>
  <c r="J9" i="29"/>
  <c r="J11" i="29" s="1"/>
  <c r="J18" i="75" s="1"/>
  <c r="T13" i="40"/>
  <c r="S13" i="40"/>
  <c r="R13" i="40"/>
  <c r="Q13" i="40"/>
  <c r="P13" i="40"/>
  <c r="P14" i="40" s="1"/>
  <c r="P17" i="40" s="1"/>
  <c r="O13" i="40"/>
  <c r="N13" i="40"/>
  <c r="M13" i="40"/>
  <c r="L13" i="40"/>
  <c r="K13" i="40"/>
  <c r="J13" i="40"/>
  <c r="T12" i="40"/>
  <c r="S12" i="40"/>
  <c r="R12" i="40"/>
  <c r="Q12" i="40"/>
  <c r="P12" i="40"/>
  <c r="O12" i="40"/>
  <c r="N12" i="40"/>
  <c r="M12" i="40"/>
  <c r="L12" i="40"/>
  <c r="K12" i="40"/>
  <c r="J12" i="40"/>
  <c r="T11" i="40"/>
  <c r="T21" i="75" s="1"/>
  <c r="S11" i="40"/>
  <c r="S21" i="75" s="1"/>
  <c r="R11" i="40"/>
  <c r="R23" i="82" s="1"/>
  <c r="Q11" i="40"/>
  <c r="Q21" i="75" s="1"/>
  <c r="P11" i="40"/>
  <c r="P23" i="82" s="1"/>
  <c r="O11" i="40"/>
  <c r="O21" i="59" s="1"/>
  <c r="N11" i="40"/>
  <c r="M11" i="40"/>
  <c r="M21" i="59" s="1"/>
  <c r="L11" i="40"/>
  <c r="L21" i="75" s="1"/>
  <c r="L38" i="75" s="1"/>
  <c r="K11" i="40"/>
  <c r="K21" i="75" s="1"/>
  <c r="J11" i="40"/>
  <c r="L67" i="38"/>
  <c r="L69" i="38" s="1"/>
  <c r="L65" i="38"/>
  <c r="L64" i="38"/>
  <c r="L66" i="38" s="1"/>
  <c r="N55" i="38"/>
  <c r="P54" i="38"/>
  <c r="O54" i="38"/>
  <c r="N54" i="38"/>
  <c r="M54" i="38"/>
  <c r="M55" i="38" s="1"/>
  <c r="L54" i="38"/>
  <c r="K54" i="38"/>
  <c r="J54" i="38"/>
  <c r="P53" i="38"/>
  <c r="P28" i="59" s="1"/>
  <c r="O53" i="38"/>
  <c r="O28" i="82" s="1"/>
  <c r="N53" i="38"/>
  <c r="N22" i="75" s="1"/>
  <c r="M53" i="38"/>
  <c r="I65" i="38" s="1"/>
  <c r="L53" i="38"/>
  <c r="L55" i="38" s="1"/>
  <c r="N48" i="38" s="1"/>
  <c r="K53" i="38"/>
  <c r="K22" i="75" s="1"/>
  <c r="J53" i="38"/>
  <c r="J28" i="59" s="1"/>
  <c r="J45" i="38"/>
  <c r="J44" i="38"/>
  <c r="Q44" i="38" s="1"/>
  <c r="S43" i="38"/>
  <c r="S44" i="38" s="1"/>
  <c r="S45" i="38" s="1"/>
  <c r="J43" i="38"/>
  <c r="J42" i="38"/>
  <c r="Q41" i="38"/>
  <c r="J41" i="38"/>
  <c r="T40" i="38"/>
  <c r="S40" i="38"/>
  <c r="S41" i="38" s="1"/>
  <c r="S42" i="38" s="1"/>
  <c r="Q40" i="38"/>
  <c r="J40" i="38"/>
  <c r="T39" i="38"/>
  <c r="P39" i="38" s="1"/>
  <c r="S39" i="38"/>
  <c r="Q39" i="38"/>
  <c r="J39" i="38"/>
  <c r="T38" i="38"/>
  <c r="S38" i="38"/>
  <c r="J38" i="38"/>
  <c r="R37" i="38"/>
  <c r="Q37" i="38"/>
  <c r="J37" i="38"/>
  <c r="P37" i="38" s="1"/>
  <c r="P36" i="38"/>
  <c r="J36" i="38"/>
  <c r="J35" i="38"/>
  <c r="J34" i="38"/>
  <c r="T33" i="38"/>
  <c r="T34" i="38" s="1"/>
  <c r="T35" i="38" s="1"/>
  <c r="T36" i="38" s="1"/>
  <c r="J33" i="38"/>
  <c r="P33" i="38" s="1"/>
  <c r="P32" i="38"/>
  <c r="J32" i="38"/>
  <c r="P31" i="38"/>
  <c r="J31" i="38"/>
  <c r="T30" i="38"/>
  <c r="T31" i="38" s="1"/>
  <c r="T32" i="38" s="1"/>
  <c r="J30" i="38"/>
  <c r="J29" i="38"/>
  <c r="T28" i="38"/>
  <c r="T29" i="38" s="1"/>
  <c r="S28" i="38"/>
  <c r="S29" i="38" s="1"/>
  <c r="P28" i="38"/>
  <c r="O28" i="38"/>
  <c r="Q28" i="38" s="1"/>
  <c r="J28" i="38"/>
  <c r="Q27" i="38"/>
  <c r="P27" i="38"/>
  <c r="O27" i="38"/>
  <c r="J27" i="38"/>
  <c r="N26" i="38"/>
  <c r="J26" i="38"/>
  <c r="S25" i="38"/>
  <c r="J25" i="38"/>
  <c r="S24" i="38"/>
  <c r="M24" i="38" s="1"/>
  <c r="N24" i="38"/>
  <c r="J24" i="38"/>
  <c r="S23" i="38"/>
  <c r="M23" i="38" s="1"/>
  <c r="N23" i="38"/>
  <c r="O23" i="38" s="1"/>
  <c r="J23" i="38"/>
  <c r="J22" i="38"/>
  <c r="M21" i="38"/>
  <c r="N21" i="38" s="1"/>
  <c r="J21" i="38"/>
  <c r="M20" i="38"/>
  <c r="J20" i="38"/>
  <c r="J19" i="38"/>
  <c r="J18" i="38"/>
  <c r="S17" i="38"/>
  <c r="J17" i="38"/>
  <c r="M17" i="38" s="1"/>
  <c r="S16" i="38"/>
  <c r="M16" i="38"/>
  <c r="L16" i="38"/>
  <c r="N16" i="38" s="1"/>
  <c r="J16" i="38"/>
  <c r="S15" i="38"/>
  <c r="M15" i="38"/>
  <c r="L15" i="38"/>
  <c r="J15" i="38"/>
  <c r="S14" i="38"/>
  <c r="J14" i="38"/>
  <c r="M13" i="38"/>
  <c r="J13" i="38"/>
  <c r="L13" i="38" s="1"/>
  <c r="N13" i="38" s="1"/>
  <c r="M12" i="38"/>
  <c r="L12" i="38"/>
  <c r="J12" i="38"/>
  <c r="M11" i="38"/>
  <c r="L11" i="38"/>
  <c r="J11" i="38"/>
  <c r="N11" i="38" s="1"/>
  <c r="X16" i="77"/>
  <c r="X19" i="77" s="1"/>
  <c r="X15" i="77"/>
  <c r="AA7" i="77"/>
  <c r="AA19" i="77" s="1"/>
  <c r="Z7" i="77"/>
  <c r="Z19" i="77" s="1"/>
  <c r="X7" i="77"/>
  <c r="Q7" i="77"/>
  <c r="G130" i="75"/>
  <c r="F130"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V104" i="75"/>
  <c r="V106" i="75" s="1"/>
  <c r="AG99" i="75"/>
  <c r="AF99" i="75"/>
  <c r="AE99" i="75"/>
  <c r="AD99" i="75"/>
  <c r="E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Q86" i="75"/>
  <c r="P86" i="75"/>
  <c r="O86" i="75"/>
  <c r="N86" i="75"/>
  <c r="M86" i="75"/>
  <c r="L86" i="75"/>
  <c r="K86" i="75"/>
  <c r="J86" i="75"/>
  <c r="I86" i="75"/>
  <c r="H86" i="75"/>
  <c r="L87" i="75" s="1"/>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X40" i="75"/>
  <c r="I38" i="75"/>
  <c r="G38" i="75"/>
  <c r="F38" i="75"/>
  <c r="E38" i="75"/>
  <c r="D38" i="75"/>
  <c r="AC36" i="75"/>
  <c r="AB36" i="75"/>
  <c r="AA36" i="75"/>
  <c r="Z36" i="75"/>
  <c r="Y36" i="75"/>
  <c r="X36" i="75"/>
  <c r="W36" i="75"/>
  <c r="V36" i="75"/>
  <c r="U36" i="75"/>
  <c r="T36" i="75"/>
  <c r="S36" i="75"/>
  <c r="R36" i="75"/>
  <c r="Q36" i="75"/>
  <c r="T35" i="75"/>
  <c r="S35" i="75"/>
  <c r="R35" i="75"/>
  <c r="Q35" i="75"/>
  <c r="P35" i="75"/>
  <c r="O35" i="75"/>
  <c r="N35" i="75"/>
  <c r="M35" i="75"/>
  <c r="H34" i="75"/>
  <c r="G34" i="75"/>
  <c r="F34" i="75"/>
  <c r="E34" i="75"/>
  <c r="D34" i="75"/>
  <c r="AA32" i="75"/>
  <c r="Z32" i="75"/>
  <c r="X32" i="75"/>
  <c r="H28" i="75"/>
  <c r="G28" i="75"/>
  <c r="F28" i="75"/>
  <c r="D28" i="75"/>
  <c r="V25" i="75"/>
  <c r="U25" i="75"/>
  <c r="T25" i="75"/>
  <c r="S25" i="75"/>
  <c r="R25" i="75"/>
  <c r="Q25" i="75"/>
  <c r="P25" i="75"/>
  <c r="O25" i="75"/>
  <c r="N25" i="75"/>
  <c r="M25" i="75"/>
  <c r="L25" i="75"/>
  <c r="K25" i="75"/>
  <c r="J25" i="75"/>
  <c r="I25" i="75"/>
  <c r="H25" i="75"/>
  <c r="G25" i="75"/>
  <c r="F25" i="75"/>
  <c r="E25" i="75"/>
  <c r="D25" i="75"/>
  <c r="H24" i="75"/>
  <c r="G24" i="75"/>
  <c r="F24" i="75"/>
  <c r="E24" i="75"/>
  <c r="E28" i="75" s="1"/>
  <c r="D24" i="75"/>
  <c r="X23" i="75"/>
  <c r="Q23" i="75"/>
  <c r="AC22" i="75"/>
  <c r="AB22" i="75"/>
  <c r="AA22" i="75"/>
  <c r="Z22" i="75"/>
  <c r="Y22" i="75"/>
  <c r="X22" i="75"/>
  <c r="W22" i="75"/>
  <c r="V22" i="75"/>
  <c r="U22" i="75"/>
  <c r="T22" i="75"/>
  <c r="S22" i="75"/>
  <c r="R22" i="75"/>
  <c r="Q22" i="75"/>
  <c r="P22" i="75"/>
  <c r="P21" i="75"/>
  <c r="M21" i="75"/>
  <c r="I21" i="75"/>
  <c r="H21" i="75"/>
  <c r="H38" i="75" s="1"/>
  <c r="G21" i="75"/>
  <c r="F21" i="75"/>
  <c r="E21" i="75"/>
  <c r="D21" i="75"/>
  <c r="AC18" i="75"/>
  <c r="AB18" i="75"/>
  <c r="AA18" i="75"/>
  <c r="Z18" i="75"/>
  <c r="Y18" i="75"/>
  <c r="X18" i="75"/>
  <c r="W18" i="75"/>
  <c r="V18" i="75"/>
  <c r="U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F137" i="88"/>
  <c r="AF127" i="88" s="1"/>
  <c r="AG127" i="88" s="1"/>
  <c r="AH127" i="88" s="1"/>
  <c r="AI127" i="88" s="1"/>
  <c r="AJ127" i="88" s="1"/>
  <c r="AK127" i="88" s="1"/>
  <c r="AL127" i="88" s="1"/>
  <c r="AM127" i="88" s="1"/>
  <c r="AN127" i="88" s="1"/>
  <c r="AE137" i="88"/>
  <c r="AE127" i="88" s="1"/>
  <c r="AD137" i="88"/>
  <c r="AD127" i="88" s="1"/>
  <c r="AC137" i="88"/>
  <c r="AC127" i="88" s="1"/>
  <c r="AB137" i="88"/>
  <c r="AB127" i="88" s="1"/>
  <c r="AA137" i="88"/>
  <c r="AA127" i="88" s="1"/>
  <c r="Z137" i="88"/>
  <c r="Z127" i="88" s="1"/>
  <c r="Y137" i="88"/>
  <c r="Y127" i="88" s="1"/>
  <c r="X137" i="88"/>
  <c r="X127" i="88" s="1"/>
  <c r="W137" i="88"/>
  <c r="W127" i="88" s="1"/>
  <c r="V137" i="88"/>
  <c r="V127" i="88" s="1"/>
  <c r="U137" i="88"/>
  <c r="U127" i="88" s="1"/>
  <c r="T137" i="88"/>
  <c r="T127" i="88" s="1"/>
  <c r="S137" i="88"/>
  <c r="R137" i="88"/>
  <c r="R127" i="88" s="1"/>
  <c r="Q137" i="88"/>
  <c r="Q127" i="88" s="1"/>
  <c r="P137" i="88"/>
  <c r="P127" i="88" s="1"/>
  <c r="O137" i="88"/>
  <c r="O127" i="88" s="1"/>
  <c r="N137" i="88"/>
  <c r="N127" i="88" s="1"/>
  <c r="I107" i="88" s="1"/>
  <c r="J107" i="88" s="1"/>
  <c r="K107" i="88" s="1"/>
  <c r="L107" i="88" s="1"/>
  <c r="M137" i="88"/>
  <c r="L137" i="88"/>
  <c r="L127" i="88" s="1"/>
  <c r="K137" i="88"/>
  <c r="K127" i="88" s="1"/>
  <c r="J137" i="88"/>
  <c r="I137" i="88"/>
  <c r="I127" i="88" s="1"/>
  <c r="H137" i="88"/>
  <c r="H127" i="88" s="1"/>
  <c r="G137" i="88"/>
  <c r="F137" i="88"/>
  <c r="AF136" i="88"/>
  <c r="AE136" i="88"/>
  <c r="AD136" i="88"/>
  <c r="AC136" i="88"/>
  <c r="AB136" i="88"/>
  <c r="AA136" i="88"/>
  <c r="Z136" i="88"/>
  <c r="Y136" i="88"/>
  <c r="X136" i="88"/>
  <c r="W136" i="88"/>
  <c r="V136" i="88"/>
  <c r="U136" i="88"/>
  <c r="T136" i="88"/>
  <c r="S136" i="88"/>
  <c r="R136" i="88"/>
  <c r="Q136" i="88"/>
  <c r="P136" i="88"/>
  <c r="O136" i="88"/>
  <c r="N136" i="88"/>
  <c r="M136" i="88"/>
  <c r="L136" i="88"/>
  <c r="K136" i="88"/>
  <c r="J136" i="88"/>
  <c r="I136" i="88"/>
  <c r="J154" i="88" s="1"/>
  <c r="H136" i="88"/>
  <c r="G136" i="88"/>
  <c r="F136" i="88"/>
  <c r="AF134" i="88"/>
  <c r="AE134" i="88"/>
  <c r="AD134" i="88"/>
  <c r="AC134" i="88"/>
  <c r="AB134" i="88"/>
  <c r="AA134" i="88"/>
  <c r="Z134" i="88"/>
  <c r="Y134" i="88"/>
  <c r="X134" i="88"/>
  <c r="W134" i="88"/>
  <c r="V134" i="88"/>
  <c r="U134" i="88"/>
  <c r="T134" i="88"/>
  <c r="S134" i="88"/>
  <c r="R134" i="88"/>
  <c r="Q134" i="88"/>
  <c r="P134" i="88"/>
  <c r="O134" i="88"/>
  <c r="N134" i="88"/>
  <c r="M134" i="88"/>
  <c r="L134" i="88"/>
  <c r="K134" i="88"/>
  <c r="J134" i="88"/>
  <c r="I134" i="88"/>
  <c r="H134" i="88"/>
  <c r="G134" i="88"/>
  <c r="F134" i="88"/>
  <c r="AF133" i="88"/>
  <c r="AE133"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F132" i="88"/>
  <c r="AE132"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F131" i="88"/>
  <c r="AF135" i="88" s="1"/>
  <c r="AE131" i="88"/>
  <c r="AD131" i="88"/>
  <c r="AD135" i="88" s="1"/>
  <c r="AC131" i="88"/>
  <c r="AC135" i="88" s="1"/>
  <c r="AB131" i="88"/>
  <c r="AB135" i="88" s="1"/>
  <c r="AA131" i="88"/>
  <c r="AA135" i="88" s="1"/>
  <c r="Z131" i="88"/>
  <c r="Y131" i="88"/>
  <c r="X131" i="88"/>
  <c r="X135" i="88" s="1"/>
  <c r="W131" i="88"/>
  <c r="W135" i="88" s="1"/>
  <c r="V131" i="88"/>
  <c r="U131" i="88"/>
  <c r="T131" i="88"/>
  <c r="T135" i="88" s="1"/>
  <c r="S131" i="88"/>
  <c r="S135" i="88" s="1"/>
  <c r="R131" i="88"/>
  <c r="R135" i="88" s="1"/>
  <c r="Q131" i="88"/>
  <c r="Q135" i="88" s="1"/>
  <c r="P131" i="88"/>
  <c r="P135" i="88" s="1"/>
  <c r="O131" i="88"/>
  <c r="N131" i="88"/>
  <c r="N135" i="88" s="1"/>
  <c r="M131" i="88"/>
  <c r="L131" i="88"/>
  <c r="K131" i="88"/>
  <c r="J131" i="88"/>
  <c r="J135" i="88" s="1"/>
  <c r="I131" i="88"/>
  <c r="H131" i="88"/>
  <c r="H135" i="88" s="1"/>
  <c r="G131" i="88"/>
  <c r="G135" i="88" s="1"/>
  <c r="F131" i="88"/>
  <c r="F135" i="88" s="1"/>
  <c r="AN112" i="88"/>
  <c r="AM112" i="88"/>
  <c r="AL112" i="88"/>
  <c r="AK112" i="88"/>
  <c r="AJ112" i="88"/>
  <c r="AI112" i="88"/>
  <c r="AH112" i="88"/>
  <c r="AG112" i="88"/>
  <c r="AF112" i="88"/>
  <c r="AE112" i="88"/>
  <c r="AD112" i="88"/>
  <c r="AC112" i="88"/>
  <c r="AB112" i="88"/>
  <c r="AA112" i="88"/>
  <c r="Z112" i="88"/>
  <c r="Y112" i="88"/>
  <c r="X112" i="88"/>
  <c r="W112" i="88"/>
  <c r="V112" i="88"/>
  <c r="U112" i="88"/>
  <c r="T112" i="88"/>
  <c r="S112" i="88"/>
  <c r="R112" i="88"/>
  <c r="Q112" i="88"/>
  <c r="P112" i="88"/>
  <c r="O112" i="88"/>
  <c r="N112" i="88"/>
  <c r="M112" i="88"/>
  <c r="L112" i="88"/>
  <c r="K112" i="88"/>
  <c r="J112" i="88"/>
  <c r="I112" i="88"/>
  <c r="H112" i="88"/>
  <c r="G112" i="88"/>
  <c r="F112" i="88"/>
  <c r="M99" i="88"/>
  <c r="L99" i="88"/>
  <c r="K99" i="88"/>
  <c r="J99" i="88"/>
  <c r="I99" i="88"/>
  <c r="H99" i="88"/>
  <c r="G99" i="88"/>
  <c r="F99" i="88"/>
  <c r="E99" i="88"/>
  <c r="M97" i="88"/>
  <c r="L97" i="88"/>
  <c r="K97" i="88"/>
  <c r="J97" i="88"/>
  <c r="I97" i="88"/>
  <c r="H97" i="88"/>
  <c r="G97" i="88"/>
  <c r="F97" i="88"/>
  <c r="E97" i="88"/>
  <c r="M96" i="88"/>
  <c r="L96" i="88"/>
  <c r="K96" i="88"/>
  <c r="J96" i="88"/>
  <c r="I96" i="88"/>
  <c r="H96" i="88"/>
  <c r="G96" i="88"/>
  <c r="F96" i="88"/>
  <c r="E96" i="88"/>
  <c r="F84" i="88"/>
  <c r="E84" i="88"/>
  <c r="F82" i="88"/>
  <c r="E82" i="88"/>
  <c r="F81" i="88"/>
  <c r="E81" i="88"/>
  <c r="V71" i="88"/>
  <c r="U71" i="88"/>
  <c r="T71" i="88"/>
  <c r="S71" i="88"/>
  <c r="R71" i="88"/>
  <c r="Q71" i="88"/>
  <c r="P71" i="88"/>
  <c r="O71" i="88"/>
  <c r="N71" i="88"/>
  <c r="M71" i="88"/>
  <c r="L71" i="88"/>
  <c r="V69" i="88"/>
  <c r="U69" i="88"/>
  <c r="T69" i="88"/>
  <c r="S69" i="88"/>
  <c r="R69" i="88"/>
  <c r="Q69" i="88"/>
  <c r="P69" i="88"/>
  <c r="O69" i="88"/>
  <c r="N69" i="88"/>
  <c r="M69" i="88"/>
  <c r="L69" i="88"/>
  <c r="V67" i="88"/>
  <c r="U67" i="88"/>
  <c r="T67" i="88"/>
  <c r="S67" i="88"/>
  <c r="R67" i="88"/>
  <c r="Q67" i="88"/>
  <c r="P67" i="88"/>
  <c r="O67" i="88"/>
  <c r="N67" i="88"/>
  <c r="M67" i="88"/>
  <c r="L67" i="88"/>
  <c r="V65" i="88"/>
  <c r="U65" i="88"/>
  <c r="T65" i="88"/>
  <c r="S65" i="88"/>
  <c r="R65" i="88"/>
  <c r="Q65" i="88"/>
  <c r="P65" i="88"/>
  <c r="O65" i="88"/>
  <c r="N65" i="88"/>
  <c r="M65" i="88"/>
  <c r="M98" i="88" s="1"/>
  <c r="L65" i="88"/>
  <c r="L98" i="88" s="1"/>
  <c r="K65" i="88"/>
  <c r="K98" i="88" s="1"/>
  <c r="J65" i="88"/>
  <c r="J98" i="88" s="1"/>
  <c r="I65" i="88"/>
  <c r="I98" i="88" s="1"/>
  <c r="H65" i="88"/>
  <c r="H98" i="88" s="1"/>
  <c r="G65" i="88"/>
  <c r="G98" i="88" s="1"/>
  <c r="F65" i="88"/>
  <c r="F98" i="88" s="1"/>
  <c r="E65" i="88"/>
  <c r="E83" i="88" s="1"/>
  <c r="V64" i="88"/>
  <c r="U64" i="88"/>
  <c r="T64" i="88"/>
  <c r="S64" i="88"/>
  <c r="R64" i="88"/>
  <c r="Q64" i="88"/>
  <c r="P64" i="88"/>
  <c r="O64" i="88"/>
  <c r="N64" i="88"/>
  <c r="M64" i="88"/>
  <c r="L64" i="88"/>
  <c r="V62" i="88"/>
  <c r="U62" i="88"/>
  <c r="T62" i="88"/>
  <c r="S62" i="88"/>
  <c r="R62" i="88"/>
  <c r="Q62" i="88"/>
  <c r="P62" i="88"/>
  <c r="O62" i="88"/>
  <c r="N62" i="88"/>
  <c r="M62" i="88"/>
  <c r="L62" i="88"/>
  <c r="K62" i="88"/>
  <c r="J62" i="88"/>
  <c r="I62" i="88"/>
  <c r="H62" i="88"/>
  <c r="AJ56" i="88"/>
  <c r="AI56" i="88"/>
  <c r="AH56" i="88"/>
  <c r="AJ53" i="88"/>
  <c r="AI53" i="88"/>
  <c r="AH53" i="88"/>
  <c r="AG53" i="88"/>
  <c r="AF53" i="88"/>
  <c r="AE53" i="88"/>
  <c r="AD53" i="88"/>
  <c r="AC53" i="88"/>
  <c r="AB53" i="88"/>
  <c r="AA53" i="88"/>
  <c r="Z53" i="88"/>
  <c r="Y53" i="88"/>
  <c r="L45" i="88"/>
  <c r="AE30" i="88"/>
  <c r="AD30" i="88"/>
  <c r="AC30" i="88"/>
  <c r="AB30" i="88"/>
  <c r="AA30" i="88"/>
  <c r="Z30" i="88"/>
  <c r="Y30" i="88"/>
  <c r="X30" i="88"/>
  <c r="W30" i="88"/>
  <c r="V30" i="88"/>
  <c r="U30" i="88"/>
  <c r="T30" i="88"/>
  <c r="S30" i="88"/>
  <c r="R30" i="88"/>
  <c r="Q30" i="88"/>
  <c r="P30" i="88"/>
  <c r="O30" i="88"/>
  <c r="N30" i="88"/>
  <c r="M30" i="88"/>
  <c r="L30" i="88"/>
  <c r="K30" i="88"/>
  <c r="J30" i="88"/>
  <c r="I30" i="88"/>
  <c r="H30" i="88"/>
  <c r="G30" i="88"/>
  <c r="F30" i="88"/>
  <c r="AF29" i="88"/>
  <c r="AE29"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F28" i="88"/>
  <c r="AE28"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N27" i="88"/>
  <c r="AM27" i="88"/>
  <c r="AL27" i="88"/>
  <c r="AK27" i="88"/>
  <c r="AJ27" i="88"/>
  <c r="AI27" i="88"/>
  <c r="AH27" i="88"/>
  <c r="AG27" i="88"/>
  <c r="AF27" i="88"/>
  <c r="AE27" i="88"/>
  <c r="AD27" i="88"/>
  <c r="AC27" i="88"/>
  <c r="AB27" i="88"/>
  <c r="AA27" i="88"/>
  <c r="Z27" i="88"/>
  <c r="AF26" i="88"/>
  <c r="AE26" i="88"/>
  <c r="AD26" i="88"/>
  <c r="AC26" i="88"/>
  <c r="AB26" i="88"/>
  <c r="AA26" i="88"/>
  <c r="Z26" i="88"/>
  <c r="Y26" i="88"/>
  <c r="X26" i="88"/>
  <c r="W26" i="88"/>
  <c r="V26" i="88"/>
  <c r="U26" i="88"/>
  <c r="T26" i="88"/>
  <c r="S26" i="88"/>
  <c r="R26" i="88"/>
  <c r="Q26" i="88"/>
  <c r="P26" i="88"/>
  <c r="O26" i="88"/>
  <c r="N26" i="88"/>
  <c r="M26" i="88"/>
  <c r="L26" i="88"/>
  <c r="K26" i="88"/>
  <c r="J26" i="88"/>
  <c r="I26" i="88"/>
  <c r="H26" i="88"/>
  <c r="G26" i="88"/>
  <c r="F26" i="88"/>
  <c r="AE19" i="88"/>
  <c r="AD19" i="88"/>
  <c r="AC19" i="88"/>
  <c r="AB19" i="88"/>
  <c r="AA19" i="88"/>
  <c r="Z19" i="88"/>
  <c r="Y19" i="88"/>
  <c r="X19" i="88"/>
  <c r="W19" i="88"/>
  <c r="V19" i="88"/>
  <c r="U19" i="88"/>
  <c r="T19" i="88"/>
  <c r="S19" i="88"/>
  <c r="R19" i="88"/>
  <c r="Q19" i="88"/>
  <c r="P19" i="88"/>
  <c r="O19" i="88"/>
  <c r="N19" i="88"/>
  <c r="M19" i="88"/>
  <c r="L19" i="88"/>
  <c r="K19" i="88"/>
  <c r="J19" i="88"/>
  <c r="I19" i="88"/>
  <c r="H19" i="88"/>
  <c r="G19" i="88"/>
  <c r="F19" i="88"/>
  <c r="AF17" i="88"/>
  <c r="AE17" i="88"/>
  <c r="AD17" i="88"/>
  <c r="AC17" i="88"/>
  <c r="AB17" i="88"/>
  <c r="AA17" i="88"/>
  <c r="Z17" i="88"/>
  <c r="Y17" i="88"/>
  <c r="X17" i="88"/>
  <c r="W17" i="88"/>
  <c r="V17" i="88"/>
  <c r="U17" i="88"/>
  <c r="T17" i="88"/>
  <c r="S17" i="88"/>
  <c r="R17" i="88"/>
  <c r="Q17" i="88"/>
  <c r="P17" i="88"/>
  <c r="O17" i="88"/>
  <c r="N17" i="88"/>
  <c r="M17" i="88"/>
  <c r="L17" i="88"/>
  <c r="K17" i="88"/>
  <c r="J17" i="88"/>
  <c r="I17" i="88"/>
  <c r="H17" i="88"/>
  <c r="G17" i="88"/>
  <c r="F17" i="88"/>
  <c r="AP16" i="88"/>
  <c r="AQ16" i="88" s="1"/>
  <c r="AR16" i="88" s="1"/>
  <c r="AS16" i="88" s="1"/>
  <c r="AT16" i="88" s="1"/>
  <c r="AU16" i="88" s="1"/>
  <c r="AV16" i="88" s="1"/>
  <c r="AW16" i="88" s="1"/>
  <c r="AX16" i="88" s="1"/>
  <c r="AY16" i="88" s="1"/>
  <c r="AZ16" i="88" s="1"/>
  <c r="AF16" i="88"/>
  <c r="AG16" i="88" s="1"/>
  <c r="AH16" i="88" s="1"/>
  <c r="AE16" i="88"/>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AF13" i="88"/>
  <c r="AG13" i="88" s="1"/>
  <c r="AE13"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AF10" i="88"/>
  <c r="AE10" i="88"/>
  <c r="AD10" i="88"/>
  <c r="AC10" i="88"/>
  <c r="AB10" i="88"/>
  <c r="AA10" i="88"/>
  <c r="Z10" i="88"/>
  <c r="Y10" i="88"/>
  <c r="X10" i="88"/>
  <c r="W10" i="88"/>
  <c r="V10" i="88"/>
  <c r="U10" i="88"/>
  <c r="T10" i="88"/>
  <c r="S10" i="88"/>
  <c r="R10" i="88"/>
  <c r="Q10" i="88"/>
  <c r="P10" i="88"/>
  <c r="O10" i="88"/>
  <c r="N10" i="88"/>
  <c r="M10" i="88"/>
  <c r="L10" i="88"/>
  <c r="K10" i="88"/>
  <c r="J10" i="88"/>
  <c r="I10" i="88"/>
  <c r="H10" i="88"/>
  <c r="G10" i="88"/>
  <c r="F10" i="88"/>
  <c r="AH10" i="90"/>
  <c r="AG10" i="90"/>
  <c r="AF10" i="90"/>
  <c r="AE10" i="90"/>
  <c r="AD10" i="90"/>
  <c r="AC10" i="90"/>
  <c r="AB10" i="90"/>
  <c r="AA10" i="90"/>
  <c r="Z10" i="90"/>
  <c r="Y10" i="90"/>
  <c r="X10" i="90"/>
  <c r="W10" i="90"/>
  <c r="V10" i="90"/>
  <c r="U10" i="90"/>
  <c r="T10" i="90"/>
  <c r="S10" i="90"/>
  <c r="R10" i="90"/>
  <c r="Q10" i="90"/>
  <c r="P10" i="90"/>
  <c r="O10" i="90"/>
  <c r="N10" i="90"/>
  <c r="M10" i="90"/>
  <c r="L10" i="90"/>
  <c r="K10" i="90"/>
  <c r="J10" i="90"/>
  <c r="I10" i="90"/>
  <c r="H10" i="90"/>
  <c r="G10" i="90"/>
  <c r="F10" i="90"/>
  <c r="E10" i="90"/>
  <c r="D10" i="90"/>
  <c r="F81" i="78"/>
  <c r="F66" i="78"/>
  <c r="F63" i="78"/>
  <c r="F60" i="78"/>
  <c r="F57" i="78"/>
  <c r="F54" i="78"/>
  <c r="O52" i="78"/>
  <c r="J52" i="78"/>
  <c r="F51" i="78"/>
  <c r="K48" i="78"/>
  <c r="M48" i="78" s="1"/>
  <c r="N48" i="78" s="1"/>
  <c r="F48" i="78"/>
  <c r="B47" i="78"/>
  <c r="B48" i="78" s="1"/>
  <c r="B49" i="78" s="1"/>
  <c r="B50" i="78" s="1"/>
  <c r="B51" i="78" s="1"/>
  <c r="B52" i="78" s="1"/>
  <c r="B53" i="78" s="1"/>
  <c r="B54" i="78" s="1"/>
  <c r="B55" i="78" s="1"/>
  <c r="B56" i="78" s="1"/>
  <c r="B57" i="78" s="1"/>
  <c r="N46" i="78"/>
  <c r="L46" i="78"/>
  <c r="K46" i="78"/>
  <c r="M46" i="78" s="1"/>
  <c r="F45" i="78"/>
  <c r="K44" i="78"/>
  <c r="M44" i="78" s="1"/>
  <c r="N44" i="78" s="1"/>
  <c r="K43" i="78"/>
  <c r="M43" i="78" s="1"/>
  <c r="N43" i="78" s="1"/>
  <c r="L42" i="78"/>
  <c r="K42" i="78"/>
  <c r="J42" i="78"/>
  <c r="F42" i="78"/>
  <c r="K41" i="78"/>
  <c r="J41" i="78"/>
  <c r="K51" i="78" s="1"/>
  <c r="L51" i="78" s="1"/>
  <c r="K40" i="78"/>
  <c r="L40" i="78" s="1"/>
  <c r="J40" i="78"/>
  <c r="K50" i="78" s="1"/>
  <c r="L50" i="78" s="1"/>
  <c r="M39" i="78"/>
  <c r="N39" i="78" s="1"/>
  <c r="L39" i="78"/>
  <c r="K39" i="78"/>
  <c r="J39" i="78"/>
  <c r="F39" i="78"/>
  <c r="K38" i="78"/>
  <c r="L38" i="78" s="1"/>
  <c r="J38" i="78"/>
  <c r="K49" i="78" s="1"/>
  <c r="L49" i="78" s="1"/>
  <c r="N37" i="78"/>
  <c r="L37" i="78"/>
  <c r="K37" i="78"/>
  <c r="M37" i="78" s="1"/>
  <c r="J37" i="78"/>
  <c r="K36" i="78"/>
  <c r="M36" i="78" s="1"/>
  <c r="N36" i="78" s="1"/>
  <c r="F36" i="78"/>
  <c r="M35" i="78"/>
  <c r="N35" i="78" s="1"/>
  <c r="L35" i="78"/>
  <c r="K35" i="78"/>
  <c r="M34" i="78"/>
  <c r="N34" i="78" s="1"/>
  <c r="N33" i="78"/>
  <c r="M33" i="78"/>
  <c r="F33" i="78"/>
  <c r="N32" i="78"/>
  <c r="N31" i="78"/>
  <c r="M30" i="78"/>
  <c r="N30" i="78" s="1"/>
  <c r="F30" i="78"/>
  <c r="M29" i="78"/>
  <c r="N29" i="78" s="1"/>
  <c r="M28" i="78"/>
  <c r="N28" i="78" s="1"/>
  <c r="N27" i="78"/>
  <c r="M27" i="78"/>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AH18" i="78"/>
  <c r="AI18" i="78" s="1"/>
  <c r="AJ18" i="78" s="1"/>
  <c r="AK18" i="78" s="1"/>
  <c r="AL18" i="78" s="1"/>
  <c r="AM18" i="78" s="1"/>
  <c r="AN18" i="78" s="1"/>
  <c r="H9" i="84"/>
  <c r="H8" i="84"/>
  <c r="N99" i="59"/>
  <c r="M99" i="59"/>
  <c r="L99" i="59"/>
  <c r="K99" i="59"/>
  <c r="J99" i="59"/>
  <c r="I99" i="59"/>
  <c r="H99" i="59"/>
  <c r="G99" i="59"/>
  <c r="F99" i="59"/>
  <c r="E99" i="59"/>
  <c r="D99" i="59"/>
  <c r="C99" i="59"/>
  <c r="K95" i="59"/>
  <c r="J95" i="59"/>
  <c r="I95" i="59"/>
  <c r="H95" i="59"/>
  <c r="G95" i="59"/>
  <c r="F95" i="59"/>
  <c r="E95" i="59"/>
  <c r="D95" i="59"/>
  <c r="C95" i="59"/>
  <c r="I92" i="59"/>
  <c r="J92" i="59" s="1"/>
  <c r="K92" i="59" s="1"/>
  <c r="L92" i="59" s="1"/>
  <c r="M92" i="59" s="1"/>
  <c r="N92" i="59" s="1"/>
  <c r="O92" i="59" s="1"/>
  <c r="P92" i="59" s="1"/>
  <c r="Q92" i="59" s="1"/>
  <c r="R92" i="59" s="1"/>
  <c r="H92" i="59"/>
  <c r="D92" i="59"/>
  <c r="E92" i="59" s="1"/>
  <c r="F92" i="59" s="1"/>
  <c r="G92" i="59" s="1"/>
  <c r="AD74" i="59"/>
  <c r="AD72" i="59"/>
  <c r="AC72" i="59"/>
  <c r="AD71" i="59" s="1"/>
  <c r="AD73"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D66" i="59" s="1"/>
  <c r="G66" i="59"/>
  <c r="F66" i="59"/>
  <c r="E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Y31" i="59"/>
  <c r="X31" i="59"/>
  <c r="U31" i="59"/>
  <c r="T31" i="59"/>
  <c r="S31" i="59"/>
  <c r="AN30" i="59"/>
  <c r="AM30" i="59"/>
  <c r="AL30" i="59"/>
  <c r="I16" i="35" s="1"/>
  <c r="J20" i="55" s="1"/>
  <c r="J88" i="55" s="1"/>
  <c r="AK30" i="59"/>
  <c r="AJ30" i="59"/>
  <c r="AI30" i="59"/>
  <c r="AH30" i="59"/>
  <c r="AG30" i="59"/>
  <c r="X30" i="59"/>
  <c r="S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T27" i="59"/>
  <c r="S27" i="59"/>
  <c r="R27" i="59"/>
  <c r="Q27" i="59"/>
  <c r="P27" i="59"/>
  <c r="O27" i="59"/>
  <c r="N27" i="59"/>
  <c r="M27" i="59"/>
  <c r="H26" i="59"/>
  <c r="H66" i="59" s="1"/>
  <c r="G26" i="59"/>
  <c r="F26" i="59"/>
  <c r="E26" i="59"/>
  <c r="D26" i="59"/>
  <c r="AF25" i="59"/>
  <c r="AF30" i="59" s="1"/>
  <c r="X25" i="59"/>
  <c r="S25" i="59"/>
  <c r="R25" i="59"/>
  <c r="Q25" i="59"/>
  <c r="P25" i="59"/>
  <c r="AC24" i="59"/>
  <c r="AA24" i="59"/>
  <c r="Z24" i="59"/>
  <c r="Y24" i="59"/>
  <c r="X24" i="59"/>
  <c r="T21" i="59"/>
  <c r="S21" i="59"/>
  <c r="Q21" i="59"/>
  <c r="Q30" i="59" s="1"/>
  <c r="P21" i="59"/>
  <c r="J21" i="59"/>
  <c r="J30" i="59" s="1"/>
  <c r="I21" i="59"/>
  <c r="I30" i="59" s="1"/>
  <c r="H21" i="59"/>
  <c r="H30" i="59" s="1"/>
  <c r="G21" i="59"/>
  <c r="G30" i="59" s="1"/>
  <c r="F21" i="59"/>
  <c r="F30" i="59" s="1"/>
  <c r="E21" i="59"/>
  <c r="E30" i="59" s="1"/>
  <c r="D21" i="59"/>
  <c r="D30" i="59" s="1"/>
  <c r="AN18" i="59"/>
  <c r="AM18" i="59"/>
  <c r="AL18" i="59"/>
  <c r="AK18" i="59"/>
  <c r="AJ18" i="59"/>
  <c r="AI18" i="59"/>
  <c r="AH18" i="59"/>
  <c r="AG18" i="59"/>
  <c r="AF18" i="59"/>
  <c r="AE18" i="59"/>
  <c r="AD18" i="59"/>
  <c r="AC18" i="59"/>
  <c r="AB18" i="59"/>
  <c r="AA18" i="59"/>
  <c r="Z18" i="59"/>
  <c r="Y18" i="59"/>
  <c r="X18" i="59"/>
  <c r="W18" i="59"/>
  <c r="V18" i="59"/>
  <c r="U18" i="59"/>
  <c r="P18" i="59"/>
  <c r="L18" i="59"/>
  <c r="J18" i="59"/>
  <c r="I18" i="59"/>
  <c r="H18" i="59"/>
  <c r="AD16" i="59"/>
  <c r="AC16" i="59"/>
  <c r="AB16" i="59"/>
  <c r="AA16" i="59"/>
  <c r="Z16" i="59"/>
  <c r="W15" i="59"/>
  <c r="V15" i="59"/>
  <c r="AD12" i="59"/>
  <c r="AC12" i="59"/>
  <c r="AB12" i="59"/>
  <c r="AA12" i="59"/>
  <c r="Z12" i="59"/>
  <c r="Y12" i="59"/>
  <c r="X12" i="59"/>
  <c r="W12" i="59"/>
  <c r="X13" i="59" s="1"/>
  <c r="V12" i="59"/>
  <c r="U12" i="59"/>
  <c r="T12" i="59"/>
  <c r="U13" i="59" s="1"/>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K93" i="83"/>
  <c r="J93" i="83"/>
  <c r="I93" i="83"/>
  <c r="H93" i="83"/>
  <c r="G93" i="83"/>
  <c r="F93" i="83"/>
  <c r="E93" i="83"/>
  <c r="D93" i="83"/>
  <c r="C93" i="83"/>
  <c r="Q90" i="83"/>
  <c r="R90" i="83" s="1"/>
  <c r="G90" i="83"/>
  <c r="H90" i="83" s="1"/>
  <c r="I90" i="83" s="1"/>
  <c r="J90" i="83" s="1"/>
  <c r="K90" i="83" s="1"/>
  <c r="L90" i="83" s="1"/>
  <c r="M90" i="83" s="1"/>
  <c r="N90" i="83" s="1"/>
  <c r="O90" i="83" s="1"/>
  <c r="P90" i="83" s="1"/>
  <c r="F90" i="83"/>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S72" i="83" s="1"/>
  <c r="R70" i="83"/>
  <c r="R72" i="83" s="1"/>
  <c r="Q70" i="83"/>
  <c r="Q72" i="83" s="1"/>
  <c r="P70" i="83"/>
  <c r="O70" i="83"/>
  <c r="O72" i="83" s="1"/>
  <c r="N70" i="83"/>
  <c r="N72" i="83" s="1"/>
  <c r="M70" i="83"/>
  <c r="M72" i="83" s="1"/>
  <c r="L70" i="83"/>
  <c r="K70" i="83"/>
  <c r="J70" i="83"/>
  <c r="I70" i="83"/>
  <c r="H70" i="83"/>
  <c r="G70" i="83"/>
  <c r="F70" i="83"/>
  <c r="E70" i="83"/>
  <c r="D70" i="83"/>
  <c r="E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K50" i="83" s="1"/>
  <c r="K26" i="83" s="1"/>
  <c r="J51" i="83"/>
  <c r="J50" i="83" s="1"/>
  <c r="J26" i="83" s="1"/>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R38" i="83" s="1"/>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M38" i="83" s="1"/>
  <c r="L36" i="83"/>
  <c r="L38" i="83" s="1"/>
  <c r="K36" i="83"/>
  <c r="K38" i="83" s="1"/>
  <c r="J36" i="83"/>
  <c r="J38" i="83" s="1"/>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H30" i="83" s="1"/>
  <c r="G21" i="83"/>
  <c r="G30" i="83" s="1"/>
  <c r="F21" i="83"/>
  <c r="F30" i="83" s="1"/>
  <c r="E21" i="83"/>
  <c r="E30" i="83" s="1"/>
  <c r="D21"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B14" i="83" s="1"/>
  <c r="AB63" i="83" s="1"/>
  <c r="AA16" i="83"/>
  <c r="Z16" i="83"/>
  <c r="Y16" i="83"/>
  <c r="X16" i="83"/>
  <c r="W16" i="83"/>
  <c r="V16" i="83"/>
  <c r="AC15" i="83"/>
  <c r="AB15" i="83"/>
  <c r="AA15" i="83"/>
  <c r="AA14" i="83" s="1"/>
  <c r="AA63" i="83" s="1"/>
  <c r="Z15" i="83"/>
  <c r="Y15" i="83"/>
  <c r="X15" i="83"/>
  <c r="X14" i="83" s="1"/>
  <c r="X63" i="83" s="1"/>
  <c r="W15" i="83"/>
  <c r="V15" i="83"/>
  <c r="AN14" i="83"/>
  <c r="AM14" i="83"/>
  <c r="AL14" i="83"/>
  <c r="AK14" i="83"/>
  <c r="AJ14" i="83"/>
  <c r="AI14" i="83"/>
  <c r="AH14" i="83"/>
  <c r="AG14" i="83"/>
  <c r="AF14" i="83"/>
  <c r="AE14" i="83"/>
  <c r="AD14" i="83"/>
  <c r="U14" i="83"/>
  <c r="T14" i="83"/>
  <c r="S14" i="83"/>
  <c r="R14" i="83"/>
  <c r="Q14" i="83"/>
  <c r="P14" i="83"/>
  <c r="O14" i="83"/>
  <c r="N14" i="83"/>
  <c r="M14" i="83"/>
  <c r="L14" i="83"/>
  <c r="K14" i="83"/>
  <c r="K63" i="83" s="1"/>
  <c r="J14" i="83"/>
  <c r="J63" i="83" s="1"/>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8" i="82"/>
  <c r="M88" i="82"/>
  <c r="L88" i="82"/>
  <c r="K88" i="82"/>
  <c r="J88" i="82"/>
  <c r="I88" i="82"/>
  <c r="H88" i="82"/>
  <c r="G88" i="82"/>
  <c r="F88" i="82"/>
  <c r="E88" i="82"/>
  <c r="D88" i="82"/>
  <c r="C88" i="82"/>
  <c r="K84" i="82"/>
  <c r="J84" i="82"/>
  <c r="I84" i="82"/>
  <c r="H84" i="82"/>
  <c r="G84" i="82"/>
  <c r="F84" i="82"/>
  <c r="E84" i="82"/>
  <c r="D84" i="82"/>
  <c r="C84" i="82"/>
  <c r="D81" i="82"/>
  <c r="E81" i="82" s="1"/>
  <c r="F81" i="82" s="1"/>
  <c r="G81" i="82" s="1"/>
  <c r="H81" i="82" s="1"/>
  <c r="I81" i="82" s="1"/>
  <c r="J81" i="82" s="1"/>
  <c r="K81" i="82" s="1"/>
  <c r="L81" i="82" s="1"/>
  <c r="M81" i="82" s="1"/>
  <c r="N81" i="82" s="1"/>
  <c r="O81" i="82" s="1"/>
  <c r="P81" i="82" s="1"/>
  <c r="Q81" i="82" s="1"/>
  <c r="R81" i="82" s="1"/>
  <c r="AH71" i="82"/>
  <c r="AG71" i="82"/>
  <c r="AF71" i="82"/>
  <c r="S71" i="82"/>
  <c r="R71" i="82"/>
  <c r="Q71" i="82"/>
  <c r="AD68" i="82"/>
  <c r="AF66" i="82"/>
  <c r="AE66" i="82"/>
  <c r="AD66" i="82"/>
  <c r="AE69" i="82" s="1"/>
  <c r="AC66" i="82"/>
  <c r="AD69" i="82" s="1"/>
  <c r="AD67" i="82" s="1"/>
  <c r="AB66" i="82"/>
  <c r="AB19" i="82" s="1"/>
  <c r="AA66" i="82"/>
  <c r="AA19" i="82" s="1"/>
  <c r="Z66" i="82"/>
  <c r="AA69" i="82" s="1"/>
  <c r="AA67" i="82" s="1"/>
  <c r="Y66" i="82"/>
  <c r="X66" i="82"/>
  <c r="Y69" i="82" s="1"/>
  <c r="Y67" i="82" s="1"/>
  <c r="W66" i="82"/>
  <c r="W19" i="82" s="1"/>
  <c r="V66" i="82"/>
  <c r="V19" i="82" s="1"/>
  <c r="U66" i="82"/>
  <c r="T66" i="82"/>
  <c r="S66" i="82"/>
  <c r="S19" i="82" s="1"/>
  <c r="R66" i="82"/>
  <c r="R19" i="82" s="1"/>
  <c r="Q66" i="82"/>
  <c r="Q19" i="82" s="1"/>
  <c r="P66" i="82"/>
  <c r="P19" i="82" s="1"/>
  <c r="O66" i="82"/>
  <c r="O19" i="82" s="1"/>
  <c r="N66" i="82"/>
  <c r="N19" i="82" s="1"/>
  <c r="M66" i="82"/>
  <c r="M19" i="82" s="1"/>
  <c r="L66" i="82"/>
  <c r="L19" i="82" s="1"/>
  <c r="K66" i="82"/>
  <c r="K19" i="82" s="1"/>
  <c r="J66" i="82"/>
  <c r="J19" i="82" s="1"/>
  <c r="I66" i="82"/>
  <c r="I19" i="82" s="1"/>
  <c r="H66" i="82"/>
  <c r="H19" i="82" s="1"/>
  <c r="G66" i="82"/>
  <c r="G19" i="82" s="1"/>
  <c r="F66" i="82"/>
  <c r="F19" i="82" s="1"/>
  <c r="E66" i="82"/>
  <c r="E19" i="82" s="1"/>
  <c r="D66" i="82"/>
  <c r="D19" i="82" s="1"/>
  <c r="AF60" i="82"/>
  <c r="AE60" i="82"/>
  <c r="AD60" i="82"/>
  <c r="AC60" i="82"/>
  <c r="AB60" i="82"/>
  <c r="AA60" i="82"/>
  <c r="Z60" i="82"/>
  <c r="Y60" i="82"/>
  <c r="X60" i="82"/>
  <c r="W60" i="82"/>
  <c r="V60" i="82"/>
  <c r="U60" i="82"/>
  <c r="T60" i="82"/>
  <c r="S60" i="82"/>
  <c r="R60" i="82"/>
  <c r="Q60" i="82"/>
  <c r="P60" i="82"/>
  <c r="O60" i="82"/>
  <c r="N60" i="82"/>
  <c r="M60" i="82"/>
  <c r="L60" i="82"/>
  <c r="K60" i="82"/>
  <c r="J60" i="82"/>
  <c r="I60" i="82"/>
  <c r="H60" i="82"/>
  <c r="G60" i="82"/>
  <c r="F60" i="82"/>
  <c r="E60" i="82"/>
  <c r="D60" i="82"/>
  <c r="AF49" i="82"/>
  <c r="AE49" i="82"/>
  <c r="AD49" i="82"/>
  <c r="AC49" i="82"/>
  <c r="AB49" i="82"/>
  <c r="AA49" i="82"/>
  <c r="Z49" i="82"/>
  <c r="Y49" i="82"/>
  <c r="X49" i="82"/>
  <c r="W49" i="82"/>
  <c r="V49" i="82"/>
  <c r="U49" i="82"/>
  <c r="T49" i="82"/>
  <c r="S49" i="82"/>
  <c r="R49" i="82"/>
  <c r="Q49" i="82"/>
  <c r="P49" i="82"/>
  <c r="O49" i="82"/>
  <c r="N49" i="82"/>
  <c r="M49" i="82"/>
  <c r="L49" i="82"/>
  <c r="K49" i="82"/>
  <c r="J49" i="82"/>
  <c r="I49" i="82"/>
  <c r="H49" i="82"/>
  <c r="G49" i="82"/>
  <c r="F49" i="82"/>
  <c r="E49" i="82"/>
  <c r="D49" i="82"/>
  <c r="AF36" i="82"/>
  <c r="AE36" i="82"/>
  <c r="F4" i="84" s="1"/>
  <c r="AD36" i="82"/>
  <c r="E4" i="84" s="1"/>
  <c r="AC36" i="82"/>
  <c r="AB36" i="82"/>
  <c r="AA36" i="82"/>
  <c r="Z36" i="82"/>
  <c r="Y36" i="82"/>
  <c r="X36" i="82"/>
  <c r="W36" i="82"/>
  <c r="V36" i="82"/>
  <c r="U36" i="82"/>
  <c r="T36" i="82"/>
  <c r="S36" i="82"/>
  <c r="R36" i="82"/>
  <c r="Q36" i="82"/>
  <c r="P36" i="82"/>
  <c r="O36" i="82"/>
  <c r="N36" i="82"/>
  <c r="M36" i="82"/>
  <c r="L36" i="82"/>
  <c r="K36" i="82"/>
  <c r="J36" i="82"/>
  <c r="I36" i="82"/>
  <c r="H36" i="82"/>
  <c r="G36" i="82"/>
  <c r="F36" i="82"/>
  <c r="E36" i="82"/>
  <c r="D36" i="82"/>
  <c r="AN30" i="82"/>
  <c r="AM30" i="82"/>
  <c r="AL30" i="82"/>
  <c r="AK30" i="82"/>
  <c r="AJ30" i="82"/>
  <c r="AI30" i="82"/>
  <c r="AH30" i="82"/>
  <c r="AG30" i="82"/>
  <c r="AF30" i="82"/>
  <c r="AD30" i="82"/>
  <c r="AC30" i="82"/>
  <c r="AB30" i="82"/>
  <c r="Y30" i="82"/>
  <c r="X30" i="82"/>
  <c r="U30" i="82"/>
  <c r="T30" i="82"/>
  <c r="S30" i="82"/>
  <c r="AN28" i="82"/>
  <c r="AM28" i="82"/>
  <c r="AL28" i="82"/>
  <c r="AK28" i="82"/>
  <c r="AJ28" i="82"/>
  <c r="AI28" i="82"/>
  <c r="AH28" i="82"/>
  <c r="AG28" i="82"/>
  <c r="AF28" i="82"/>
  <c r="AE28" i="82"/>
  <c r="AD28" i="82"/>
  <c r="AC28" i="82"/>
  <c r="AB28" i="82"/>
  <c r="AA28" i="82"/>
  <c r="Z28" i="82"/>
  <c r="Y28" i="82"/>
  <c r="X28" i="82"/>
  <c r="W28" i="82"/>
  <c r="V28" i="82"/>
  <c r="U28" i="82"/>
  <c r="T28" i="82"/>
  <c r="S28" i="82"/>
  <c r="R28" i="82"/>
  <c r="Q28" i="82"/>
  <c r="T27" i="82"/>
  <c r="S27" i="82"/>
  <c r="R27" i="82"/>
  <c r="Q27" i="82"/>
  <c r="P27" i="82"/>
  <c r="O27" i="82"/>
  <c r="N27" i="82"/>
  <c r="M27" i="82"/>
  <c r="H26" i="82"/>
  <c r="G26" i="82"/>
  <c r="F26" i="82"/>
  <c r="E26" i="82"/>
  <c r="D26" i="82"/>
  <c r="AF25" i="82"/>
  <c r="X25" i="82"/>
  <c r="S25" i="82"/>
  <c r="R25" i="82"/>
  <c r="Q25" i="82"/>
  <c r="P25" i="82"/>
  <c r="AC24" i="82"/>
  <c r="V4" i="50" s="1"/>
  <c r="AA24" i="82"/>
  <c r="T4" i="50" s="1"/>
  <c r="Z24" i="82"/>
  <c r="Y24" i="82"/>
  <c r="X24" i="82"/>
  <c r="AN23" i="82"/>
  <c r="AN29" i="82" s="1"/>
  <c r="AM23" i="82"/>
  <c r="AM29" i="82" s="1"/>
  <c r="AL23" i="82"/>
  <c r="AK23" i="82"/>
  <c r="AK29" i="82" s="1"/>
  <c r="AJ23" i="82"/>
  <c r="AJ29" i="82" s="1"/>
  <c r="AI23" i="82"/>
  <c r="AH23" i="82"/>
  <c r="AG23" i="82"/>
  <c r="AG29" i="82" s="1"/>
  <c r="AF23" i="82"/>
  <c r="AE23" i="82"/>
  <c r="AD23" i="82"/>
  <c r="AC23" i="82"/>
  <c r="AB23" i="82"/>
  <c r="AA23" i="82"/>
  <c r="Z23" i="82"/>
  <c r="Y23" i="82"/>
  <c r="X23" i="82"/>
  <c r="W23" i="82"/>
  <c r="V23" i="82"/>
  <c r="U23" i="82"/>
  <c r="T23" i="82"/>
  <c r="S23" i="82"/>
  <c r="S29" i="82" s="1"/>
  <c r="M23" i="82"/>
  <c r="K23" i="82"/>
  <c r="K29" i="82" s="1"/>
  <c r="J23" i="82"/>
  <c r="J29" i="82" s="1"/>
  <c r="I23" i="82"/>
  <c r="I29" i="82" s="1"/>
  <c r="H23" i="82"/>
  <c r="H29" i="82" s="1"/>
  <c r="G23" i="82"/>
  <c r="G29" i="82" s="1"/>
  <c r="F23" i="82"/>
  <c r="E23" i="82"/>
  <c r="E29" i="82" s="1"/>
  <c r="D23" i="82"/>
  <c r="D29" i="82" s="1"/>
  <c r="W22" i="82"/>
  <c r="V22" i="82"/>
  <c r="U22" i="82"/>
  <c r="T22" i="82"/>
  <c r="S22" i="82"/>
  <c r="R22" i="82"/>
  <c r="Q22" i="82"/>
  <c r="P22" i="82"/>
  <c r="O22" i="82"/>
  <c r="N22" i="82"/>
  <c r="M22" i="82"/>
  <c r="L22" i="82"/>
  <c r="K22" i="82"/>
  <c r="I22" i="82"/>
  <c r="H22" i="82"/>
  <c r="G22" i="82"/>
  <c r="F22" i="82"/>
  <c r="E22" i="82"/>
  <c r="D22" i="82"/>
  <c r="W21" i="82"/>
  <c r="V21" i="82"/>
  <c r="U21" i="82"/>
  <c r="S21" i="82"/>
  <c r="P21" i="82"/>
  <c r="L21" i="82"/>
  <c r="K21" i="82"/>
  <c r="J21" i="82"/>
  <c r="I21" i="82"/>
  <c r="H21" i="82"/>
  <c r="G21" i="82"/>
  <c r="F21" i="82"/>
  <c r="E21" i="82"/>
  <c r="D21" i="82"/>
  <c r="AN20" i="82"/>
  <c r="AM20" i="82"/>
  <c r="AL20" i="82"/>
  <c r="AK20" i="82"/>
  <c r="AJ20" i="82"/>
  <c r="AI20" i="82"/>
  <c r="AH20" i="82"/>
  <c r="AG20" i="82"/>
  <c r="AF20" i="82"/>
  <c r="AE20" i="82"/>
  <c r="AD20" i="82"/>
  <c r="AC20" i="82"/>
  <c r="AB20" i="82"/>
  <c r="AA20" i="82"/>
  <c r="Z20" i="82"/>
  <c r="Y20" i="82"/>
  <c r="X20" i="82"/>
  <c r="W20" i="82"/>
  <c r="V20" i="82"/>
  <c r="U20" i="82"/>
  <c r="P20" i="82"/>
  <c r="M20" i="82"/>
  <c r="L20" i="82"/>
  <c r="K20" i="82"/>
  <c r="J20" i="82"/>
  <c r="I20" i="82"/>
  <c r="H20" i="82"/>
  <c r="G20" i="82"/>
  <c r="F20" i="82"/>
  <c r="E20" i="82"/>
  <c r="D20" i="82"/>
  <c r="K18" i="82"/>
  <c r="AF17" i="82"/>
  <c r="AE17" i="82"/>
  <c r="AD17" i="82"/>
  <c r="AC17" i="82"/>
  <c r="AB17" i="82"/>
  <c r="AA17" i="82"/>
  <c r="Z17" i="82"/>
  <c r="W16" i="82"/>
  <c r="V16" i="82"/>
  <c r="AF12" i="82"/>
  <c r="AE12" i="82"/>
  <c r="F3" i="84" s="1"/>
  <c r="AD12" i="82"/>
  <c r="AC12" i="82"/>
  <c r="AB12" i="82"/>
  <c r="AA12" i="82"/>
  <c r="AA13" i="82" s="1"/>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AC12" i="67"/>
  <c r="AB12" i="67"/>
  <c r="AA12" i="67"/>
  <c r="Z12" i="67"/>
  <c r="Y12" i="67"/>
  <c r="X12" i="67"/>
  <c r="W12" i="67"/>
  <c r="K24" i="33"/>
  <c r="J24" i="33"/>
  <c r="I24" i="33"/>
  <c r="I26" i="33" s="1"/>
  <c r="H24" i="33"/>
  <c r="H26" i="33" s="1"/>
  <c r="G24" i="33"/>
  <c r="F24" i="33"/>
  <c r="E24" i="33"/>
  <c r="J23" i="33"/>
  <c r="AN13" i="33"/>
  <c r="X13" i="33"/>
  <c r="O13" i="33"/>
  <c r="N13" i="33"/>
  <c r="AC12" i="33"/>
  <c r="AF11" i="33"/>
  <c r="AE11" i="33"/>
  <c r="AD11" i="33"/>
  <c r="AC11" i="33"/>
  <c r="AB11" i="33"/>
  <c r="AA11" i="33"/>
  <c r="Z11" i="33"/>
  <c r="Y11" i="33"/>
  <c r="X11" i="33"/>
  <c r="W11" i="33"/>
  <c r="V11" i="33"/>
  <c r="U11" i="33"/>
  <c r="T11" i="33"/>
  <c r="S11" i="33"/>
  <c r="R11" i="33"/>
  <c r="Q11" i="33"/>
  <c r="P11" i="33"/>
  <c r="O11" i="33"/>
  <c r="N11" i="33"/>
  <c r="M11" i="33"/>
  <c r="L11" i="33"/>
  <c r="K11" i="33"/>
  <c r="J11" i="33"/>
  <c r="AF10" i="33"/>
  <c r="C12" i="35" s="1"/>
  <c r="AE10" i="33"/>
  <c r="AD10" i="33"/>
  <c r="AC10" i="33"/>
  <c r="AC14" i="33" s="1"/>
  <c r="AB10" i="33"/>
  <c r="AB18" i="82" s="1"/>
  <c r="AA10" i="33"/>
  <c r="AA18" i="82" s="1"/>
  <c r="Z10" i="33"/>
  <c r="Z18" i="82" s="1"/>
  <c r="Y10" i="33"/>
  <c r="Y18" i="82" s="1"/>
  <c r="X10" i="33"/>
  <c r="Y14" i="33" s="1"/>
  <c r="W10" i="33"/>
  <c r="W17" i="75" s="1"/>
  <c r="V10" i="33"/>
  <c r="W14" i="33" s="1"/>
  <c r="U10" i="33"/>
  <c r="T10" i="33"/>
  <c r="S10" i="33"/>
  <c r="S17" i="75" s="1"/>
  <c r="R10" i="33"/>
  <c r="R18" i="82" s="1"/>
  <c r="Q10" i="33"/>
  <c r="P10" i="33"/>
  <c r="O10" i="33"/>
  <c r="O17" i="59" s="1"/>
  <c r="N10" i="33"/>
  <c r="M10" i="33"/>
  <c r="L10" i="33"/>
  <c r="K10" i="33"/>
  <c r="J10" i="33"/>
  <c r="J18" i="82" s="1"/>
  <c r="I10" i="33"/>
  <c r="I17" i="75" s="1"/>
  <c r="H10" i="33"/>
  <c r="H14" i="33" s="1"/>
  <c r="G10" i="33"/>
  <c r="G17" i="75" s="1"/>
  <c r="F10" i="33"/>
  <c r="E10" i="33"/>
  <c r="D10" i="33"/>
  <c r="L57" i="49"/>
  <c r="K57" i="49"/>
  <c r="J57" i="49"/>
  <c r="P56" i="49"/>
  <c r="O56" i="49"/>
  <c r="N56" i="49"/>
  <c r="M56" i="49"/>
  <c r="L56" i="49"/>
  <c r="K56" i="49"/>
  <c r="J56" i="49"/>
  <c r="I56" i="49"/>
  <c r="H56" i="49"/>
  <c r="G56" i="49"/>
  <c r="F56" i="49"/>
  <c r="P55" i="49"/>
  <c r="O55" i="49"/>
  <c r="N55" i="49"/>
  <c r="M55" i="49"/>
  <c r="L55" i="49"/>
  <c r="K55" i="49"/>
  <c r="J55" i="49"/>
  <c r="I55" i="49"/>
  <c r="H55" i="49"/>
  <c r="G55" i="49"/>
  <c r="F55" i="49"/>
  <c r="K22" i="49"/>
  <c r="F22" i="49"/>
  <c r="E22" i="49"/>
  <c r="D22" i="49"/>
  <c r="C22" i="49"/>
  <c r="S20" i="49"/>
  <c r="R20" i="49"/>
  <c r="Q20" i="49"/>
  <c r="P20" i="49"/>
  <c r="O20" i="49"/>
  <c r="N20" i="49"/>
  <c r="M20" i="49"/>
  <c r="L20" i="49"/>
  <c r="K20" i="49"/>
  <c r="J20" i="49"/>
  <c r="I20" i="49"/>
  <c r="H20" i="49"/>
  <c r="G20" i="49"/>
  <c r="F20" i="49"/>
  <c r="E20" i="49"/>
  <c r="D20" i="49"/>
  <c r="AF11" i="49"/>
  <c r="AE11" i="49"/>
  <c r="AD11" i="49"/>
  <c r="AC11" i="49"/>
  <c r="AB11" i="49"/>
  <c r="AA11" i="49"/>
  <c r="Z11" i="49"/>
  <c r="Y11" i="49"/>
  <c r="Y12" i="49" s="1"/>
  <c r="X11" i="49"/>
  <c r="X12" i="49" s="1"/>
  <c r="W11" i="49"/>
  <c r="V11" i="49"/>
  <c r="U11" i="49"/>
  <c r="T11" i="49"/>
  <c r="S11" i="49"/>
  <c r="S12" i="49" s="1"/>
  <c r="R11" i="49"/>
  <c r="R12" i="49" s="1"/>
  <c r="Q11" i="49"/>
  <c r="Q12" i="49" s="1"/>
  <c r="P11" i="49"/>
  <c r="O11" i="49"/>
  <c r="N11" i="49"/>
  <c r="M11" i="49"/>
  <c r="L11" i="49"/>
  <c r="K11" i="49"/>
  <c r="J11" i="49"/>
  <c r="I11" i="49"/>
  <c r="I12" i="49" s="1"/>
  <c r="H11" i="49"/>
  <c r="H12" i="49" s="1"/>
  <c r="G11" i="49"/>
  <c r="F11" i="49"/>
  <c r="E11" i="49"/>
  <c r="D11" i="49"/>
  <c r="AF10" i="49"/>
  <c r="AE10" i="49"/>
  <c r="AE30" i="49" s="1"/>
  <c r="AD10" i="49"/>
  <c r="AD30" i="49" s="1"/>
  <c r="AC10" i="49"/>
  <c r="AC30" i="49" s="1"/>
  <c r="AB10" i="49"/>
  <c r="AB30" i="49" s="1"/>
  <c r="AA10" i="49"/>
  <c r="AA30" i="49" s="1"/>
  <c r="Z10" i="49"/>
  <c r="Z30" i="49" s="1"/>
  <c r="Y10" i="49"/>
  <c r="Y30" i="49" s="1"/>
  <c r="X10" i="49"/>
  <c r="X30" i="49" s="1"/>
  <c r="W10" i="49"/>
  <c r="W30" i="49" s="1"/>
  <c r="V10" i="49"/>
  <c r="V30" i="49" s="1"/>
  <c r="U10" i="49"/>
  <c r="U30" i="49" s="1"/>
  <c r="T10" i="49"/>
  <c r="S10" i="49"/>
  <c r="R10" i="49"/>
  <c r="R30" i="49" s="1"/>
  <c r="R37" i="82" s="1"/>
  <c r="Q10" i="49"/>
  <c r="P10" i="49"/>
  <c r="O10" i="49"/>
  <c r="O30" i="49" s="1"/>
  <c r="O37" i="82" s="1"/>
  <c r="N10" i="49"/>
  <c r="M10" i="49"/>
  <c r="L10" i="49"/>
  <c r="L30" i="49" s="1"/>
  <c r="K10" i="49"/>
  <c r="K30" i="49" s="1"/>
  <c r="J10" i="49"/>
  <c r="I10" i="49"/>
  <c r="H10" i="49"/>
  <c r="G10" i="49"/>
  <c r="F10" i="49"/>
  <c r="E10" i="49"/>
  <c r="D10" i="49"/>
  <c r="AD82" i="30"/>
  <c r="AD80" i="30"/>
  <c r="AD73" i="30"/>
  <c r="AD72" i="30"/>
  <c r="AD71" i="30"/>
  <c r="AD70" i="30"/>
  <c r="AD69" i="30"/>
  <c r="AD68" i="30"/>
  <c r="AD67" i="30"/>
  <c r="AD66" i="30"/>
  <c r="G47" i="30"/>
  <c r="F47" i="30"/>
  <c r="AF46" i="30"/>
  <c r="Y6" i="50" s="1"/>
  <c r="AE46" i="30"/>
  <c r="X6" i="50" s="1"/>
  <c r="AD46" i="30"/>
  <c r="W6" i="50" s="1"/>
  <c r="AC46" i="30"/>
  <c r="V6" i="50" s="1"/>
  <c r="AB46" i="30"/>
  <c r="U6" i="50" s="1"/>
  <c r="AA46" i="30"/>
  <c r="Z46" i="30"/>
  <c r="X46" i="30"/>
  <c r="M46" i="30"/>
  <c r="AC44" i="30"/>
  <c r="AB44" i="30"/>
  <c r="AC42" i="30"/>
  <c r="AC25" i="30" s="1"/>
  <c r="AB42" i="30"/>
  <c r="AB25" i="30" s="1"/>
  <c r="AC41" i="30"/>
  <c r="AB41" i="30"/>
  <c r="AA41" i="30"/>
  <c r="Z41" i="30"/>
  <c r="Y41" i="30"/>
  <c r="X41" i="30"/>
  <c r="M41" i="30"/>
  <c r="AC40" i="30"/>
  <c r="AB40" i="30"/>
  <c r="AA40" i="30"/>
  <c r="Z40" i="30"/>
  <c r="Y40" i="30"/>
  <c r="X40" i="30"/>
  <c r="AC39" i="30"/>
  <c r="AB39" i="30"/>
  <c r="AA39" i="30"/>
  <c r="Z39" i="30"/>
  <c r="Y39" i="30"/>
  <c r="X39" i="30"/>
  <c r="AC38" i="30"/>
  <c r="AC21" i="30" s="1"/>
  <c r="AB38" i="30"/>
  <c r="AB21" i="30" s="1"/>
  <c r="AA38" i="30"/>
  <c r="AA21" i="30" s="1"/>
  <c r="Z38" i="30"/>
  <c r="Z21" i="30" s="1"/>
  <c r="Y38" i="30"/>
  <c r="Y21" i="30" s="1"/>
  <c r="AC37" i="30"/>
  <c r="AB37" i="30"/>
  <c r="AA37" i="30"/>
  <c r="Z37" i="30"/>
  <c r="Y37" i="30"/>
  <c r="X37" i="30"/>
  <c r="O35" i="30"/>
  <c r="O26" i="30" s="1"/>
  <c r="N35" i="30"/>
  <c r="O34" i="30"/>
  <c r="AG28" i="30"/>
  <c r="AH28" i="30" s="1"/>
  <c r="AI28" i="30" s="1"/>
  <c r="AJ28" i="30" s="1"/>
  <c r="AK28" i="30" s="1"/>
  <c r="AL28" i="30" s="1"/>
  <c r="AM28" i="30" s="1"/>
  <c r="AN28" i="30" s="1"/>
  <c r="AF28" i="30"/>
  <c r="AE28" i="30"/>
  <c r="AD28" i="30"/>
  <c r="AC28" i="30"/>
  <c r="AB28" i="30"/>
  <c r="AA28" i="30"/>
  <c r="Z28" i="30"/>
  <c r="Y28" i="30"/>
  <c r="X28" i="30"/>
  <c r="W28" i="30"/>
  <c r="V28" i="30"/>
  <c r="U28" i="30"/>
  <c r="AD65" i="30" s="1"/>
  <c r="T28" i="30"/>
  <c r="AN27" i="30"/>
  <c r="AM27" i="30"/>
  <c r="AL27" i="30"/>
  <c r="AK27" i="30"/>
  <c r="AJ27" i="30"/>
  <c r="AI27" i="30"/>
  <c r="AH27" i="30"/>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AN25" i="30"/>
  <c r="AM25" i="30"/>
  <c r="AL25" i="30"/>
  <c r="AK25" i="30"/>
  <c r="AJ25" i="30"/>
  <c r="AI25" i="30"/>
  <c r="AH25" i="30"/>
  <c r="AG25" i="30"/>
  <c r="AF25" i="30"/>
  <c r="AE25" i="30"/>
  <c r="AD25" i="30"/>
  <c r="AF24" i="30"/>
  <c r="AG24" i="30" s="1"/>
  <c r="AH24" i="30" s="1"/>
  <c r="AI24" i="30" s="1"/>
  <c r="AJ24" i="30" s="1"/>
  <c r="AK24" i="30" s="1"/>
  <c r="AL24" i="30" s="1"/>
  <c r="AM24" i="30" s="1"/>
  <c r="AN24" i="30" s="1"/>
  <c r="AE24" i="30"/>
  <c r="AD24" i="30"/>
  <c r="AC24" i="30"/>
  <c r="AB24" i="30"/>
  <c r="AA24" i="30"/>
  <c r="Z24" i="30"/>
  <c r="Y24" i="30"/>
  <c r="X24" i="30"/>
  <c r="W24" i="30"/>
  <c r="V24" i="30"/>
  <c r="U24" i="30"/>
  <c r="AD61" i="30" s="1"/>
  <c r="T24" i="30"/>
  <c r="S24" i="30"/>
  <c r="R24" i="30"/>
  <c r="Q24" i="30"/>
  <c r="P24" i="30"/>
  <c r="O24" i="30"/>
  <c r="N24" i="30"/>
  <c r="AF23" i="30"/>
  <c r="AE23" i="30"/>
  <c r="AD23" i="30"/>
  <c r="AC23" i="30"/>
  <c r="AB23" i="30"/>
  <c r="AA23" i="30"/>
  <c r="Z23" i="30"/>
  <c r="Y23" i="30"/>
  <c r="X23" i="30"/>
  <c r="W23" i="30"/>
  <c r="V23" i="30"/>
  <c r="U23" i="30"/>
  <c r="AD60" i="30" s="1"/>
  <c r="T23" i="30"/>
  <c r="S23" i="30"/>
  <c r="R23" i="30"/>
  <c r="Q23" i="30"/>
  <c r="P23" i="30"/>
  <c r="O23" i="30"/>
  <c r="N23" i="30"/>
  <c r="AF22" i="30"/>
  <c r="AG22" i="30" s="1"/>
  <c r="AE22" i="30"/>
  <c r="AD22" i="30"/>
  <c r="AC22" i="30"/>
  <c r="AB22" i="30"/>
  <c r="AA22" i="30"/>
  <c r="Z22" i="30"/>
  <c r="Y22" i="30"/>
  <c r="X22" i="30"/>
  <c r="W22" i="30"/>
  <c r="V22" i="30"/>
  <c r="U22" i="30"/>
  <c r="AD59" i="30" s="1"/>
  <c r="T22" i="30"/>
  <c r="S22" i="30"/>
  <c r="R22" i="30"/>
  <c r="Q22" i="30"/>
  <c r="P22" i="30"/>
  <c r="O22" i="30"/>
  <c r="N22" i="30"/>
  <c r="M22" i="30"/>
  <c r="L22" i="30"/>
  <c r="K22" i="30"/>
  <c r="J22" i="30"/>
  <c r="I22" i="30"/>
  <c r="H22" i="30"/>
  <c r="AN21" i="30"/>
  <c r="AM21" i="30"/>
  <c r="AL21" i="30"/>
  <c r="AK21" i="30"/>
  <c r="AJ21" i="30"/>
  <c r="AI21" i="30"/>
  <c r="AH21" i="30"/>
  <c r="AG21" i="30"/>
  <c r="AF21" i="30"/>
  <c r="AE21" i="30"/>
  <c r="AD21" i="30"/>
  <c r="T21" i="30"/>
  <c r="S21" i="30"/>
  <c r="R21" i="30"/>
  <c r="Q21" i="30"/>
  <c r="P21" i="30"/>
  <c r="O21" i="30"/>
  <c r="N21" i="30"/>
  <c r="M21" i="30"/>
  <c r="L21" i="30"/>
  <c r="K21" i="30"/>
  <c r="J21" i="30"/>
  <c r="I21" i="30"/>
  <c r="H21" i="30"/>
  <c r="AF20" i="30"/>
  <c r="AE20" i="30"/>
  <c r="AD20" i="30"/>
  <c r="AC20" i="30"/>
  <c r="AB20" i="30"/>
  <c r="AA20" i="30"/>
  <c r="Z20" i="30"/>
  <c r="Y20" i="30"/>
  <c r="X20" i="30"/>
  <c r="W20" i="30"/>
  <c r="V20" i="30"/>
  <c r="U20" i="30"/>
  <c r="AD57" i="30" s="1"/>
  <c r="T20" i="30"/>
  <c r="S20" i="30"/>
  <c r="R20" i="30"/>
  <c r="Q20" i="30"/>
  <c r="P20" i="30"/>
  <c r="O20" i="30"/>
  <c r="N20" i="30"/>
  <c r="M20" i="30"/>
  <c r="L20" i="30"/>
  <c r="K20" i="30"/>
  <c r="J20" i="30"/>
  <c r="I20" i="30"/>
  <c r="H20" i="30"/>
  <c r="AN19" i="30"/>
  <c r="AM19" i="30"/>
  <c r="AL19" i="30"/>
  <c r="AK19" i="30"/>
  <c r="AJ19" i="30"/>
  <c r="AI19" i="30"/>
  <c r="AH19" i="30"/>
  <c r="AG19" i="30"/>
  <c r="AF19" i="30"/>
  <c r="AE19" i="30"/>
  <c r="AD19" i="30"/>
  <c r="AC19" i="30"/>
  <c r="AB19" i="30"/>
  <c r="AA19" i="30"/>
  <c r="Z19" i="30"/>
  <c r="Y19" i="30"/>
  <c r="X19" i="30"/>
  <c r="W19" i="30"/>
  <c r="V19" i="30"/>
  <c r="U19" i="30"/>
  <c r="AD56" i="30" s="1"/>
  <c r="T19" i="30"/>
  <c r="S19" i="30"/>
  <c r="R19" i="30"/>
  <c r="Q19" i="30"/>
  <c r="P19" i="30"/>
  <c r="O19" i="30"/>
  <c r="N19" i="30"/>
  <c r="M19" i="30"/>
  <c r="O31" i="30" s="1"/>
  <c r="O30" i="30" s="1"/>
  <c r="L19" i="30"/>
  <c r="K19" i="30"/>
  <c r="J19" i="30"/>
  <c r="I19" i="30"/>
  <c r="H19" i="30"/>
  <c r="AF18" i="30"/>
  <c r="AG18" i="30" s="1"/>
  <c r="AE18" i="30"/>
  <c r="AD18" i="30"/>
  <c r="AC18" i="30"/>
  <c r="AB18" i="30"/>
  <c r="AA18" i="30"/>
  <c r="Z18" i="30"/>
  <c r="Y18" i="30"/>
  <c r="X18" i="30"/>
  <c r="W18" i="30"/>
  <c r="V18" i="30"/>
  <c r="U18" i="30"/>
  <c r="T18" i="30"/>
  <c r="S18" i="30"/>
  <c r="R18" i="30"/>
  <c r="Q18" i="30"/>
  <c r="P18" i="30"/>
  <c r="O18" i="30"/>
  <c r="N18" i="30"/>
  <c r="M18" i="30"/>
  <c r="L18" i="30"/>
  <c r="K18" i="30"/>
  <c r="J18" i="30"/>
  <c r="I18" i="30"/>
  <c r="H18"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2" i="30"/>
  <c r="F12" i="30"/>
  <c r="AF11" i="30"/>
  <c r="AF47" i="30" s="1"/>
  <c r="C6" i="35" s="1"/>
  <c r="D10" i="55" s="1"/>
  <c r="AE11" i="30"/>
  <c r="AE47" i="30" s="1"/>
  <c r="AD11" i="30"/>
  <c r="AD47" i="30" s="1"/>
  <c r="AC11" i="30"/>
  <c r="AC47" i="30" s="1"/>
  <c r="AB11" i="30"/>
  <c r="AB47" i="30" s="1"/>
  <c r="AA11" i="30"/>
  <c r="AA47" i="30" s="1"/>
  <c r="Z11" i="30"/>
  <c r="Z47" i="30" s="1"/>
  <c r="Y11" i="30"/>
  <c r="X11" i="30"/>
  <c r="X47" i="30" s="1"/>
  <c r="W11" i="30"/>
  <c r="V11" i="30"/>
  <c r="U11" i="30"/>
  <c r="T11" i="30"/>
  <c r="S11" i="30"/>
  <c r="R11" i="30"/>
  <c r="Q11" i="30"/>
  <c r="P11" i="30"/>
  <c r="O11" i="30"/>
  <c r="N11" i="30"/>
  <c r="M11" i="30"/>
  <c r="M47" i="30" s="1"/>
  <c r="L11" i="30"/>
  <c r="K11" i="30"/>
  <c r="K47" i="30" s="1"/>
  <c r="J11" i="30"/>
  <c r="J47" i="30" s="1"/>
  <c r="I11" i="30"/>
  <c r="I47" i="30" s="1"/>
  <c r="H11" i="30"/>
  <c r="AE55" i="20"/>
  <c r="AC53" i="20"/>
  <c r="AB53" i="20"/>
  <c r="AA53" i="20"/>
  <c r="Z53" i="20"/>
  <c r="Y53" i="20"/>
  <c r="X53" i="20"/>
  <c r="W53" i="20"/>
  <c r="V53" i="20"/>
  <c r="U53" i="20"/>
  <c r="T53" i="20"/>
  <c r="S53" i="20"/>
  <c r="R53" i="20"/>
  <c r="Q53" i="20"/>
  <c r="P53" i="20"/>
  <c r="O53" i="20"/>
  <c r="N53" i="20"/>
  <c r="M53" i="20"/>
  <c r="L53" i="20"/>
  <c r="K53" i="20"/>
  <c r="J53" i="20"/>
  <c r="I53" i="20"/>
  <c r="H53" i="20"/>
  <c r="G53" i="20"/>
  <c r="F53" i="20"/>
  <c r="E53" i="20"/>
  <c r="D53" i="20"/>
  <c r="AC51" i="20"/>
  <c r="AB51" i="20"/>
  <c r="AA51" i="20"/>
  <c r="Z51" i="20"/>
  <c r="Y51" i="20"/>
  <c r="X51" i="20"/>
  <c r="W51" i="20"/>
  <c r="V51" i="20"/>
  <c r="U51" i="20"/>
  <c r="T51" i="20"/>
  <c r="S51" i="20"/>
  <c r="R51" i="20"/>
  <c r="Q51" i="20"/>
  <c r="P51" i="20"/>
  <c r="O51" i="20"/>
  <c r="N51" i="20"/>
  <c r="M51" i="20"/>
  <c r="L51" i="20"/>
  <c r="K51" i="20"/>
  <c r="J51" i="20"/>
  <c r="I51" i="20"/>
  <c r="H51" i="20"/>
  <c r="G51" i="20"/>
  <c r="F51" i="20"/>
  <c r="E51" i="20"/>
  <c r="D51" i="20"/>
  <c r="AC50" i="20"/>
  <c r="AB50" i="20"/>
  <c r="AA50" i="20"/>
  <c r="Z50" i="20"/>
  <c r="Y50" i="20"/>
  <c r="X50" i="20"/>
  <c r="W50" i="20"/>
  <c r="V50" i="20"/>
  <c r="U50" i="20"/>
  <c r="T50" i="20"/>
  <c r="S50" i="20"/>
  <c r="R50" i="20"/>
  <c r="Q50" i="20"/>
  <c r="P50" i="20"/>
  <c r="O50" i="20"/>
  <c r="N50" i="20"/>
  <c r="M50" i="20"/>
  <c r="L50" i="20"/>
  <c r="K50" i="20"/>
  <c r="J50" i="20"/>
  <c r="I50" i="20"/>
  <c r="H50" i="20"/>
  <c r="G50" i="20"/>
  <c r="F50" i="20"/>
  <c r="E50" i="20"/>
  <c r="D50" i="20"/>
  <c r="BC46" i="20"/>
  <c r="BB46" i="20"/>
  <c r="BA46" i="20"/>
  <c r="AZ46" i="20"/>
  <c r="AY46" i="20"/>
  <c r="AX46" i="20"/>
  <c r="AW46" i="20"/>
  <c r="AV46" i="20"/>
  <c r="AU46" i="20"/>
  <c r="AT46" i="20"/>
  <c r="AS46" i="20"/>
  <c r="AR46" i="20"/>
  <c r="Y85" i="80" s="1"/>
  <c r="AQ46" i="20"/>
  <c r="X85" i="80" s="1"/>
  <c r="AP46" i="20"/>
  <c r="W85" i="80" s="1"/>
  <c r="AO46" i="20"/>
  <c r="V85" i="80" s="1"/>
  <c r="AN46" i="20"/>
  <c r="U85" i="80" s="1"/>
  <c r="AM46" i="20"/>
  <c r="T85" i="80" s="1"/>
  <c r="AL46" i="20"/>
  <c r="S85" i="80" s="1"/>
  <c r="AK46" i="20"/>
  <c r="R85" i="80" s="1"/>
  <c r="AJ46" i="20"/>
  <c r="Q85" i="80" s="1"/>
  <c r="AI46" i="20"/>
  <c r="P85" i="80" s="1"/>
  <c r="AH46" i="20"/>
  <c r="O85" i="80" s="1"/>
  <c r="AG46" i="20"/>
  <c r="N85" i="80" s="1"/>
  <c r="AF46" i="20"/>
  <c r="M85" i="80" s="1"/>
  <c r="AE46" i="20"/>
  <c r="L85" i="80" s="1"/>
  <c r="AD46" i="20"/>
  <c r="K85" i="80" s="1"/>
  <c r="AC46" i="20"/>
  <c r="J85" i="80" s="1"/>
  <c r="AB46" i="20"/>
  <c r="I85" i="80" s="1"/>
  <c r="AA46" i="20"/>
  <c r="H85" i="80" s="1"/>
  <c r="Z46" i="20"/>
  <c r="G85" i="80" s="1"/>
  <c r="Y46" i="20"/>
  <c r="F85" i="80" s="1"/>
  <c r="X46" i="20"/>
  <c r="E85" i="80" s="1"/>
  <c r="W46" i="20"/>
  <c r="D85" i="80" s="1"/>
  <c r="V46" i="20"/>
  <c r="C85" i="80" s="1"/>
  <c r="U46" i="20"/>
  <c r="T46" i="20"/>
  <c r="S46" i="20"/>
  <c r="R46" i="20"/>
  <c r="Q46" i="20"/>
  <c r="P46" i="20"/>
  <c r="O46" i="20"/>
  <c r="N46" i="20"/>
  <c r="M46" i="20"/>
  <c r="L46" i="20"/>
  <c r="K46" i="20"/>
  <c r="J46" i="20"/>
  <c r="I46" i="20"/>
  <c r="H46" i="20"/>
  <c r="G46" i="20"/>
  <c r="F46" i="20"/>
  <c r="E46" i="20"/>
  <c r="D46" i="20"/>
  <c r="AN37" i="20"/>
  <c r="AM37" i="20"/>
  <c r="AL37" i="20"/>
  <c r="AK37" i="20"/>
  <c r="AJ37" i="20"/>
  <c r="AI37" i="20"/>
  <c r="AH37" i="20"/>
  <c r="AG37" i="20"/>
  <c r="AF34" i="20"/>
  <c r="AE34" i="20"/>
  <c r="AD34" i="20"/>
  <c r="AC34" i="20"/>
  <c r="AB34" i="20"/>
  <c r="AB38" i="20" s="1"/>
  <c r="AA34" i="20"/>
  <c r="AA38" i="20" s="1"/>
  <c r="Z34" i="20"/>
  <c r="Z38" i="20" s="1"/>
  <c r="Y34" i="20"/>
  <c r="Y38" i="20" s="1"/>
  <c r="X34" i="20"/>
  <c r="X38" i="20" s="1"/>
  <c r="W34" i="20"/>
  <c r="V34" i="20"/>
  <c r="V38" i="20" s="1"/>
  <c r="U34" i="20"/>
  <c r="U38" i="20" s="1"/>
  <c r="T34" i="20"/>
  <c r="T38" i="20" s="1"/>
  <c r="S34" i="20"/>
  <c r="R34" i="20"/>
  <c r="R38" i="20" s="1"/>
  <c r="Q34" i="20"/>
  <c r="P34" i="20"/>
  <c r="O34" i="20"/>
  <c r="N34" i="20"/>
  <c r="M34" i="20"/>
  <c r="L34" i="20"/>
  <c r="K34" i="20"/>
  <c r="J34" i="20"/>
  <c r="J38" i="20" s="1"/>
  <c r="I34" i="20"/>
  <c r="I38" i="20" s="1"/>
  <c r="H34" i="20"/>
  <c r="H38" i="20" s="1"/>
  <c r="AE9" i="20"/>
  <c r="AD9" i="20"/>
  <c r="AC9" i="20"/>
  <c r="AB9" i="20"/>
  <c r="AA9" i="20"/>
  <c r="Z9" i="20"/>
  <c r="Y9" i="20"/>
  <c r="X9" i="20"/>
  <c r="W9" i="20"/>
  <c r="V9" i="20"/>
  <c r="U9" i="20"/>
  <c r="T9" i="20"/>
  <c r="S9" i="20"/>
  <c r="R9" i="20"/>
  <c r="Q9" i="20"/>
  <c r="P9" i="20"/>
  <c r="O9" i="20"/>
  <c r="N9" i="20"/>
  <c r="M9" i="20"/>
  <c r="L9" i="20"/>
  <c r="K9" i="20"/>
  <c r="J9" i="20"/>
  <c r="I9" i="20"/>
  <c r="H9" i="20"/>
  <c r="AD95" i="26"/>
  <c r="AC95" i="26"/>
  <c r="AB95" i="26"/>
  <c r="AA95" i="26"/>
  <c r="Z95" i="26"/>
  <c r="Y95" i="26"/>
  <c r="X95" i="26"/>
  <c r="W95" i="26"/>
  <c r="V95" i="26"/>
  <c r="U95" i="26"/>
  <c r="T95" i="26"/>
  <c r="S95" i="26"/>
  <c r="Q94" i="26"/>
  <c r="Q64" i="20" s="1"/>
  <c r="P94" i="26"/>
  <c r="P64" i="20" s="1"/>
  <c r="O94" i="26"/>
  <c r="O64" i="20" s="1"/>
  <c r="N94" i="26"/>
  <c r="N64" i="20" s="1"/>
  <c r="M94" i="26"/>
  <c r="M64" i="20" s="1"/>
  <c r="L94" i="26"/>
  <c r="L64" i="20" s="1"/>
  <c r="K94" i="26"/>
  <c r="K64" i="20" s="1"/>
  <c r="J94" i="26"/>
  <c r="J64" i="20" s="1"/>
  <c r="I94" i="26"/>
  <c r="H94"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C67" i="26"/>
  <c r="C66" i="26"/>
  <c r="C65" i="26"/>
  <c r="C64" i="26"/>
  <c r="C45" i="26" s="1"/>
  <c r="C63" i="26"/>
  <c r="C61" i="26"/>
  <c r="R32" i="26" s="1"/>
  <c r="C60" i="26"/>
  <c r="W31" i="26" s="1"/>
  <c r="C59" i="26"/>
  <c r="T30" i="26" s="1"/>
  <c r="C58" i="26"/>
  <c r="C57" i="26"/>
  <c r="C47" i="26" s="1"/>
  <c r="M28" i="26" s="1"/>
  <c r="M15" i="26" s="1"/>
  <c r="C52" i="26"/>
  <c r="C48" i="26"/>
  <c r="E48" i="26" s="1"/>
  <c r="C46" i="26"/>
  <c r="C44" i="26"/>
  <c r="J24" i="26" s="1"/>
  <c r="S37" i="26"/>
  <c r="S17" i="26" s="1"/>
  <c r="R37" i="26"/>
  <c r="R17" i="26" s="1"/>
  <c r="Q37" i="26"/>
  <c r="Q17" i="26" s="1"/>
  <c r="P37" i="26"/>
  <c r="P17" i="26" s="1"/>
  <c r="O36" i="26"/>
  <c r="AD35" i="26"/>
  <c r="AC35" i="26"/>
  <c r="AC13" i="26" s="1"/>
  <c r="AB35" i="26"/>
  <c r="AA35" i="26"/>
  <c r="AA13" i="26" s="1"/>
  <c r="Y35" i="26"/>
  <c r="X35" i="26"/>
  <c r="T35" i="26"/>
  <c r="P35" i="26"/>
  <c r="Q34" i="26"/>
  <c r="N34" i="26"/>
  <c r="X32" i="26"/>
  <c r="W32" i="26"/>
  <c r="V32" i="26"/>
  <c r="U32" i="26"/>
  <c r="T32" i="26"/>
  <c r="S32" i="26"/>
  <c r="O32" i="26"/>
  <c r="N32" i="26"/>
  <c r="M32" i="26"/>
  <c r="X31" i="26"/>
  <c r="V31" i="26"/>
  <c r="T31" i="26"/>
  <c r="S31" i="26"/>
  <c r="P31" i="26"/>
  <c r="W30" i="26"/>
  <c r="V30" i="26"/>
  <c r="U30" i="26"/>
  <c r="Q30" i="26"/>
  <c r="O30" i="26"/>
  <c r="AD27" i="26"/>
  <c r="AC27" i="26"/>
  <c r="AB27" i="26"/>
  <c r="AA27" i="26"/>
  <c r="Z27" i="26"/>
  <c r="Y27" i="26"/>
  <c r="AO26" i="26"/>
  <c r="AO25" i="26"/>
  <c r="AO24" i="26"/>
  <c r="P23" i="26"/>
  <c r="O23" i="26"/>
  <c r="N23" i="26"/>
  <c r="M23" i="26"/>
  <c r="L23" i="26"/>
  <c r="K23" i="26"/>
  <c r="J23" i="26"/>
  <c r="AF19" i="26"/>
  <c r="AE19" i="26"/>
  <c r="AD19" i="26"/>
  <c r="AC19" i="26"/>
  <c r="AB19" i="26"/>
  <c r="AA19" i="26"/>
  <c r="Z19" i="26"/>
  <c r="Y19" i="26"/>
  <c r="X19" i="26"/>
  <c r="W19" i="26"/>
  <c r="V19" i="26"/>
  <c r="U19" i="26"/>
  <c r="T19" i="26"/>
  <c r="S19" i="26"/>
  <c r="R19" i="26"/>
  <c r="Q19" i="26"/>
  <c r="P19" i="26"/>
  <c r="O19" i="26"/>
  <c r="N19" i="26"/>
  <c r="M19" i="26"/>
  <c r="L19" i="26"/>
  <c r="K19" i="26"/>
  <c r="S18" i="26"/>
  <c r="Q18" i="26"/>
  <c r="P18" i="26"/>
  <c r="AD16" i="26"/>
  <c r="AD77" i="26" s="1"/>
  <c r="AC16" i="26"/>
  <c r="AC77" i="26" s="1"/>
  <c r="AB16" i="26"/>
  <c r="AB77" i="26" s="1"/>
  <c r="AA16" i="26"/>
  <c r="AA77" i="26" s="1"/>
  <c r="Z16" i="26"/>
  <c r="Z77" i="26" s="1"/>
  <c r="Y16" i="26"/>
  <c r="Y77" i="26" s="1"/>
  <c r="AD15" i="26"/>
  <c r="AC15" i="26"/>
  <c r="AB15" i="26"/>
  <c r="AA15" i="26"/>
  <c r="Z15" i="26"/>
  <c r="Y15" i="26"/>
  <c r="AF14" i="26"/>
  <c r="AF75" i="26" s="1"/>
  <c r="AE14" i="26"/>
  <c r="AE75" i="26" s="1"/>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S75" i="26" s="1"/>
  <c r="R14" i="26"/>
  <c r="R75" i="26" s="1"/>
  <c r="Q14" i="26"/>
  <c r="Q75" i="26" s="1"/>
  <c r="P14" i="26"/>
  <c r="P75" i="26" s="1"/>
  <c r="O14" i="26"/>
  <c r="O75" i="26" s="1"/>
  <c r="N14" i="26"/>
  <c r="N75" i="26" s="1"/>
  <c r="M14" i="26"/>
  <c r="L14" i="26"/>
  <c r="L75" i="26" s="1"/>
  <c r="K14" i="26"/>
  <c r="K75" i="26" s="1"/>
  <c r="J14" i="26"/>
  <c r="J75" i="26" s="1"/>
  <c r="AD13" i="26"/>
  <c r="AB13" i="26"/>
  <c r="Y13" i="26"/>
  <c r="Y81" i="26" s="1"/>
  <c r="X13" i="26"/>
  <c r="X81" i="26" s="1"/>
  <c r="T13" i="26"/>
  <c r="T81" i="26" s="1"/>
  <c r="S13" i="26"/>
  <c r="S81" i="26" s="1"/>
  <c r="R13" i="26"/>
  <c r="R81" i="26" s="1"/>
  <c r="Q13" i="26"/>
  <c r="Q81" i="26" s="1"/>
  <c r="P13" i="26"/>
  <c r="P81" i="26" s="1"/>
  <c r="O13" i="26"/>
  <c r="O81" i="26" s="1"/>
  <c r="N13" i="26"/>
  <c r="N81" i="26" s="1"/>
  <c r="M13" i="26"/>
  <c r="M81" i="26" s="1"/>
  <c r="L13" i="26"/>
  <c r="L81" i="26" s="1"/>
  <c r="K13" i="26"/>
  <c r="K81" i="26" s="1"/>
  <c r="J13" i="26"/>
  <c r="AP12" i="26"/>
  <c r="J12" i="26"/>
  <c r="D44" i="26" s="1"/>
  <c r="AF10" i="26"/>
  <c r="AE10" i="26"/>
  <c r="AD10" i="26"/>
  <c r="AC10" i="26"/>
  <c r="AC11" i="26" s="1"/>
  <c r="AB10" i="26"/>
  <c r="AA10" i="26"/>
  <c r="Z10" i="26"/>
  <c r="Y10" i="26"/>
  <c r="X10" i="26"/>
  <c r="W10" i="26"/>
  <c r="V10" i="26"/>
  <c r="U10" i="26"/>
  <c r="T10" i="26"/>
  <c r="S10" i="26"/>
  <c r="R10" i="26"/>
  <c r="Q10" i="26"/>
  <c r="P10" i="26"/>
  <c r="O10" i="26"/>
  <c r="N10" i="26"/>
  <c r="N11" i="26" s="1"/>
  <c r="M10" i="26"/>
  <c r="M11" i="26" s="1"/>
  <c r="L10" i="26"/>
  <c r="K10" i="26"/>
  <c r="J10" i="26"/>
  <c r="I10" i="26"/>
  <c r="H10" i="26"/>
  <c r="G10" i="26"/>
  <c r="F10" i="26"/>
  <c r="E10" i="26"/>
  <c r="D10" i="26"/>
  <c r="AF9" i="26"/>
  <c r="AE9" i="26"/>
  <c r="AD9" i="26"/>
  <c r="AD11" i="26" s="1"/>
  <c r="AC9" i="26"/>
  <c r="AB9" i="26"/>
  <c r="AB11" i="26" s="1"/>
  <c r="AA9" i="26"/>
  <c r="AA11" i="26" s="1"/>
  <c r="Z9" i="26"/>
  <c r="Y9" i="26"/>
  <c r="Y11" i="26" s="1"/>
  <c r="X9" i="26"/>
  <c r="W9" i="26"/>
  <c r="V9" i="26"/>
  <c r="U9" i="26"/>
  <c r="T9" i="26"/>
  <c r="S9" i="26"/>
  <c r="R9" i="26"/>
  <c r="Q9" i="26"/>
  <c r="Q11" i="26" s="1"/>
  <c r="P9" i="26"/>
  <c r="O9" i="26"/>
  <c r="N9" i="26"/>
  <c r="M9" i="26"/>
  <c r="L9" i="26"/>
  <c r="K9" i="26"/>
  <c r="J9" i="26"/>
  <c r="I9" i="26"/>
  <c r="I11" i="26" s="1"/>
  <c r="I20" i="26" s="1"/>
  <c r="I78" i="26" s="1"/>
  <c r="I73" i="26" s="1"/>
  <c r="I65" i="20" s="1"/>
  <c r="H9" i="26"/>
  <c r="G9" i="26"/>
  <c r="F9" i="26"/>
  <c r="E9" i="26"/>
  <c r="D9" i="26"/>
  <c r="F20" i="74"/>
  <c r="E20" i="74"/>
  <c r="E19" i="74" s="1"/>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S14" i="74"/>
  <c r="R14" i="74"/>
  <c r="Q14" i="74"/>
  <c r="P14" i="74"/>
  <c r="O14" i="74"/>
  <c r="N14" i="74"/>
  <c r="M14" i="74"/>
  <c r="L14" i="74"/>
  <c r="K14" i="74"/>
  <c r="J14" i="74"/>
  <c r="I14" i="74"/>
  <c r="H14" i="74"/>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H20" i="74" s="1"/>
  <c r="G11" i="74"/>
  <c r="G20" i="74" s="1"/>
  <c r="G19" i="74" s="1"/>
  <c r="F11" i="74"/>
  <c r="E11" i="74"/>
  <c r="D11" i="74"/>
  <c r="D20" i="74" s="1"/>
  <c r="D19" i="74" s="1"/>
  <c r="AN24" i="25"/>
  <c r="AM24" i="25"/>
  <c r="AL24" i="25"/>
  <c r="AK24" i="25"/>
  <c r="AJ24" i="25"/>
  <c r="AI24" i="25"/>
  <c r="AH24" i="25"/>
  <c r="AG24" i="25"/>
  <c r="AF24" i="25"/>
  <c r="AE24" i="25"/>
  <c r="AD24" i="25"/>
  <c r="AC24" i="25"/>
  <c r="AB24" i="25"/>
  <c r="AA24" i="25"/>
  <c r="Z24" i="25"/>
  <c r="Y24" i="25"/>
  <c r="X24"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F18" i="25"/>
  <c r="AG18" i="25" s="1"/>
  <c r="AH18" i="25" s="1"/>
  <c r="AI18" i="25" s="1"/>
  <c r="AJ18" i="25" s="1"/>
  <c r="AK18" i="25" s="1"/>
  <c r="AL18" i="25" s="1"/>
  <c r="AM18" i="25" s="1"/>
  <c r="AN18" i="25" s="1"/>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H17" i="25" s="1"/>
  <c r="AI17" i="25" s="1"/>
  <c r="AJ17" i="25" s="1"/>
  <c r="AK17" i="25" s="1"/>
  <c r="AL17" i="25" s="1"/>
  <c r="AM17" i="25" s="1"/>
  <c r="AN17" i="25" s="1"/>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F15" i="25"/>
  <c r="AE15" i="25"/>
  <c r="AD15" i="25"/>
  <c r="AC15" i="25"/>
  <c r="AB15" i="25"/>
  <c r="AA15" i="25"/>
  <c r="Z15" i="25"/>
  <c r="Y15" i="25"/>
  <c r="X15" i="25"/>
  <c r="W15" i="25"/>
  <c r="V15" i="25"/>
  <c r="U15" i="25"/>
  <c r="T15" i="25"/>
  <c r="S15" i="25"/>
  <c r="R15" i="25"/>
  <c r="R14" i="25" s="1"/>
  <c r="Q15" i="25"/>
  <c r="P15" i="25"/>
  <c r="O15" i="25"/>
  <c r="N15" i="25"/>
  <c r="M15" i="25"/>
  <c r="L15" i="25"/>
  <c r="K15" i="25"/>
  <c r="J15" i="25"/>
  <c r="I15" i="25"/>
  <c r="H15" i="25"/>
  <c r="G15" i="25"/>
  <c r="F15" i="25"/>
  <c r="E15" i="25"/>
  <c r="D15" i="25"/>
  <c r="AD14" i="25"/>
  <c r="S14" i="25"/>
  <c r="AF13" i="25"/>
  <c r="AG13" i="25" s="1"/>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F11" i="25"/>
  <c r="AF20" i="25" s="1"/>
  <c r="C8" i="35" s="1"/>
  <c r="AE11" i="25"/>
  <c r="AE20" i="25" s="1"/>
  <c r="AD11" i="25"/>
  <c r="AD20" i="25" s="1"/>
  <c r="AC11" i="25"/>
  <c r="AC20" i="25" s="1"/>
  <c r="AB11" i="25"/>
  <c r="AB20" i="25" s="1"/>
  <c r="AA11" i="25"/>
  <c r="AA20" i="25" s="1"/>
  <c r="Z11" i="25"/>
  <c r="Z20" i="25" s="1"/>
  <c r="Y11" i="25"/>
  <c r="X11" i="25"/>
  <c r="W11" i="25"/>
  <c r="V11" i="25"/>
  <c r="U11" i="25"/>
  <c r="T11" i="25"/>
  <c r="S11" i="25"/>
  <c r="R11" i="25"/>
  <c r="Q11" i="25"/>
  <c r="P11" i="25"/>
  <c r="O11" i="25"/>
  <c r="N11" i="25"/>
  <c r="M11" i="25"/>
  <c r="L11" i="25"/>
  <c r="K11" i="25"/>
  <c r="J11" i="25"/>
  <c r="I11" i="25"/>
  <c r="I21" i="25" s="1"/>
  <c r="H11" i="25"/>
  <c r="H21" i="25"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2" i="70"/>
  <c r="X72" i="70"/>
  <c r="W72" i="70"/>
  <c r="V72" i="70"/>
  <c r="T72" i="70"/>
  <c r="AN71" i="70"/>
  <c r="AC71" i="70"/>
  <c r="AB71" i="70"/>
  <c r="AA71" i="70"/>
  <c r="Y71" i="70"/>
  <c r="X71" i="70"/>
  <c r="AL70" i="70"/>
  <c r="AL71" i="82" s="1"/>
  <c r="AH70" i="70"/>
  <c r="AG70" i="70"/>
  <c r="AF70" i="70"/>
  <c r="AC70" i="70"/>
  <c r="AC71" i="82" s="1"/>
  <c r="AB70" i="70"/>
  <c r="AB71" i="82" s="1"/>
  <c r="Y70" i="70"/>
  <c r="Y71" i="82" s="1"/>
  <c r="V70" i="70"/>
  <c r="V71" i="82" s="1"/>
  <c r="AN67" i="70"/>
  <c r="AM67" i="70"/>
  <c r="AM72" i="70" s="1"/>
  <c r="AL67" i="70"/>
  <c r="AL41" i="70" s="1"/>
  <c r="AK67" i="70"/>
  <c r="AJ67" i="70"/>
  <c r="AI67" i="70"/>
  <c r="AJ41" i="70" s="1"/>
  <c r="AH67" i="70"/>
  <c r="AI72" i="70" s="1"/>
  <c r="AG67" i="70"/>
  <c r="AF67" i="70"/>
  <c r="AE67" i="70"/>
  <c r="AE72" i="70" s="1"/>
  <c r="AD67" i="70"/>
  <c r="AC67" i="70"/>
  <c r="AB67" i="70"/>
  <c r="AA67" i="70"/>
  <c r="AA72" i="70" s="1"/>
  <c r="Z67" i="70"/>
  <c r="Y67" i="70"/>
  <c r="Z72" i="70" s="1"/>
  <c r="X67" i="70"/>
  <c r="W67" i="70"/>
  <c r="V67" i="70"/>
  <c r="U67" i="70"/>
  <c r="U72" i="70" s="1"/>
  <c r="T67" i="70"/>
  <c r="S67" i="70"/>
  <c r="S31" i="70" s="1"/>
  <c r="AN66" i="70"/>
  <c r="AM66" i="70"/>
  <c r="AL66" i="70"/>
  <c r="AK66" i="70"/>
  <c r="AJ66" i="70"/>
  <c r="AI66" i="70"/>
  <c r="AI40" i="70" s="1"/>
  <c r="AI14" i="70" s="1"/>
  <c r="AH66" i="70"/>
  <c r="AG66" i="70"/>
  <c r="AF66" i="70"/>
  <c r="AF71" i="70" s="1"/>
  <c r="AE66" i="70"/>
  <c r="AE71" i="70" s="1"/>
  <c r="AD66" i="70"/>
  <c r="AD71" i="70" s="1"/>
  <c r="AC66" i="70"/>
  <c r="AB66" i="70"/>
  <c r="AA66" i="70"/>
  <c r="Z66" i="70"/>
  <c r="Z71" i="70" s="1"/>
  <c r="Y66" i="70"/>
  <c r="X66" i="70"/>
  <c r="W66" i="70"/>
  <c r="V66" i="70"/>
  <c r="W71" i="70" s="1"/>
  <c r="U66" i="70"/>
  <c r="U71" i="70" s="1"/>
  <c r="T66" i="70"/>
  <c r="S66" i="70"/>
  <c r="S30" i="70" s="1"/>
  <c r="AN65" i="70"/>
  <c r="AM65" i="70"/>
  <c r="AL65" i="70"/>
  <c r="AL13" i="78" s="1"/>
  <c r="AL14" i="78" s="1"/>
  <c r="AK65" i="70"/>
  <c r="AK13" i="78" s="1"/>
  <c r="AK14" i="78" s="1"/>
  <c r="AJ65" i="70"/>
  <c r="AJ13" i="78" s="1"/>
  <c r="AJ14" i="78" s="1"/>
  <c r="AI65" i="70"/>
  <c r="AH65" i="70"/>
  <c r="AH13" i="78" s="1"/>
  <c r="AH14" i="78" s="1"/>
  <c r="AG65" i="70"/>
  <c r="AG13" i="78" s="1"/>
  <c r="AG14" i="78" s="1"/>
  <c r="AF65" i="70"/>
  <c r="AF13" i="78" s="1"/>
  <c r="AF14" i="78" s="1"/>
  <c r="AE65" i="70"/>
  <c r="AD65" i="70"/>
  <c r="AD70" i="70" s="1"/>
  <c r="AD71" i="82" s="1"/>
  <c r="AC65" i="70"/>
  <c r="AC13" i="78" s="1"/>
  <c r="AC14" i="78" s="1"/>
  <c r="AB65" i="70"/>
  <c r="AB13" i="78" s="1"/>
  <c r="AB14" i="78" s="1"/>
  <c r="U10" i="50" s="1"/>
  <c r="AA65" i="70"/>
  <c r="Z65" i="70"/>
  <c r="Y65" i="70"/>
  <c r="Y13" i="78" s="1"/>
  <c r="Y14" i="78" s="1"/>
  <c r="X65" i="70"/>
  <c r="X13" i="78" s="1"/>
  <c r="X14" i="78" s="1"/>
  <c r="W65" i="70"/>
  <c r="W13" i="78" s="1"/>
  <c r="W14" i="78" s="1"/>
  <c r="V65" i="70"/>
  <c r="V13" i="78" s="1"/>
  <c r="V14" i="78" s="1"/>
  <c r="U65" i="70"/>
  <c r="U13" i="78" s="1"/>
  <c r="U14" i="78" s="1"/>
  <c r="T65" i="70"/>
  <c r="T13" i="78" s="1"/>
  <c r="T14" i="78" s="1"/>
  <c r="S65" i="70"/>
  <c r="S29" i="70" s="1"/>
  <c r="AF45" i="70"/>
  <c r="AF20" i="70" s="1"/>
  <c r="D34" i="55" s="1"/>
  <c r="AE45" i="70"/>
  <c r="AE20" i="70" s="1"/>
  <c r="AD45" i="70"/>
  <c r="AD20" i="70" s="1"/>
  <c r="AD27" i="70" s="1"/>
  <c r="AC45" i="70"/>
  <c r="AC20" i="70" s="1"/>
  <c r="AC27" i="70" s="1"/>
  <c r="AB45" i="70"/>
  <c r="AB20" i="70" s="1"/>
  <c r="AB27" i="70" s="1"/>
  <c r="AA45" i="70"/>
  <c r="AA20" i="70" s="1"/>
  <c r="AA27" i="70" s="1"/>
  <c r="Z45" i="70"/>
  <c r="Z20" i="70" s="1"/>
  <c r="Z27" i="70" s="1"/>
  <c r="Y45" i="70"/>
  <c r="Y20" i="70" s="1"/>
  <c r="Y27" i="70" s="1"/>
  <c r="X45" i="70"/>
  <c r="X20" i="70" s="1"/>
  <c r="X27" i="70" s="1"/>
  <c r="W45" i="70"/>
  <c r="W20" i="70" s="1"/>
  <c r="W27" i="70" s="1"/>
  <c r="V45" i="70"/>
  <c r="V20" i="70" s="1"/>
  <c r="V27" i="70" s="1"/>
  <c r="U45" i="70"/>
  <c r="U20" i="70" s="1"/>
  <c r="U27" i="70" s="1"/>
  <c r="T45" i="70"/>
  <c r="T20" i="70" s="1"/>
  <c r="T27" i="70" s="1"/>
  <c r="S45" i="70"/>
  <c r="S20" i="70" s="1"/>
  <c r="R45" i="70"/>
  <c r="R20" i="70" s="1"/>
  <c r="R27" i="70" s="1"/>
  <c r="Q45" i="70"/>
  <c r="Q20" i="70" s="1"/>
  <c r="Q27" i="70" s="1"/>
  <c r="P45" i="70"/>
  <c r="P20" i="70" s="1"/>
  <c r="P27" i="70" s="1"/>
  <c r="O45" i="70"/>
  <c r="O20" i="70" s="1"/>
  <c r="O27" i="70" s="1"/>
  <c r="N45" i="70"/>
  <c r="N20" i="70" s="1"/>
  <c r="N27" i="70" s="1"/>
  <c r="M45" i="70"/>
  <c r="M20" i="70" s="1"/>
  <c r="M27" i="70" s="1"/>
  <c r="L45" i="70"/>
  <c r="L20" i="70" s="1"/>
  <c r="L27" i="70" s="1"/>
  <c r="K45" i="70"/>
  <c r="K20" i="70" s="1"/>
  <c r="K27" i="70" s="1"/>
  <c r="J45" i="70"/>
  <c r="J20" i="70" s="1"/>
  <c r="J27" i="70" s="1"/>
  <c r="I45" i="70"/>
  <c r="I20" i="70" s="1"/>
  <c r="I27" i="70" s="1"/>
  <c r="H45" i="70"/>
  <c r="H20" i="70" s="1"/>
  <c r="H27" i="70" s="1"/>
  <c r="G45" i="70"/>
  <c r="G20" i="70" s="1"/>
  <c r="G27" i="70" s="1"/>
  <c r="F45" i="70"/>
  <c r="F20" i="70" s="1"/>
  <c r="F27" i="70" s="1"/>
  <c r="E45" i="70"/>
  <c r="E20" i="70" s="1"/>
  <c r="E27" i="70" s="1"/>
  <c r="D45" i="70"/>
  <c r="D20" i="70" s="1"/>
  <c r="D27" i="70" s="1"/>
  <c r="AL44" i="70"/>
  <c r="AL45" i="70" s="1"/>
  <c r="AL20" i="70" s="1"/>
  <c r="AL27" i="70" s="1"/>
  <c r="AJ44" i="70"/>
  <c r="AJ18" i="70" s="1"/>
  <c r="AJ26" i="70" s="1"/>
  <c r="F5" i="71" s="1"/>
  <c r="AI44" i="70"/>
  <c r="AI45" i="70" s="1"/>
  <c r="AI20" i="70" s="1"/>
  <c r="AH44" i="70"/>
  <c r="AH45" i="70" s="1"/>
  <c r="AH20" i="70" s="1"/>
  <c r="AF44" i="70"/>
  <c r="AF18" i="70" s="1"/>
  <c r="AF26" i="70" s="1"/>
  <c r="AE44" i="70"/>
  <c r="AD44" i="70"/>
  <c r="AD18" i="70" s="1"/>
  <c r="AD26" i="70" s="1"/>
  <c r="AC44" i="70"/>
  <c r="AC18" i="70" s="1"/>
  <c r="AC26" i="70" s="1"/>
  <c r="AB44" i="70"/>
  <c r="AB18" i="70" s="1"/>
  <c r="AB26" i="70" s="1"/>
  <c r="AA44" i="70"/>
  <c r="AA18" i="70" s="1"/>
  <c r="AA26" i="70" s="1"/>
  <c r="Z44" i="70"/>
  <c r="Z18" i="70" s="1"/>
  <c r="Z26" i="70" s="1"/>
  <c r="Y44" i="70"/>
  <c r="Y18" i="70" s="1"/>
  <c r="Y26" i="70" s="1"/>
  <c r="X44" i="70"/>
  <c r="X18" i="70" s="1"/>
  <c r="X26" i="70" s="1"/>
  <c r="W44" i="70"/>
  <c r="W18" i="70" s="1"/>
  <c r="W26" i="70" s="1"/>
  <c r="V44" i="70"/>
  <c r="V18" i="70" s="1"/>
  <c r="V26" i="70" s="1"/>
  <c r="U44" i="70"/>
  <c r="U18" i="70" s="1"/>
  <c r="U26" i="70" s="1"/>
  <c r="T44" i="70"/>
  <c r="T18" i="70" s="1"/>
  <c r="S44" i="70"/>
  <c r="R44" i="70"/>
  <c r="R18" i="70" s="1"/>
  <c r="R26" i="70" s="1"/>
  <c r="Q44" i="70"/>
  <c r="P44" i="70"/>
  <c r="O44" i="70"/>
  <c r="O18" i="70" s="1"/>
  <c r="O26" i="70" s="1"/>
  <c r="N44" i="70"/>
  <c r="N18" i="70" s="1"/>
  <c r="N26" i="70" s="1"/>
  <c r="M44" i="70"/>
  <c r="M18" i="70" s="1"/>
  <c r="M26" i="70" s="1"/>
  <c r="L44" i="70"/>
  <c r="L18" i="70" s="1"/>
  <c r="L26" i="70" s="1"/>
  <c r="K44" i="70"/>
  <c r="K18" i="70" s="1"/>
  <c r="K26" i="70" s="1"/>
  <c r="J44" i="70"/>
  <c r="J18" i="70" s="1"/>
  <c r="J26" i="70" s="1"/>
  <c r="I44" i="70"/>
  <c r="I18" i="70" s="1"/>
  <c r="I26" i="70" s="1"/>
  <c r="H44" i="70"/>
  <c r="H18" i="70" s="1"/>
  <c r="H26" i="70" s="1"/>
  <c r="G44" i="70"/>
  <c r="G18" i="70" s="1"/>
  <c r="G26" i="70" s="1"/>
  <c r="F44" i="70"/>
  <c r="F18" i="70" s="1"/>
  <c r="F26" i="70" s="1"/>
  <c r="E44" i="70"/>
  <c r="E18" i="70" s="1"/>
  <c r="E26" i="70" s="1"/>
  <c r="D44" i="70"/>
  <c r="D18" i="70" s="1"/>
  <c r="D26" i="70" s="1"/>
  <c r="AN41" i="70"/>
  <c r="AN44" i="70" s="1"/>
  <c r="AM41" i="70"/>
  <c r="AI41" i="70"/>
  <c r="AI16" i="70" s="1"/>
  <c r="G32" i="55" s="1"/>
  <c r="AH41" i="70"/>
  <c r="AF41" i="70"/>
  <c r="AF16" i="70" s="1"/>
  <c r="AE41" i="70"/>
  <c r="AD41" i="70"/>
  <c r="AD16" i="70" s="1"/>
  <c r="AD25" i="70" s="1"/>
  <c r="AC41" i="70"/>
  <c r="AB41" i="70"/>
  <c r="AA41" i="70"/>
  <c r="AA16" i="70" s="1"/>
  <c r="AA25" i="70" s="1"/>
  <c r="Z41" i="70"/>
  <c r="Z16" i="70" s="1"/>
  <c r="Z25" i="70" s="1"/>
  <c r="Y41" i="70"/>
  <c r="X41" i="70"/>
  <c r="X16" i="70" s="1"/>
  <c r="X25" i="70" s="1"/>
  <c r="W41" i="70"/>
  <c r="W16" i="70" s="1"/>
  <c r="W25" i="70" s="1"/>
  <c r="V41" i="70"/>
  <c r="V16" i="70" s="1"/>
  <c r="V25" i="70" s="1"/>
  <c r="U41" i="70"/>
  <c r="T41" i="70"/>
  <c r="S41" i="70"/>
  <c r="S16" i="70" s="1"/>
  <c r="S25" i="70" s="1"/>
  <c r="R41" i="70"/>
  <c r="Q41" i="70"/>
  <c r="Q16" i="70" s="1"/>
  <c r="Q25" i="70" s="1"/>
  <c r="P41" i="70"/>
  <c r="O41" i="70"/>
  <c r="O16" i="70" s="1"/>
  <c r="O25" i="70" s="1"/>
  <c r="N41" i="70"/>
  <c r="N16" i="70" s="1"/>
  <c r="N25" i="70" s="1"/>
  <c r="M41" i="70"/>
  <c r="M16" i="70" s="1"/>
  <c r="M25" i="70" s="1"/>
  <c r="L41" i="70"/>
  <c r="K41" i="70"/>
  <c r="J41" i="70"/>
  <c r="I41" i="70"/>
  <c r="I16" i="70" s="1"/>
  <c r="I25" i="70" s="1"/>
  <c r="H41" i="70"/>
  <c r="H16" i="70" s="1"/>
  <c r="H25" i="70" s="1"/>
  <c r="G41" i="70"/>
  <c r="F41" i="70"/>
  <c r="F16" i="70" s="1"/>
  <c r="F25" i="70" s="1"/>
  <c r="E41" i="70"/>
  <c r="E16" i="70" s="1"/>
  <c r="E25" i="70" s="1"/>
  <c r="D41" i="70"/>
  <c r="D16" i="70" s="1"/>
  <c r="D25" i="70" s="1"/>
  <c r="AN40" i="70"/>
  <c r="AN14" i="70" s="1"/>
  <c r="AE40" i="70"/>
  <c r="AE14" i="70" s="1"/>
  <c r="AE24" i="70" s="1"/>
  <c r="AD40" i="70"/>
  <c r="AD14" i="70" s="1"/>
  <c r="AD24" i="70" s="1"/>
  <c r="AC40" i="70"/>
  <c r="AC14" i="70" s="1"/>
  <c r="AC24" i="70" s="1"/>
  <c r="AB40" i="70"/>
  <c r="AB14" i="70" s="1"/>
  <c r="AB24" i="70" s="1"/>
  <c r="AA40" i="70"/>
  <c r="AA14" i="70" s="1"/>
  <c r="AA24" i="70" s="1"/>
  <c r="Z40" i="70"/>
  <c r="Z14" i="70" s="1"/>
  <c r="Z24" i="70" s="1"/>
  <c r="Y40" i="70"/>
  <c r="Y14" i="70" s="1"/>
  <c r="Y24" i="70" s="1"/>
  <c r="X40" i="70"/>
  <c r="X14" i="70" s="1"/>
  <c r="X24" i="70" s="1"/>
  <c r="W40" i="70"/>
  <c r="W14" i="70" s="1"/>
  <c r="W24" i="70" s="1"/>
  <c r="V40" i="70"/>
  <c r="V14" i="70" s="1"/>
  <c r="V24" i="70" s="1"/>
  <c r="U40" i="70"/>
  <c r="U14" i="70" s="1"/>
  <c r="U24" i="70" s="1"/>
  <c r="T40" i="70"/>
  <c r="T14" i="70" s="1"/>
  <c r="T24" i="70" s="1"/>
  <c r="S40" i="70"/>
  <c r="S14" i="70" s="1"/>
  <c r="S24" i="70" s="1"/>
  <c r="R40" i="70"/>
  <c r="R14" i="70" s="1"/>
  <c r="R24" i="70" s="1"/>
  <c r="Q40" i="70"/>
  <c r="Q14" i="70" s="1"/>
  <c r="Q24" i="70" s="1"/>
  <c r="P40" i="70"/>
  <c r="P14" i="70" s="1"/>
  <c r="P24" i="70" s="1"/>
  <c r="O40" i="70"/>
  <c r="O14" i="70" s="1"/>
  <c r="O24" i="70" s="1"/>
  <c r="N40" i="70"/>
  <c r="N14" i="70" s="1"/>
  <c r="N24" i="70" s="1"/>
  <c r="M40" i="70"/>
  <c r="L40" i="70"/>
  <c r="K40" i="70"/>
  <c r="K14" i="70" s="1"/>
  <c r="K24" i="70" s="1"/>
  <c r="J40" i="70"/>
  <c r="J14" i="70" s="1"/>
  <c r="J24" i="70" s="1"/>
  <c r="I40" i="70"/>
  <c r="I14" i="70" s="1"/>
  <c r="I24" i="70" s="1"/>
  <c r="H40" i="70"/>
  <c r="H14" i="70" s="1"/>
  <c r="H24" i="70" s="1"/>
  <c r="G40" i="70"/>
  <c r="G14" i="70" s="1"/>
  <c r="G24" i="70" s="1"/>
  <c r="F40" i="70"/>
  <c r="F14" i="70" s="1"/>
  <c r="F24" i="70" s="1"/>
  <c r="E40" i="70"/>
  <c r="E14" i="70" s="1"/>
  <c r="E24" i="70" s="1"/>
  <c r="D40" i="70"/>
  <c r="D14" i="70" s="1"/>
  <c r="D24" i="70" s="1"/>
  <c r="AL38" i="70"/>
  <c r="AL37" i="70" s="1"/>
  <c r="AK38" i="70"/>
  <c r="AK37" i="70" s="1"/>
  <c r="AJ38" i="70"/>
  <c r="AJ37" i="70" s="1"/>
  <c r="AJ12" i="70" s="1"/>
  <c r="AI38" i="70"/>
  <c r="AI37" i="70" s="1"/>
  <c r="AI12" i="70" s="1"/>
  <c r="G30" i="55" s="1"/>
  <c r="G99" i="55" s="1"/>
  <c r="AH38" i="70"/>
  <c r="AH37" i="70" s="1"/>
  <c r="AH12" i="70" s="1"/>
  <c r="F30" i="55" s="1"/>
  <c r="F99" i="55" s="1"/>
  <c r="AG38" i="70"/>
  <c r="AC38" i="70"/>
  <c r="AB38" i="70"/>
  <c r="X38" i="70"/>
  <c r="W38" i="70"/>
  <c r="V38" i="70"/>
  <c r="U38" i="70"/>
  <c r="T38" i="70"/>
  <c r="S38" i="70"/>
  <c r="R38" i="70"/>
  <c r="Q38" i="70"/>
  <c r="P38" i="70"/>
  <c r="O38" i="70"/>
  <c r="N38" i="70"/>
  <c r="M38" i="70"/>
  <c r="L38" i="70"/>
  <c r="K38" i="70"/>
  <c r="J38" i="70"/>
  <c r="I38" i="70"/>
  <c r="H38" i="70"/>
  <c r="G38" i="70"/>
  <c r="F38" i="70"/>
  <c r="E38" i="70"/>
  <c r="D38" i="70"/>
  <c r="AG37" i="70"/>
  <c r="AG12" i="70" s="1"/>
  <c r="AF37" i="70"/>
  <c r="AF12" i="70" s="1"/>
  <c r="D30" i="55" s="1"/>
  <c r="AE37" i="70"/>
  <c r="AE12" i="70" s="1"/>
  <c r="AE23" i="70" s="1"/>
  <c r="AD37" i="70"/>
  <c r="AD12" i="70" s="1"/>
  <c r="AD23" i="70" s="1"/>
  <c r="AC37" i="70"/>
  <c r="AC12" i="70" s="1"/>
  <c r="AB37" i="70"/>
  <c r="AB12" i="70" s="1"/>
  <c r="AA37" i="70"/>
  <c r="AA12" i="70" s="1"/>
  <c r="AA23" i="70" s="1"/>
  <c r="Z37" i="70"/>
  <c r="Z12" i="70" s="1"/>
  <c r="Z23" i="70" s="1"/>
  <c r="Y37" i="70"/>
  <c r="Y12" i="70" s="1"/>
  <c r="Y23" i="70" s="1"/>
  <c r="X37" i="70"/>
  <c r="X12" i="70" s="1"/>
  <c r="X23" i="70" s="1"/>
  <c r="W37" i="70"/>
  <c r="W12" i="70" s="1"/>
  <c r="V37" i="70"/>
  <c r="V12" i="70" s="1"/>
  <c r="V23" i="70" s="1"/>
  <c r="U37" i="70"/>
  <c r="U12" i="70" s="1"/>
  <c r="U23" i="70" s="1"/>
  <c r="T37" i="70"/>
  <c r="S37" i="70"/>
  <c r="S12" i="70" s="1"/>
  <c r="S23" i="70" s="1"/>
  <c r="R37" i="70"/>
  <c r="R12" i="70" s="1"/>
  <c r="R23" i="70" s="1"/>
  <c r="Q37" i="70"/>
  <c r="Q12" i="70" s="1"/>
  <c r="Q23" i="70" s="1"/>
  <c r="P37" i="70"/>
  <c r="P12" i="70" s="1"/>
  <c r="P23" i="70" s="1"/>
  <c r="O37" i="70"/>
  <c r="O12" i="70" s="1"/>
  <c r="O23" i="70" s="1"/>
  <c r="N37" i="70"/>
  <c r="N12" i="70" s="1"/>
  <c r="N23" i="70" s="1"/>
  <c r="M37" i="70"/>
  <c r="M12" i="70" s="1"/>
  <c r="M23" i="70" s="1"/>
  <c r="L37" i="70"/>
  <c r="L12" i="70" s="1"/>
  <c r="L23" i="70" s="1"/>
  <c r="K37" i="70"/>
  <c r="K12" i="70" s="1"/>
  <c r="K23" i="70" s="1"/>
  <c r="J37" i="70"/>
  <c r="J12" i="70" s="1"/>
  <c r="J23" i="70" s="1"/>
  <c r="I37" i="70"/>
  <c r="I12" i="70" s="1"/>
  <c r="I23" i="70" s="1"/>
  <c r="H37" i="70"/>
  <c r="H12" i="70" s="1"/>
  <c r="H23" i="70" s="1"/>
  <c r="G37" i="70"/>
  <c r="G12" i="70" s="1"/>
  <c r="G23" i="70" s="1"/>
  <c r="F37" i="70"/>
  <c r="F12" i="70" s="1"/>
  <c r="F23" i="70" s="1"/>
  <c r="E37" i="70"/>
  <c r="E12" i="70" s="1"/>
  <c r="E23" i="70" s="1"/>
  <c r="D37" i="70"/>
  <c r="D12" i="70" s="1"/>
  <c r="D23" i="70" s="1"/>
  <c r="AI27" i="70"/>
  <c r="AH27" i="70"/>
  <c r="AF27" i="70"/>
  <c r="AE27" i="70"/>
  <c r="S27" i="70"/>
  <c r="T26" i="70"/>
  <c r="AN25" i="70"/>
  <c r="J4" i="71" s="1"/>
  <c r="AI25" i="70"/>
  <c r="E4" i="71" s="1"/>
  <c r="AI23" i="70"/>
  <c r="E2" i="71" s="1"/>
  <c r="AH23" i="70"/>
  <c r="D2" i="71" s="1"/>
  <c r="AC23" i="70"/>
  <c r="AB23" i="70"/>
  <c r="W23" i="70"/>
  <c r="AL18" i="70"/>
  <c r="AI18" i="70"/>
  <c r="AE18" i="70"/>
  <c r="AE26" i="70" s="1"/>
  <c r="S18" i="70"/>
  <c r="S26" i="70" s="1"/>
  <c r="Q18" i="70"/>
  <c r="Q26" i="70" s="1"/>
  <c r="P18" i="70"/>
  <c r="P26" i="70" s="1"/>
  <c r="AN16" i="70"/>
  <c r="AL16" i="70"/>
  <c r="AL25" i="70" s="1"/>
  <c r="AJ16" i="70"/>
  <c r="AJ25" i="70" s="1"/>
  <c r="AH16" i="70"/>
  <c r="F32" i="55" s="1"/>
  <c r="F101" i="55" s="1"/>
  <c r="AB16" i="70"/>
  <c r="AB25" i="70" s="1"/>
  <c r="U16" i="70"/>
  <c r="U25" i="70" s="1"/>
  <c r="T16" i="70"/>
  <c r="T25" i="70" s="1"/>
  <c r="R16" i="70"/>
  <c r="R25" i="70" s="1"/>
  <c r="P16" i="70"/>
  <c r="P25" i="70" s="1"/>
  <c r="L16" i="70"/>
  <c r="L25" i="70" s="1"/>
  <c r="K16" i="70"/>
  <c r="K25" i="70" s="1"/>
  <c r="J16" i="70"/>
  <c r="J25" i="70" s="1"/>
  <c r="G16" i="70"/>
  <c r="G25" i="70" s="1"/>
  <c r="AF14" i="70"/>
  <c r="AF24" i="70" s="1"/>
  <c r="M14" i="70"/>
  <c r="M24" i="70" s="1"/>
  <c r="L14" i="70"/>
  <c r="L24" i="70" s="1"/>
  <c r="AL12" i="70"/>
  <c r="AL23" i="70" s="1"/>
  <c r="H2" i="71" s="1"/>
  <c r="AK12" i="70"/>
  <c r="AK23" i="70" s="1"/>
  <c r="T12" i="70"/>
  <c r="T23" i="70" s="1"/>
  <c r="J25" i="35"/>
  <c r="I25" i="35"/>
  <c r="H25" i="35"/>
  <c r="G25" i="35"/>
  <c r="F25" i="35"/>
  <c r="E25" i="35"/>
  <c r="D25" i="35"/>
  <c r="I24" i="35"/>
  <c r="H24" i="35"/>
  <c r="G24" i="35"/>
  <c r="E24" i="35"/>
  <c r="D24" i="35"/>
  <c r="J23" i="35"/>
  <c r="K27" i="55" s="1"/>
  <c r="K130" i="55" s="1"/>
  <c r="I23" i="35"/>
  <c r="J27" i="55" s="1"/>
  <c r="H23" i="35"/>
  <c r="I27" i="55" s="1"/>
  <c r="G23" i="35"/>
  <c r="F23" i="35"/>
  <c r="E23" i="35"/>
  <c r="F27" i="55" s="1"/>
  <c r="D23" i="35"/>
  <c r="J16" i="35"/>
  <c r="K20" i="55" s="1"/>
  <c r="K123" i="55" s="1"/>
  <c r="H16" i="35"/>
  <c r="I20" i="55" s="1"/>
  <c r="G16" i="35"/>
  <c r="H20" i="55" s="1"/>
  <c r="F16" i="35"/>
  <c r="G20" i="55" s="1"/>
  <c r="G88" i="55" s="1"/>
  <c r="E16" i="35"/>
  <c r="F20" i="55" s="1"/>
  <c r="D16" i="35"/>
  <c r="E20" i="55" s="1"/>
  <c r="E88" i="55" s="1"/>
  <c r="J15" i="35"/>
  <c r="K19" i="55" s="1"/>
  <c r="K122" i="55" s="1"/>
  <c r="I15" i="35"/>
  <c r="J19" i="55" s="1"/>
  <c r="H15" i="35"/>
  <c r="G15" i="35"/>
  <c r="H19" i="55" s="1"/>
  <c r="H122" i="55" s="1"/>
  <c r="F15" i="35"/>
  <c r="G19" i="55" s="1"/>
  <c r="G122" i="55" s="1"/>
  <c r="E15" i="35"/>
  <c r="F19" i="55" s="1"/>
  <c r="F122" i="55" s="1"/>
  <c r="D15" i="35"/>
  <c r="E19" i="55" s="1"/>
  <c r="J14" i="35"/>
  <c r="I14" i="35"/>
  <c r="H14" i="35"/>
  <c r="I18" i="55" s="1"/>
  <c r="G14" i="35"/>
  <c r="H18" i="55" s="1"/>
  <c r="F14" i="35"/>
  <c r="G18" i="55" s="1"/>
  <c r="E14" i="35"/>
  <c r="F18" i="55" s="1"/>
  <c r="F86" i="55" s="1"/>
  <c r="D14" i="35"/>
  <c r="E18" i="55" s="1"/>
  <c r="J13" i="35"/>
  <c r="K17" i="55" s="1"/>
  <c r="I13" i="35"/>
  <c r="J17" i="55" s="1"/>
  <c r="H13" i="35"/>
  <c r="I17" i="55" s="1"/>
  <c r="G13" i="35"/>
  <c r="H17" i="55" s="1"/>
  <c r="H85" i="55" s="1"/>
  <c r="F13" i="35"/>
  <c r="G17" i="55" s="1"/>
  <c r="E13" i="35"/>
  <c r="F17" i="55" s="1"/>
  <c r="F85" i="55" s="1"/>
  <c r="D13" i="35"/>
  <c r="E17" i="55" s="1"/>
  <c r="D17" i="55"/>
  <c r="J9" i="35"/>
  <c r="K13" i="55" s="1"/>
  <c r="I9" i="35"/>
  <c r="J13" i="55" s="1"/>
  <c r="J116" i="55" s="1"/>
  <c r="H9" i="35"/>
  <c r="I13" i="55" s="1"/>
  <c r="I116" i="55" s="1"/>
  <c r="G9" i="35"/>
  <c r="H13" i="55" s="1"/>
  <c r="H116" i="55" s="1"/>
  <c r="F9" i="35"/>
  <c r="G13" i="55" s="1"/>
  <c r="G116" i="55" s="1"/>
  <c r="E9" i="35"/>
  <c r="F13" i="55" s="1"/>
  <c r="F116" i="55" s="1"/>
  <c r="D9" i="35"/>
  <c r="E13" i="55" s="1"/>
  <c r="E116" i="55" s="1"/>
  <c r="J7" i="35"/>
  <c r="K11" i="55" s="1"/>
  <c r="K114" i="55" s="1"/>
  <c r="I7" i="35"/>
  <c r="J11" i="55" s="1"/>
  <c r="J114" i="55" s="1"/>
  <c r="H7" i="35"/>
  <c r="I11" i="55" s="1"/>
  <c r="I114" i="55" s="1"/>
  <c r="G7" i="35"/>
  <c r="H11" i="55" s="1"/>
  <c r="H79" i="55" s="1"/>
  <c r="F7" i="35"/>
  <c r="G11" i="55" s="1"/>
  <c r="G79" i="55" s="1"/>
  <c r="E7" i="35"/>
  <c r="F11" i="55" s="1"/>
  <c r="D7" i="35"/>
  <c r="E11" i="55" s="1"/>
  <c r="AO93" i="80"/>
  <c r="AL93" i="80"/>
  <c r="AQ92" i="80"/>
  <c r="AP92" i="80"/>
  <c r="AO92" i="80"/>
  <c r="AN92" i="80"/>
  <c r="AM92" i="80"/>
  <c r="AL92" i="80"/>
  <c r="AK92" i="80"/>
  <c r="AJ92" i="80"/>
  <c r="AI92" i="80"/>
  <c r="AH92" i="80"/>
  <c r="AG92" i="80"/>
  <c r="AF92" i="80"/>
  <c r="AE92" i="80"/>
  <c r="AD92" i="80"/>
  <c r="AC92" i="80"/>
  <c r="AB92" i="80"/>
  <c r="AG91" i="80"/>
  <c r="AF91" i="80"/>
  <c r="AQ90" i="80"/>
  <c r="AR91" i="80" s="1"/>
  <c r="AP90" i="80"/>
  <c r="AO90" i="80"/>
  <c r="AN90" i="80"/>
  <c r="AM90" i="80"/>
  <c r="AL90" i="80"/>
  <c r="AK90" i="80"/>
  <c r="AJ90" i="80"/>
  <c r="AI90" i="80"/>
  <c r="AH90" i="80"/>
  <c r="AG90" i="80"/>
  <c r="AF90" i="80"/>
  <c r="AE90" i="80"/>
  <c r="AD90" i="80"/>
  <c r="AC90" i="80"/>
  <c r="AB90" i="80"/>
  <c r="AB91" i="80" s="1"/>
  <c r="AQ85" i="80"/>
  <c r="AP85" i="80"/>
  <c r="AO85" i="80"/>
  <c r="AN85" i="80"/>
  <c r="AM85" i="80"/>
  <c r="AL85" i="80"/>
  <c r="AK85" i="80"/>
  <c r="AJ85" i="80"/>
  <c r="AI85" i="80"/>
  <c r="AH85" i="80"/>
  <c r="AG85" i="80"/>
  <c r="AF85" i="80"/>
  <c r="AE85" i="80"/>
  <c r="AD85" i="80"/>
  <c r="AC85" i="80"/>
  <c r="AB85" i="80"/>
  <c r="AA85" i="80"/>
  <c r="Z85" i="80"/>
  <c r="J135" i="55"/>
  <c r="F135" i="55"/>
  <c r="G133" i="55"/>
  <c r="F133" i="55"/>
  <c r="H102" i="55"/>
  <c r="K95" i="55"/>
  <c r="B42" i="55"/>
  <c r="J34" i="55"/>
  <c r="J103" i="55" s="1"/>
  <c r="G34" i="55"/>
  <c r="F34" i="55"/>
  <c r="H33" i="55"/>
  <c r="H136" i="55" s="1"/>
  <c r="L32" i="55"/>
  <c r="J32" i="55"/>
  <c r="J101" i="55" s="1"/>
  <c r="H32" i="55"/>
  <c r="H101" i="55" s="1"/>
  <c r="I30" i="55"/>
  <c r="L27" i="55"/>
  <c r="H27" i="55"/>
  <c r="H95" i="55" s="1"/>
  <c r="G27" i="55"/>
  <c r="G130" i="55" s="1"/>
  <c r="E27" i="55"/>
  <c r="E130" i="55" s="1"/>
  <c r="D27" i="55"/>
  <c r="D130" i="55" s="1"/>
  <c r="C27" i="55"/>
  <c r="B27" i="55"/>
  <c r="C26" i="55"/>
  <c r="B26" i="55"/>
  <c r="C25" i="55"/>
  <c r="B25" i="55"/>
  <c r="C24" i="55"/>
  <c r="B24" i="55"/>
  <c r="C23" i="55"/>
  <c r="B23" i="55"/>
  <c r="C22" i="55"/>
  <c r="B22" i="55"/>
  <c r="C21" i="55"/>
  <c r="B21" i="55"/>
  <c r="C20" i="55"/>
  <c r="B20" i="55"/>
  <c r="I19" i="55"/>
  <c r="I122" i="55" s="1"/>
  <c r="C19" i="55"/>
  <c r="B19" i="55"/>
  <c r="K18" i="55"/>
  <c r="J18" i="55"/>
  <c r="D18" i="55"/>
  <c r="D86" i="55" s="1"/>
  <c r="C18" i="55"/>
  <c r="B18" i="55"/>
  <c r="C17" i="55"/>
  <c r="B17" i="55"/>
  <c r="C16" i="55"/>
  <c r="B16" i="55"/>
  <c r="C15" i="55"/>
  <c r="B15" i="55"/>
  <c r="C14" i="55"/>
  <c r="B14" i="55"/>
  <c r="L13" i="55"/>
  <c r="D13" i="55"/>
  <c r="D116" i="55" s="1"/>
  <c r="C13" i="55"/>
  <c r="B13" i="55"/>
  <c r="C12" i="55"/>
  <c r="B12" i="55"/>
  <c r="L11" i="55"/>
  <c r="C11" i="55"/>
  <c r="B11" i="55"/>
  <c r="C10" i="55"/>
  <c r="B10" i="55"/>
  <c r="C8" i="55"/>
  <c r="C6" i="55"/>
  <c r="C5" i="55"/>
  <c r="B5" i="55"/>
  <c r="C4" i="55"/>
  <c r="B4" i="55"/>
  <c r="C3" i="55"/>
  <c r="B3" i="55"/>
  <c r="H6" i="71"/>
  <c r="E6" i="71"/>
  <c r="D6" i="71"/>
  <c r="H4" i="71"/>
  <c r="F4" i="71"/>
  <c r="G2" i="71"/>
  <c r="Y12" i="50"/>
  <c r="X12" i="50"/>
  <c r="W12" i="50"/>
  <c r="V12" i="50"/>
  <c r="Y11" i="50"/>
  <c r="X11" i="50"/>
  <c r="W11" i="50"/>
  <c r="V11" i="50"/>
  <c r="U11" i="50"/>
  <c r="T11" i="50"/>
  <c r="Y10" i="50"/>
  <c r="V10" i="50"/>
  <c r="Y8" i="50"/>
  <c r="X8" i="50"/>
  <c r="W8" i="50"/>
  <c r="V8" i="50"/>
  <c r="U8" i="50"/>
  <c r="T8" i="50"/>
  <c r="Y7" i="50"/>
  <c r="X7" i="50"/>
  <c r="W7" i="50"/>
  <c r="V7" i="50"/>
  <c r="U7" i="50"/>
  <c r="T7" i="50"/>
  <c r="T6"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E68" i="46"/>
  <c r="F68" i="46" s="1"/>
  <c r="G68" i="46" s="1"/>
  <c r="C68" i="46"/>
  <c r="E67" i="46"/>
  <c r="F67" i="46" s="1"/>
  <c r="G67" i="46" s="1"/>
  <c r="C67" i="46"/>
  <c r="E66" i="46"/>
  <c r="F66" i="46" s="1"/>
  <c r="G66" i="46" s="1"/>
  <c r="C66" i="46"/>
  <c r="E65" i="46"/>
  <c r="F65" i="46" s="1"/>
  <c r="G65" i="46" s="1"/>
  <c r="C65" i="46"/>
  <c r="E64" i="46"/>
  <c r="F64" i="46" s="1"/>
  <c r="G64" i="46" s="1"/>
  <c r="C64" i="46"/>
  <c r="F63" i="46"/>
  <c r="G63" i="46" s="1"/>
  <c r="E63" i="46"/>
  <c r="C63" i="46"/>
  <c r="E62" i="46"/>
  <c r="F62" i="46" s="1"/>
  <c r="G62" i="46" s="1"/>
  <c r="C62" i="46"/>
  <c r="E61" i="46"/>
  <c r="F61" i="46" s="1"/>
  <c r="G61" i="46" s="1"/>
  <c r="C61" i="46"/>
  <c r="E60" i="46"/>
  <c r="F60" i="46" s="1"/>
  <c r="G60" i="46" s="1"/>
  <c r="C60" i="46"/>
  <c r="E59" i="46"/>
  <c r="F59" i="46" s="1"/>
  <c r="G59" i="46" s="1"/>
  <c r="C59" i="46"/>
  <c r="E58" i="46"/>
  <c r="F58" i="46" s="1"/>
  <c r="G58" i="46" s="1"/>
  <c r="C58" i="46"/>
  <c r="E57" i="46"/>
  <c r="F57" i="46" s="1"/>
  <c r="C57" i="46"/>
  <c r="E56" i="46"/>
  <c r="F56" i="46" s="1"/>
  <c r="G56" i="46" s="1"/>
  <c r="C56" i="46"/>
  <c r="E55" i="46"/>
  <c r="F55" i="46" s="1"/>
  <c r="G55" i="46" s="1"/>
  <c r="C55" i="46"/>
  <c r="E54" i="46"/>
  <c r="F54" i="46" s="1"/>
  <c r="G54" i="46" s="1"/>
  <c r="C54" i="46"/>
  <c r="E53" i="46"/>
  <c r="F53" i="46" s="1"/>
  <c r="G53" i="46" s="1"/>
  <c r="C53" i="46"/>
  <c r="E52" i="46"/>
  <c r="F52" i="46" s="1"/>
  <c r="G52" i="46" s="1"/>
  <c r="C52" i="46"/>
  <c r="E51" i="46"/>
  <c r="F51" i="46" s="1"/>
  <c r="G51" i="46" s="1"/>
  <c r="C51" i="46"/>
  <c r="E50" i="46"/>
  <c r="F50" i="46" s="1"/>
  <c r="G50" i="46" s="1"/>
  <c r="C50" i="46"/>
  <c r="E49" i="46"/>
  <c r="F49" i="46" s="1"/>
  <c r="G49" i="46" s="1"/>
  <c r="C49" i="46"/>
  <c r="E48" i="46"/>
  <c r="F48" i="46" s="1"/>
  <c r="G48" i="46" s="1"/>
  <c r="C48" i="46"/>
  <c r="E47" i="46"/>
  <c r="F47" i="46" s="1"/>
  <c r="G47" i="46" s="1"/>
  <c r="C47" i="46"/>
  <c r="E46" i="46"/>
  <c r="F46" i="46" s="1"/>
  <c r="G46" i="46" s="1"/>
  <c r="C46" i="46"/>
  <c r="E45" i="46"/>
  <c r="F45" i="46" s="1"/>
  <c r="G45" i="46" s="1"/>
  <c r="C45" i="46"/>
  <c r="E44" i="46"/>
  <c r="F44" i="46" s="1"/>
  <c r="G44" i="46" s="1"/>
  <c r="C44" i="46"/>
  <c r="E43" i="46"/>
  <c r="F43" i="46" s="1"/>
  <c r="G43" i="46" s="1"/>
  <c r="C43" i="46"/>
  <c r="E42" i="46"/>
  <c r="F42" i="46" s="1"/>
  <c r="G42" i="46" s="1"/>
  <c r="C42" i="46"/>
  <c r="E41" i="46"/>
  <c r="F41" i="46" s="1"/>
  <c r="G41" i="46" s="1"/>
  <c r="C41" i="46"/>
  <c r="E40" i="46"/>
  <c r="F40" i="46" s="1"/>
  <c r="G40" i="46" s="1"/>
  <c r="C40" i="46"/>
  <c r="E39" i="46"/>
  <c r="F39" i="46" s="1"/>
  <c r="G39" i="46" s="1"/>
  <c r="C39" i="46"/>
  <c r="E38" i="46"/>
  <c r="F38" i="46" s="1"/>
  <c r="G38" i="46" s="1"/>
  <c r="C38" i="46"/>
  <c r="E37" i="46"/>
  <c r="F37" i="46" s="1"/>
  <c r="G37" i="46" s="1"/>
  <c r="C37" i="46"/>
  <c r="E36" i="46"/>
  <c r="F36" i="46" s="1"/>
  <c r="G36" i="46" s="1"/>
  <c r="C36" i="46"/>
  <c r="E35" i="46"/>
  <c r="F35" i="46" s="1"/>
  <c r="G35" i="46" s="1"/>
  <c r="C35" i="46"/>
  <c r="E34" i="46"/>
  <c r="F34" i="46" s="1"/>
  <c r="G34" i="46" s="1"/>
  <c r="C34" i="46"/>
  <c r="E33" i="46"/>
  <c r="F33" i="46" s="1"/>
  <c r="G33" i="46" s="1"/>
  <c r="C33" i="46"/>
  <c r="E32" i="46"/>
  <c r="F32" i="46" s="1"/>
  <c r="G32" i="46" s="1"/>
  <c r="C32" i="46"/>
  <c r="E31" i="46"/>
  <c r="F31" i="46" s="1"/>
  <c r="G31" i="46" s="1"/>
  <c r="E30" i="46"/>
  <c r="F30" i="46" s="1"/>
  <c r="G30" i="46" s="1"/>
  <c r="E29" i="46"/>
  <c r="F29" i="46" s="1"/>
  <c r="G29" i="46" s="1"/>
  <c r="E28" i="46"/>
  <c r="F28" i="46" s="1"/>
  <c r="G28" i="46" s="1"/>
  <c r="E27" i="46"/>
  <c r="F27" i="46" s="1"/>
  <c r="G27" i="46" s="1"/>
  <c r="C27" i="46"/>
  <c r="E26" i="46"/>
  <c r="F26" i="46" s="1"/>
  <c r="G26" i="46" s="1"/>
  <c r="C26" i="46"/>
  <c r="E25" i="46"/>
  <c r="F25" i="46" s="1"/>
  <c r="G25" i="46" s="1"/>
  <c r="C25" i="46"/>
  <c r="E24" i="46"/>
  <c r="F24" i="46" s="1"/>
  <c r="G24" i="46" s="1"/>
  <c r="C24" i="46"/>
  <c r="E23" i="46"/>
  <c r="F23" i="46" s="1"/>
  <c r="G23" i="46" s="1"/>
  <c r="C23" i="46"/>
  <c r="E22" i="46"/>
  <c r="F22" i="46" s="1"/>
  <c r="G22" i="46" s="1"/>
  <c r="C22" i="46"/>
  <c r="E21" i="46"/>
  <c r="F21" i="46" s="1"/>
  <c r="G21" i="46" s="1"/>
  <c r="C21" i="46"/>
  <c r="E20" i="46"/>
  <c r="F20" i="46" s="1"/>
  <c r="G20" i="46" s="1"/>
  <c r="C20" i="46"/>
  <c r="E19" i="46"/>
  <c r="F19" i="46" s="1"/>
  <c r="G19" i="46" s="1"/>
  <c r="C19" i="46"/>
  <c r="E18" i="46"/>
  <c r="F18" i="46" s="1"/>
  <c r="G18" i="46" s="1"/>
  <c r="C18" i="46"/>
  <c r="E17" i="46"/>
  <c r="F17" i="46" s="1"/>
  <c r="G17" i="46" s="1"/>
  <c r="C17" i="46"/>
  <c r="E16" i="46"/>
  <c r="F16" i="46" s="1"/>
  <c r="G16" i="46" s="1"/>
  <c r="C16" i="46"/>
  <c r="E15" i="46"/>
  <c r="F15" i="46" s="1"/>
  <c r="G15" i="46" s="1"/>
  <c r="C15" i="46"/>
  <c r="E14" i="46"/>
  <c r="F14" i="46" s="1"/>
  <c r="G14" i="46" s="1"/>
  <c r="C14" i="46"/>
  <c r="E13" i="46"/>
  <c r="F13" i="46" s="1"/>
  <c r="G13" i="46" s="1"/>
  <c r="C13" i="46"/>
  <c r="E12" i="46"/>
  <c r="F12" i="46" s="1"/>
  <c r="G12" i="46" s="1"/>
  <c r="C12" i="46"/>
  <c r="E11" i="46"/>
  <c r="F11" i="46" s="1"/>
  <c r="G11" i="46" s="1"/>
  <c r="C11" i="46"/>
  <c r="E10" i="46"/>
  <c r="F10" i="46" s="1"/>
  <c r="G10" i="46" s="1"/>
  <c r="C10" i="46"/>
  <c r="E9" i="46"/>
  <c r="F9" i="46" s="1"/>
  <c r="G9" i="46" s="1"/>
  <c r="C9" i="46"/>
  <c r="E8" i="46"/>
  <c r="F8" i="46" s="1"/>
  <c r="G8" i="46" s="1"/>
  <c r="C8" i="46"/>
  <c r="E7" i="46"/>
  <c r="F7" i="46" s="1"/>
  <c r="G7" i="46" s="1"/>
  <c r="C7" i="46"/>
  <c r="E6" i="46"/>
  <c r="F6" i="46" s="1"/>
  <c r="G6" i="46" s="1"/>
  <c r="C6" i="46"/>
  <c r="E5" i="46"/>
  <c r="F5" i="46" s="1"/>
  <c r="G5" i="46" s="1"/>
  <c r="C5" i="46"/>
  <c r="E4" i="46"/>
  <c r="F4" i="46" s="1"/>
  <c r="G4" i="46" s="1"/>
  <c r="C4" i="46"/>
  <c r="E3" i="46"/>
  <c r="F3" i="46" s="1"/>
  <c r="G3" i="46" s="1"/>
  <c r="C3" i="46"/>
  <c r="C2" i="46"/>
  <c r="Q23" i="74"/>
  <c r="P23" i="74"/>
  <c r="O23" i="74"/>
  <c r="U23" i="74"/>
  <c r="T23" i="74"/>
  <c r="S23" i="74"/>
  <c r="N23" i="74"/>
  <c r="M23" i="74"/>
  <c r="S24" i="25"/>
  <c r="R24" i="25"/>
  <c r="Q24" i="25"/>
  <c r="P24" i="25"/>
  <c r="O24" i="25"/>
  <c r="N24" i="25"/>
  <c r="M24" i="25"/>
  <c r="R23" i="74"/>
  <c r="U24" i="25"/>
  <c r="T24" i="25"/>
  <c r="J65" i="38" l="1"/>
  <c r="L23" i="82"/>
  <c r="R21" i="75"/>
  <c r="K14" i="33"/>
  <c r="V13" i="59"/>
  <c r="H18" i="82"/>
  <c r="G17" i="59"/>
  <c r="I17" i="59"/>
  <c r="AC19" i="82"/>
  <c r="K21" i="59"/>
  <c r="K30" i="59" s="1"/>
  <c r="AD19" i="82"/>
  <c r="E7" i="84" s="1"/>
  <c r="L21" i="59"/>
  <c r="S51" i="59"/>
  <c r="S26" i="59" s="1"/>
  <c r="I142" i="88"/>
  <c r="Y142" i="88"/>
  <c r="J11" i="26"/>
  <c r="Z11" i="26"/>
  <c r="K18" i="59"/>
  <c r="R54" i="59"/>
  <c r="X54" i="59"/>
  <c r="O12" i="49"/>
  <c r="AE12" i="49"/>
  <c r="AE33" i="49" s="1"/>
  <c r="R21" i="59"/>
  <c r="R30" i="59" s="1"/>
  <c r="J54" i="59"/>
  <c r="P12" i="49"/>
  <c r="AF12" i="49"/>
  <c r="G154" i="88"/>
  <c r="O21" i="82"/>
  <c r="Y54" i="59"/>
  <c r="U14" i="33"/>
  <c r="O20" i="82"/>
  <c r="Z54" i="59"/>
  <c r="AA54" i="59"/>
  <c r="X14" i="25"/>
  <c r="P13" i="74"/>
  <c r="P20" i="74" s="1"/>
  <c r="P19" i="74" s="1"/>
  <c r="T12" i="49"/>
  <c r="E12" i="49"/>
  <c r="U12" i="49"/>
  <c r="Q23" i="82"/>
  <c r="Q29" i="82" s="1"/>
  <c r="J28" i="82"/>
  <c r="K28" i="59"/>
  <c r="N54" i="59"/>
  <c r="AB142" i="88"/>
  <c r="H14" i="25"/>
  <c r="S18" i="82"/>
  <c r="K54" i="59"/>
  <c r="D12" i="49"/>
  <c r="AC18" i="82"/>
  <c r="Q14" i="40"/>
  <c r="F12" i="49"/>
  <c r="V12" i="49"/>
  <c r="H22" i="33"/>
  <c r="K28" i="82"/>
  <c r="O18" i="59"/>
  <c r="L28" i="59"/>
  <c r="O54" i="59"/>
  <c r="T14" i="33"/>
  <c r="Y52" i="20"/>
  <c r="L28" i="82"/>
  <c r="P54" i="59"/>
  <c r="M14" i="25"/>
  <c r="M21" i="25" s="1"/>
  <c r="M20" i="25" s="1"/>
  <c r="M16" i="82" s="1"/>
  <c r="M28" i="82"/>
  <c r="N28" i="59"/>
  <c r="Q54" i="59"/>
  <c r="N28" i="82"/>
  <c r="J12" i="49"/>
  <c r="S52" i="20"/>
  <c r="K12" i="49"/>
  <c r="AA12" i="49"/>
  <c r="AA33" i="49" s="1"/>
  <c r="AA34" i="49" s="1"/>
  <c r="I14" i="33"/>
  <c r="Y13" i="82"/>
  <c r="P28" i="82"/>
  <c r="T54" i="59"/>
  <c r="I52" i="20"/>
  <c r="M28" i="59"/>
  <c r="J20" i="26"/>
  <c r="J78" i="26" s="1"/>
  <c r="N14" i="25"/>
  <c r="N21" i="25" s="1"/>
  <c r="AA52" i="20"/>
  <c r="G14" i="33"/>
  <c r="O28" i="59"/>
  <c r="Z12" i="49"/>
  <c r="L12" i="49"/>
  <c r="AB12" i="49"/>
  <c r="G18" i="82"/>
  <c r="J22" i="82"/>
  <c r="T13" i="59"/>
  <c r="R51" i="59"/>
  <c r="R26" i="59" s="1"/>
  <c r="U54" i="59"/>
  <c r="M87" i="75"/>
  <c r="AC16" i="70"/>
  <c r="AC25" i="70" s="1"/>
  <c r="AF46" i="70"/>
  <c r="E21" i="25"/>
  <c r="E20" i="25" s="1"/>
  <c r="E16" i="82" s="1"/>
  <c r="Y19" i="82"/>
  <c r="Z69" i="82"/>
  <c r="Z67" i="82" s="1"/>
  <c r="D99" i="55"/>
  <c r="D133" i="55"/>
  <c r="G12" i="49"/>
  <c r="W12" i="49"/>
  <c r="P14" i="25"/>
  <c r="P21" i="25" s="1"/>
  <c r="P20" i="25" s="1"/>
  <c r="M18" i="59"/>
  <c r="M21" i="82"/>
  <c r="M18" i="75"/>
  <c r="U21" i="25"/>
  <c r="V21" i="25" s="1"/>
  <c r="I64" i="20"/>
  <c r="I66" i="20" s="1"/>
  <c r="X94" i="26"/>
  <c r="X64" i="20" s="1"/>
  <c r="T18" i="75"/>
  <c r="T20" i="82"/>
  <c r="T21" i="82"/>
  <c r="F14" i="33"/>
  <c r="T18" i="59"/>
  <c r="N18" i="59"/>
  <c r="N21" i="82"/>
  <c r="N20" i="82"/>
  <c r="N18" i="75"/>
  <c r="U94" i="26"/>
  <c r="U64" i="20" s="1"/>
  <c r="U14" i="25"/>
  <c r="AF16" i="30"/>
  <c r="M12" i="49"/>
  <c r="AC12" i="49"/>
  <c r="AC33" i="49" s="1"/>
  <c r="V14" i="33"/>
  <c r="Q56" i="59"/>
  <c r="S54" i="59"/>
  <c r="V14" i="25"/>
  <c r="N12" i="49"/>
  <c r="AD12" i="49"/>
  <c r="AD33" i="49" s="1"/>
  <c r="AD34" i="49" s="1"/>
  <c r="R21" i="82"/>
  <c r="R20" i="82"/>
  <c r="T14" i="25"/>
  <c r="T21" i="25" s="1"/>
  <c r="K13" i="74"/>
  <c r="K20" i="74" s="1"/>
  <c r="AB33" i="49"/>
  <c r="AB34" i="49" s="1"/>
  <c r="S18" i="75"/>
  <c r="S18" i="59"/>
  <c r="S20" i="82"/>
  <c r="E133" i="75"/>
  <c r="E137" i="75" s="1"/>
  <c r="L155" i="88"/>
  <c r="H14" i="30"/>
  <c r="H12" i="30" s="1"/>
  <c r="AD14" i="82"/>
  <c r="Y16" i="70"/>
  <c r="Y25" i="70" s="1"/>
  <c r="AB46" i="70"/>
  <c r="AE14" i="25"/>
  <c r="Y13" i="59"/>
  <c r="N13" i="74"/>
  <c r="N20" i="74" s="1"/>
  <c r="N19" i="74" s="1"/>
  <c r="J16" i="30"/>
  <c r="J14" i="33"/>
  <c r="W18" i="82"/>
  <c r="Z13" i="59"/>
  <c r="H19" i="74"/>
  <c r="AC94" i="26"/>
  <c r="AC64" i="20" s="1"/>
  <c r="X18" i="82"/>
  <c r="P51" i="59"/>
  <c r="P26" i="59" s="1"/>
  <c r="I19" i="74"/>
  <c r="AB13" i="59"/>
  <c r="W17" i="59"/>
  <c r="R125" i="88"/>
  <c r="M14" i="40"/>
  <c r="M15" i="40" s="1"/>
  <c r="R14" i="40"/>
  <c r="R16" i="40" s="1"/>
  <c r="O55" i="38"/>
  <c r="K67" i="38" s="1"/>
  <c r="K69" i="38" s="1"/>
  <c r="J87" i="75"/>
  <c r="W105" i="75"/>
  <c r="X104" i="75" s="1"/>
  <c r="X106" i="75" s="1"/>
  <c r="X105" i="75" s="1"/>
  <c r="AD13" i="59"/>
  <c r="AE16" i="70"/>
  <c r="AE25" i="70" s="1"/>
  <c r="AF47" i="70"/>
  <c r="T31" i="70"/>
  <c r="U31" i="70" s="1"/>
  <c r="V31" i="70" s="1"/>
  <c r="W31" i="70" s="1"/>
  <c r="X31" i="70" s="1"/>
  <c r="O13" i="74"/>
  <c r="O20" i="74" s="1"/>
  <c r="O19" i="74" s="1"/>
  <c r="R13" i="74"/>
  <c r="R20" i="74" s="1"/>
  <c r="R19" i="74" s="1"/>
  <c r="R11" i="26"/>
  <c r="AO12" i="26"/>
  <c r="I16" i="30"/>
  <c r="X14" i="33"/>
  <c r="D33" i="55"/>
  <c r="S13" i="74"/>
  <c r="S20" i="74" s="1"/>
  <c r="S19" i="74" s="1"/>
  <c r="Q140" i="88"/>
  <c r="O14" i="25"/>
  <c r="O21" i="25" s="1"/>
  <c r="O20" i="25" s="1"/>
  <c r="O16" i="82" s="1"/>
  <c r="I20" i="25"/>
  <c r="I16" i="82" s="1"/>
  <c r="T13" i="74"/>
  <c r="T20" i="74" s="1"/>
  <c r="T19" i="74" s="1"/>
  <c r="D11" i="26"/>
  <c r="D20" i="26" s="1"/>
  <c r="T11" i="26"/>
  <c r="Z14" i="33"/>
  <c r="Z19" i="82"/>
  <c r="G141" i="88"/>
  <c r="W141" i="88"/>
  <c r="L142" i="88"/>
  <c r="K36" i="75"/>
  <c r="K55" i="38"/>
  <c r="M36" i="75"/>
  <c r="N36" i="75"/>
  <c r="AA14" i="33"/>
  <c r="Z14" i="25"/>
  <c r="U13" i="74"/>
  <c r="U20" i="74" s="1"/>
  <c r="L16" i="30"/>
  <c r="AI16" i="88"/>
  <c r="AJ16" i="88" s="1"/>
  <c r="AK16" i="88" s="1"/>
  <c r="AL16" i="88" s="1"/>
  <c r="AM16" i="88" s="1"/>
  <c r="AN16" i="88" s="1"/>
  <c r="Q21" i="25"/>
  <c r="V94" i="26"/>
  <c r="V64" i="20" s="1"/>
  <c r="AC14" i="82"/>
  <c r="I18" i="82"/>
  <c r="W13" i="59"/>
  <c r="W14" i="83"/>
  <c r="D5" i="84"/>
  <c r="J40" i="83"/>
  <c r="Y14" i="83"/>
  <c r="Y63" i="83" s="1"/>
  <c r="Z14" i="83"/>
  <c r="Z63" i="83" s="1"/>
  <c r="O30" i="83"/>
  <c r="P72" i="83"/>
  <c r="P30" i="83"/>
  <c r="T72" i="83"/>
  <c r="L40" i="83"/>
  <c r="G72" i="83"/>
  <c r="G63" i="83"/>
  <c r="D63" i="83"/>
  <c r="M40" i="83"/>
  <c r="I72" i="83"/>
  <c r="H63" i="83"/>
  <c r="W37" i="20"/>
  <c r="X37" i="20"/>
  <c r="W38" i="20"/>
  <c r="Y37" i="20"/>
  <c r="V37" i="20"/>
  <c r="H52" i="20"/>
  <c r="X52" i="20"/>
  <c r="U37" i="20"/>
  <c r="P52" i="20"/>
  <c r="Q52" i="20"/>
  <c r="D52" i="20"/>
  <c r="T52" i="20"/>
  <c r="K52" i="20"/>
  <c r="F52" i="20"/>
  <c r="V52" i="20"/>
  <c r="L52" i="20"/>
  <c r="AB52" i="20"/>
  <c r="G52" i="20"/>
  <c r="W52" i="20"/>
  <c r="M52" i="20"/>
  <c r="AC52" i="20"/>
  <c r="N52" i="20"/>
  <c r="R140" i="88"/>
  <c r="H33" i="88"/>
  <c r="I141" i="88"/>
  <c r="Y141" i="88"/>
  <c r="N142" i="88"/>
  <c r="AD142" i="88"/>
  <c r="J141" i="88"/>
  <c r="Z141" i="88"/>
  <c r="O142" i="88"/>
  <c r="AE142" i="88"/>
  <c r="AF142" i="88" s="1"/>
  <c r="AF30" i="88" s="1"/>
  <c r="AF56" i="88"/>
  <c r="AC56" i="88"/>
  <c r="J15" i="88"/>
  <c r="J9" i="88" s="1"/>
  <c r="S150" i="88"/>
  <c r="H151" i="88"/>
  <c r="M152" i="88"/>
  <c r="S32" i="88"/>
  <c r="I33" i="88"/>
  <c r="Y33" i="88"/>
  <c r="K33" i="88"/>
  <c r="H150" i="88"/>
  <c r="M151" i="88"/>
  <c r="M141" i="88"/>
  <c r="AC141" i="88"/>
  <c r="R142" i="88"/>
  <c r="K150" i="88"/>
  <c r="P151" i="88"/>
  <c r="R155" i="88"/>
  <c r="N15" i="88"/>
  <c r="N126" i="88" s="1"/>
  <c r="H106" i="88" s="1"/>
  <c r="M32" i="88"/>
  <c r="AE56" i="88"/>
  <c r="S154" i="88"/>
  <c r="M15" i="88"/>
  <c r="M126" i="88" s="1"/>
  <c r="S15" i="88"/>
  <c r="S126" i="88" s="1"/>
  <c r="F105" i="88"/>
  <c r="T15" i="88"/>
  <c r="T9" i="88" s="1"/>
  <c r="R152" i="88"/>
  <c r="L141" i="88"/>
  <c r="AB141" i="88"/>
  <c r="Q142" i="88"/>
  <c r="I150" i="88"/>
  <c r="N151" i="88"/>
  <c r="S152" i="88"/>
  <c r="AA130" i="88"/>
  <c r="AA123" i="88" s="1"/>
  <c r="AF130" i="88"/>
  <c r="AF139" i="88" s="1"/>
  <c r="AG139" i="88" s="1"/>
  <c r="AH139" i="88" s="1"/>
  <c r="AI139" i="88" s="1"/>
  <c r="AJ139" i="88" s="1"/>
  <c r="AB130" i="88"/>
  <c r="AB123" i="88" s="1"/>
  <c r="F83" i="88"/>
  <c r="F106" i="88" s="1"/>
  <c r="L32" i="88"/>
  <c r="O152" i="88"/>
  <c r="F24" i="88"/>
  <c r="P140" i="88"/>
  <c r="Q149" i="88"/>
  <c r="G32" i="88"/>
  <c r="W24" i="88"/>
  <c r="M24" i="88"/>
  <c r="R149" i="88"/>
  <c r="H24" i="88"/>
  <c r="AD140" i="88"/>
  <c r="E98" i="88"/>
  <c r="E106" i="88" s="1"/>
  <c r="L151" i="88"/>
  <c r="Q154" i="88"/>
  <c r="S149" i="88"/>
  <c r="O24" i="88"/>
  <c r="T24" i="88"/>
  <c r="S153" i="88"/>
  <c r="R154" i="88"/>
  <c r="G155" i="88"/>
  <c r="Q151" i="88"/>
  <c r="F33" i="88"/>
  <c r="K15" i="88"/>
  <c r="K9" i="88" s="1"/>
  <c r="AA15" i="88"/>
  <c r="AA9" i="88" s="1"/>
  <c r="AE15" i="88"/>
  <c r="AE9" i="88" s="1"/>
  <c r="U141" i="88"/>
  <c r="G33" i="88"/>
  <c r="W33" i="88"/>
  <c r="L15" i="88"/>
  <c r="P15" i="88"/>
  <c r="P9" i="88" s="1"/>
  <c r="F141" i="88"/>
  <c r="V141" i="88"/>
  <c r="K142" i="88"/>
  <c r="AA142" i="88"/>
  <c r="J150" i="88"/>
  <c r="O151" i="88"/>
  <c r="O15" i="88"/>
  <c r="O9" i="88" s="1"/>
  <c r="R141" i="88"/>
  <c r="G142" i="88"/>
  <c r="W142" i="88"/>
  <c r="S141" i="88"/>
  <c r="H142" i="88"/>
  <c r="X142" i="88"/>
  <c r="V130" i="88"/>
  <c r="V139" i="88" s="1"/>
  <c r="AF15" i="88"/>
  <c r="AF126" i="88" s="1"/>
  <c r="AG126" i="88" s="1"/>
  <c r="AH126" i="88" s="1"/>
  <c r="AI126" i="88" s="1"/>
  <c r="AJ126" i="88" s="1"/>
  <c r="AK126" i="88" s="1"/>
  <c r="AL126" i="88" s="1"/>
  <c r="AM126" i="88" s="1"/>
  <c r="AN126" i="88" s="1"/>
  <c r="U15" i="88"/>
  <c r="U126" i="88" s="1"/>
  <c r="K149" i="88"/>
  <c r="I155" i="88"/>
  <c r="H32" i="88"/>
  <c r="AD24" i="88"/>
  <c r="L130" i="88"/>
  <c r="L139" i="88" s="1"/>
  <c r="I32" i="88"/>
  <c r="H40" i="88"/>
  <c r="H77" i="88" s="1"/>
  <c r="H84" i="88" s="1"/>
  <c r="AE24" i="88"/>
  <c r="M130" i="88"/>
  <c r="M123" i="88" s="1"/>
  <c r="AC130" i="88"/>
  <c r="AC123" i="88" s="1"/>
  <c r="J32" i="88"/>
  <c r="AA141" i="88"/>
  <c r="P142" i="88"/>
  <c r="K32" i="88"/>
  <c r="AA32" i="88"/>
  <c r="AB32" i="88"/>
  <c r="AG10" i="88"/>
  <c r="AK10" i="88" s="1"/>
  <c r="AL10" i="88" s="1"/>
  <c r="AM10" i="88" s="1"/>
  <c r="AN10" i="88" s="1"/>
  <c r="R33" i="88"/>
  <c r="I40" i="88"/>
  <c r="F104" i="88"/>
  <c r="P152" i="88"/>
  <c r="M154" i="88"/>
  <c r="AD32" i="88"/>
  <c r="G24" i="88"/>
  <c r="N154" i="88"/>
  <c r="S142" i="88"/>
  <c r="T141" i="88"/>
  <c r="I15" i="88"/>
  <c r="I126" i="88" s="1"/>
  <c r="AC15" i="88"/>
  <c r="AC126" i="88" s="1"/>
  <c r="U24" i="88"/>
  <c r="AA140" i="88"/>
  <c r="U142" i="88"/>
  <c r="AD15" i="88"/>
  <c r="AD9" i="88" s="1"/>
  <c r="F32" i="88"/>
  <c r="V24" i="88"/>
  <c r="AB140" i="88"/>
  <c r="F142" i="88"/>
  <c r="V142" i="88"/>
  <c r="N140" i="88"/>
  <c r="W32" i="88"/>
  <c r="J152" i="88"/>
  <c r="H155" i="88"/>
  <c r="R24" i="88"/>
  <c r="AC32" i="88"/>
  <c r="K152" i="88"/>
  <c r="G151" i="88"/>
  <c r="AA33" i="88"/>
  <c r="W140" i="88"/>
  <c r="Q130" i="88"/>
  <c r="Q123" i="88" s="1"/>
  <c r="K135" i="88"/>
  <c r="K140" i="88" s="1"/>
  <c r="G149" i="88"/>
  <c r="N152" i="88"/>
  <c r="V32" i="88"/>
  <c r="F15" i="88"/>
  <c r="F9" i="88" s="1"/>
  <c r="V15" i="88"/>
  <c r="V126" i="88" s="1"/>
  <c r="Y15" i="88"/>
  <c r="Y9" i="88" s="1"/>
  <c r="H140" i="88"/>
  <c r="X140" i="88"/>
  <c r="R130" i="88"/>
  <c r="R139" i="88" s="1"/>
  <c r="L135" i="88"/>
  <c r="H149" i="88"/>
  <c r="E105" i="88"/>
  <c r="N150" i="88"/>
  <c r="H152" i="88"/>
  <c r="X130" i="88"/>
  <c r="X139" i="88" s="1"/>
  <c r="AG17" i="88"/>
  <c r="AH17" i="88" s="1"/>
  <c r="AI17" i="88" s="1"/>
  <c r="AJ17" i="88" s="1"/>
  <c r="AK17" i="88" s="1"/>
  <c r="AL17" i="88" s="1"/>
  <c r="AM17" i="88" s="1"/>
  <c r="AN17" i="88" s="1"/>
  <c r="N24" i="88"/>
  <c r="O150" i="88"/>
  <c r="I152" i="88"/>
  <c r="S24" i="88"/>
  <c r="F107" i="88"/>
  <c r="AF140" i="88"/>
  <c r="AG140" i="88" s="1"/>
  <c r="AG28" i="88" s="1"/>
  <c r="S140" i="88"/>
  <c r="J130" i="88"/>
  <c r="J139" i="88" s="1"/>
  <c r="R15" i="88"/>
  <c r="R126" i="88" s="1"/>
  <c r="X125" i="88"/>
  <c r="F140" i="88"/>
  <c r="G15" i="88"/>
  <c r="G9" i="88" s="1"/>
  <c r="W15" i="88"/>
  <c r="W9" i="88" s="1"/>
  <c r="X33" i="88"/>
  <c r="W130" i="88"/>
  <c r="W123" i="88" s="1"/>
  <c r="M135" i="88"/>
  <c r="M125" i="88" s="1"/>
  <c r="J149" i="88"/>
  <c r="Q152" i="88"/>
  <c r="O154" i="88"/>
  <c r="AB15" i="88"/>
  <c r="AB126" i="88" s="1"/>
  <c r="H130" i="88"/>
  <c r="H139" i="88" s="1"/>
  <c r="Q15" i="88"/>
  <c r="Q126" i="88" s="1"/>
  <c r="N32" i="88"/>
  <c r="T140" i="88"/>
  <c r="K130" i="88"/>
  <c r="K139" i="88" s="1"/>
  <c r="T130" i="88"/>
  <c r="T139" i="88" s="1"/>
  <c r="I151" i="88"/>
  <c r="H154" i="88"/>
  <c r="X141" i="88"/>
  <c r="X24" i="88"/>
  <c r="K151" i="88"/>
  <c r="AC125" i="88"/>
  <c r="H15" i="88"/>
  <c r="X15" i="88"/>
  <c r="AF19" i="88"/>
  <c r="T142" i="88"/>
  <c r="AD56" i="88"/>
  <c r="AF14" i="82"/>
  <c r="U53" i="82"/>
  <c r="Q51" i="82"/>
  <c r="K48" i="82"/>
  <c r="K26" i="82" s="1"/>
  <c r="X19" i="82"/>
  <c r="L51" i="82"/>
  <c r="AB51" i="82"/>
  <c r="AC51" i="82"/>
  <c r="O51" i="82"/>
  <c r="AE48" i="82"/>
  <c r="AE26" i="82" s="1"/>
  <c r="X13" i="82"/>
  <c r="P51" i="82"/>
  <c r="AF48" i="82"/>
  <c r="AF26" i="82" s="1"/>
  <c r="AB69" i="82"/>
  <c r="AB67" i="82" s="1"/>
  <c r="Q53" i="82"/>
  <c r="AC69" i="82"/>
  <c r="AC67" i="82" s="1"/>
  <c r="AF29" i="82"/>
  <c r="Y5" i="50" s="1"/>
  <c r="O48" i="82"/>
  <c r="O26" i="82" s="1"/>
  <c r="R51" i="82"/>
  <c r="P48" i="82"/>
  <c r="P26" i="82" s="1"/>
  <c r="S51" i="82"/>
  <c r="T51" i="82"/>
  <c r="U51" i="82"/>
  <c r="AE14" i="82"/>
  <c r="K51" i="82"/>
  <c r="AA51" i="82"/>
  <c r="AB14" i="82"/>
  <c r="AE51" i="82"/>
  <c r="X69" i="82"/>
  <c r="X67" i="82" s="1"/>
  <c r="AF51" i="82"/>
  <c r="AA48" i="82"/>
  <c r="AA26" i="82" s="1"/>
  <c r="AD51" i="82"/>
  <c r="R38" i="82"/>
  <c r="AB48" i="82"/>
  <c r="AB26" i="82" s="1"/>
  <c r="AC48" i="82"/>
  <c r="AC26" i="82" s="1"/>
  <c r="AC13" i="82"/>
  <c r="AD48" i="82"/>
  <c r="AD26" i="82" s="1"/>
  <c r="G63" i="82"/>
  <c r="AF13" i="82"/>
  <c r="AE35" i="82"/>
  <c r="H63" i="82"/>
  <c r="AF35" i="82"/>
  <c r="U48" i="82"/>
  <c r="U26" i="82" s="1"/>
  <c r="X29" i="82"/>
  <c r="D72" i="83"/>
  <c r="O63" i="83"/>
  <c r="U69" i="83"/>
  <c r="U71" i="83" s="1"/>
  <c r="P63" i="83"/>
  <c r="E63" i="83"/>
  <c r="U63" i="83"/>
  <c r="AC14" i="83"/>
  <c r="AC63" i="83" s="1"/>
  <c r="S63" i="83"/>
  <c r="M30" i="83"/>
  <c r="R30" i="83"/>
  <c r="F72" i="83"/>
  <c r="Q63" i="83"/>
  <c r="F63" i="83"/>
  <c r="V14" i="83"/>
  <c r="V63" i="83" s="1"/>
  <c r="T63" i="83"/>
  <c r="S30" i="83"/>
  <c r="F64" i="83"/>
  <c r="D38" i="83"/>
  <c r="T38" i="83"/>
  <c r="T30" i="83"/>
  <c r="G64" i="83"/>
  <c r="G62" i="83" s="1"/>
  <c r="G65" i="83" s="1"/>
  <c r="G74" i="83" s="1"/>
  <c r="G29" i="83" s="1"/>
  <c r="E38" i="83"/>
  <c r="H64" i="83"/>
  <c r="F38" i="83"/>
  <c r="F40" i="83" s="1"/>
  <c r="G38" i="83"/>
  <c r="J72" i="83"/>
  <c r="H38" i="83"/>
  <c r="H40" i="83" s="1"/>
  <c r="N38" i="83"/>
  <c r="N40" i="83" s="1"/>
  <c r="L72" i="83"/>
  <c r="L63" i="83"/>
  <c r="P38" i="83"/>
  <c r="Q38" i="83"/>
  <c r="R40" i="83" s="1"/>
  <c r="P30" i="49"/>
  <c r="P38" i="59" s="1"/>
  <c r="P39" i="59" s="1"/>
  <c r="Q30" i="49"/>
  <c r="Q45" i="75" s="1"/>
  <c r="Q46" i="75" s="1"/>
  <c r="AF30" i="49"/>
  <c r="O33" i="49"/>
  <c r="O34" i="49" s="1"/>
  <c r="E23" i="49"/>
  <c r="AH18" i="30"/>
  <c r="AG16" i="30"/>
  <c r="M14" i="30"/>
  <c r="M12" i="30" s="1"/>
  <c r="AC14" i="30"/>
  <c r="AC12" i="30" s="1"/>
  <c r="AE14" i="30"/>
  <c r="AE12" i="30" s="1"/>
  <c r="H47" i="30"/>
  <c r="AD16" i="30"/>
  <c r="H16" i="30"/>
  <c r="N16" i="30"/>
  <c r="W16" i="26"/>
  <c r="W77" i="26" s="1"/>
  <c r="F11" i="26"/>
  <c r="F20" i="26" s="1"/>
  <c r="V11" i="26"/>
  <c r="X30" i="26"/>
  <c r="V16" i="26"/>
  <c r="V77" i="26" s="1"/>
  <c r="G11" i="26"/>
  <c r="G20" i="26" s="1"/>
  <c r="S94" i="26"/>
  <c r="S64" i="20" s="1"/>
  <c r="H11" i="26"/>
  <c r="H20" i="26" s="1"/>
  <c r="H78" i="26" s="1"/>
  <c r="H73" i="26" s="1"/>
  <c r="H65" i="20" s="1"/>
  <c r="X11" i="26"/>
  <c r="Q31" i="26"/>
  <c r="X16" i="26"/>
  <c r="X77" i="26" s="1"/>
  <c r="T94" i="26"/>
  <c r="T64" i="20" s="1"/>
  <c r="W11" i="26"/>
  <c r="R31" i="26"/>
  <c r="R16" i="26" s="1"/>
  <c r="R77" i="26" s="1"/>
  <c r="M30" i="26"/>
  <c r="M76" i="26"/>
  <c r="L11" i="26"/>
  <c r="L20" i="26" s="1"/>
  <c r="L78" i="26" s="1"/>
  <c r="L73" i="26" s="1"/>
  <c r="L65" i="20" s="1"/>
  <c r="L66" i="20" s="1"/>
  <c r="L41" i="20" s="1"/>
  <c r="N30" i="26"/>
  <c r="U31" i="26"/>
  <c r="U16" i="26" s="1"/>
  <c r="U77" i="26" s="1"/>
  <c r="P30" i="26"/>
  <c r="W94" i="26"/>
  <c r="W64" i="20" s="1"/>
  <c r="P11" i="26"/>
  <c r="AF11" i="26"/>
  <c r="AF20" i="26" s="1"/>
  <c r="AF78" i="26" s="1"/>
  <c r="R30" i="26"/>
  <c r="S30" i="26"/>
  <c r="D31" i="55"/>
  <c r="D134" i="55" s="1"/>
  <c r="G85" i="55"/>
  <c r="G120" i="55"/>
  <c r="J130" i="55"/>
  <c r="J95" i="55"/>
  <c r="K120" i="55"/>
  <c r="K85" i="55"/>
  <c r="F88" i="55"/>
  <c r="F123" i="55"/>
  <c r="G81" i="55"/>
  <c r="E81" i="55"/>
  <c r="I87" i="55"/>
  <c r="J123" i="55"/>
  <c r="H130" i="55"/>
  <c r="G95" i="55"/>
  <c r="AH91" i="80"/>
  <c r="AO95" i="80"/>
  <c r="AO91" i="80"/>
  <c r="AC91" i="80"/>
  <c r="AI91" i="80"/>
  <c r="AJ91" i="80"/>
  <c r="AM91" i="80"/>
  <c r="AN91" i="80"/>
  <c r="AK91" i="80"/>
  <c r="AL95" i="80"/>
  <c r="AD91" i="80"/>
  <c r="H88" i="55"/>
  <c r="H123" i="55"/>
  <c r="D120" i="55"/>
  <c r="D85" i="55"/>
  <c r="E122" i="55"/>
  <c r="E87" i="55"/>
  <c r="F130" i="55"/>
  <c r="F95" i="55"/>
  <c r="J122" i="55"/>
  <c r="J87" i="55"/>
  <c r="K116" i="55"/>
  <c r="K81" i="55"/>
  <c r="H81" i="55"/>
  <c r="F87" i="55"/>
  <c r="G123" i="55"/>
  <c r="I81" i="55"/>
  <c r="J81" i="55"/>
  <c r="G87" i="55"/>
  <c r="H120" i="55"/>
  <c r="K87" i="55"/>
  <c r="D121" i="55"/>
  <c r="K88" i="55"/>
  <c r="F121" i="55"/>
  <c r="D81" i="55"/>
  <c r="D123" i="55"/>
  <c r="AA37" i="20"/>
  <c r="AB37" i="20"/>
  <c r="R52" i="20"/>
  <c r="J52" i="20"/>
  <c r="Z52" i="20"/>
  <c r="O52" i="20"/>
  <c r="E52" i="20"/>
  <c r="U52" i="20"/>
  <c r="Z37" i="20"/>
  <c r="V16" i="74"/>
  <c r="W16" i="74" s="1"/>
  <c r="X16" i="74" s="1"/>
  <c r="Y16" i="74" s="1"/>
  <c r="Z16" i="74" s="1"/>
  <c r="AA16" i="74" s="1"/>
  <c r="AB16" i="74" s="1"/>
  <c r="AC16" i="74" s="1"/>
  <c r="I88" i="55"/>
  <c r="I123" i="55"/>
  <c r="E114" i="55"/>
  <c r="E79" i="55"/>
  <c r="G31" i="55"/>
  <c r="AI24" i="70"/>
  <c r="E3" i="71" s="1"/>
  <c r="AG15" i="25"/>
  <c r="AH13" i="25"/>
  <c r="K121" i="55"/>
  <c r="K86" i="55"/>
  <c r="Y45" i="75"/>
  <c r="Y38" i="59"/>
  <c r="Y37" i="82"/>
  <c r="E120" i="55"/>
  <c r="E85" i="55"/>
  <c r="I120" i="55"/>
  <c r="I85" i="55"/>
  <c r="M17" i="82"/>
  <c r="S38" i="20"/>
  <c r="S37" i="20"/>
  <c r="J120" i="55"/>
  <c r="J85" i="55"/>
  <c r="F114" i="55"/>
  <c r="F79" i="55"/>
  <c r="I99" i="55"/>
  <c r="I133" i="55"/>
  <c r="Q20" i="74"/>
  <c r="Q19" i="74" s="1"/>
  <c r="N85" i="82"/>
  <c r="M85" i="82"/>
  <c r="L85" i="82"/>
  <c r="E86" i="55"/>
  <c r="E121" i="55"/>
  <c r="G101" i="55"/>
  <c r="G135" i="55"/>
  <c r="AE91" i="80"/>
  <c r="D114" i="55"/>
  <c r="D79" i="55"/>
  <c r="AI26" i="70"/>
  <c r="E5" i="71" s="1"/>
  <c r="G33" i="55"/>
  <c r="D21" i="25"/>
  <c r="D20" i="25" s="1"/>
  <c r="D16" i="82" s="1"/>
  <c r="W70" i="70"/>
  <c r="W71" i="82" s="1"/>
  <c r="D30" i="49"/>
  <c r="T30" i="49"/>
  <c r="E131" i="75"/>
  <c r="E132" i="75" s="1"/>
  <c r="E134" i="75"/>
  <c r="P17" i="75"/>
  <c r="P14" i="33"/>
  <c r="P17" i="59"/>
  <c r="P18" i="82"/>
  <c r="F22" i="33"/>
  <c r="AF14" i="33"/>
  <c r="AF18" i="82"/>
  <c r="D16" i="55"/>
  <c r="AF17" i="59"/>
  <c r="J30" i="55"/>
  <c r="H87" i="55"/>
  <c r="AM13" i="78"/>
  <c r="AM14" i="78" s="1"/>
  <c r="J24" i="35" s="1"/>
  <c r="AM38" i="70"/>
  <c r="AM37" i="70" s="1"/>
  <c r="AM12" i="70" s="1"/>
  <c r="AM70" i="70"/>
  <c r="AM71" i="82" s="1"/>
  <c r="AG40" i="70"/>
  <c r="AG71" i="70"/>
  <c r="X70" i="70"/>
  <c r="X71" i="82" s="1"/>
  <c r="W14" i="25"/>
  <c r="E30" i="49"/>
  <c r="U45" i="75"/>
  <c r="U38" i="59"/>
  <c r="U37" i="82"/>
  <c r="F120" i="55"/>
  <c r="AB72" i="70"/>
  <c r="V45" i="75"/>
  <c r="V38" i="59"/>
  <c r="V37" i="82"/>
  <c r="AF25" i="70"/>
  <c r="D32" i="55"/>
  <c r="AM71" i="70"/>
  <c r="AL71" i="70"/>
  <c r="AG72" i="70"/>
  <c r="AF72" i="70"/>
  <c r="C43" i="26"/>
  <c r="C62" i="26"/>
  <c r="Z45" i="75"/>
  <c r="Z38" i="59"/>
  <c r="Z37" i="82"/>
  <c r="K26" i="33"/>
  <c r="J26" i="33"/>
  <c r="AL26" i="70"/>
  <c r="H5" i="71" s="1"/>
  <c r="J33" i="55"/>
  <c r="AN13" i="78"/>
  <c r="AN14" i="78" s="1"/>
  <c r="AN70" i="70"/>
  <c r="AN71" i="82" s="1"/>
  <c r="F21" i="25"/>
  <c r="F20" i="25" s="1"/>
  <c r="F16" i="82" s="1"/>
  <c r="I14" i="25"/>
  <c r="Y14" i="25"/>
  <c r="AB14" i="75"/>
  <c r="AB15" i="59"/>
  <c r="AB14" i="59" s="1"/>
  <c r="AB16" i="82"/>
  <c r="AB15" i="82" s="1"/>
  <c r="F30" i="49"/>
  <c r="Q17" i="75"/>
  <c r="Q14" i="33"/>
  <c r="Q17" i="59"/>
  <c r="Q18" i="82"/>
  <c r="S12" i="20"/>
  <c r="S11" i="20" s="1"/>
  <c r="T30" i="70"/>
  <c r="AI71" i="70"/>
  <c r="AC72" i="70"/>
  <c r="Z70" i="70"/>
  <c r="Z71" i="82" s="1"/>
  <c r="G21" i="25"/>
  <c r="G20" i="25" s="1"/>
  <c r="G16" i="82" s="1"/>
  <c r="J14" i="25"/>
  <c r="J21" i="25" s="1"/>
  <c r="AC14" i="75"/>
  <c r="AC15" i="59"/>
  <c r="AC14" i="59" s="1"/>
  <c r="AC16" i="82"/>
  <c r="AC15" i="82" s="1"/>
  <c r="G33" i="49"/>
  <c r="G30" i="49"/>
  <c r="W45" i="75"/>
  <c r="W38" i="59"/>
  <c r="W33" i="49"/>
  <c r="W34" i="49" s="1"/>
  <c r="W37" i="82"/>
  <c r="U69" i="82"/>
  <c r="U67" i="82" s="1"/>
  <c r="T19" i="82"/>
  <c r="F137" i="55"/>
  <c r="F103" i="55"/>
  <c r="AJ71" i="70"/>
  <c r="AE14" i="59"/>
  <c r="AE16" i="82"/>
  <c r="AE15" i="82" s="1"/>
  <c r="V69" i="82"/>
  <c r="V67" i="82" s="1"/>
  <c r="U19" i="82"/>
  <c r="D100" i="55"/>
  <c r="H30" i="55"/>
  <c r="AJ23" i="70"/>
  <c r="F2" i="71" s="1"/>
  <c r="AA13" i="78"/>
  <c r="AA14" i="78" s="1"/>
  <c r="T10" i="50" s="1"/>
  <c r="AA70" i="70"/>
  <c r="AA71" i="82" s="1"/>
  <c r="AA38" i="70"/>
  <c r="AK40" i="70"/>
  <c r="AK14" i="70" s="1"/>
  <c r="AK71" i="70"/>
  <c r="K11" i="26"/>
  <c r="K20" i="26" s="1"/>
  <c r="K78" i="26" s="1"/>
  <c r="K73" i="26" s="1"/>
  <c r="K65" i="20" s="1"/>
  <c r="K66" i="20" s="1"/>
  <c r="K41" i="20" s="1"/>
  <c r="D47" i="26"/>
  <c r="E47" i="26" s="1"/>
  <c r="I30" i="49"/>
  <c r="AJ40" i="70"/>
  <c r="AJ14" i="70" s="1"/>
  <c r="AE69" i="83"/>
  <c r="AE71" i="83" s="1"/>
  <c r="AE70" i="83" s="1"/>
  <c r="AN38" i="70"/>
  <c r="AN37" i="70" s="1"/>
  <c r="AN12" i="70" s="1"/>
  <c r="AL40" i="70"/>
  <c r="AL14" i="70" s="1"/>
  <c r="V12" i="74"/>
  <c r="AG9" i="20"/>
  <c r="D6" i="55"/>
  <c r="Q21" i="82"/>
  <c r="Q18" i="75"/>
  <c r="Q20" i="82"/>
  <c r="R18" i="75"/>
  <c r="R18" i="59"/>
  <c r="D78" i="55"/>
  <c r="D113" i="55"/>
  <c r="E123" i="55"/>
  <c r="H135" i="55"/>
  <c r="E30" i="55"/>
  <c r="AG23" i="70"/>
  <c r="C2" i="71" s="1"/>
  <c r="AM40" i="70"/>
  <c r="AM14" i="70" s="1"/>
  <c r="AD72" i="70"/>
  <c r="AF14" i="25"/>
  <c r="L13" i="74"/>
  <c r="L20" i="74" s="1"/>
  <c r="L19" i="74" s="1"/>
  <c r="E44" i="26"/>
  <c r="K38" i="20"/>
  <c r="AH29" i="82"/>
  <c r="N21" i="75"/>
  <c r="N14" i="40"/>
  <c r="N17" i="40" s="1"/>
  <c r="N23" i="82"/>
  <c r="N21" i="59"/>
  <c r="R29" i="21"/>
  <c r="V29" i="21"/>
  <c r="T29" i="21"/>
  <c r="N35" i="26"/>
  <c r="AG41" i="70"/>
  <c r="L31" i="55"/>
  <c r="AN24" i="70"/>
  <c r="J3" i="71" s="1"/>
  <c r="T71" i="70"/>
  <c r="M13" i="74"/>
  <c r="M20" i="74" s="1"/>
  <c r="M19" i="74" s="1"/>
  <c r="AO23" i="26"/>
  <c r="L38" i="20"/>
  <c r="AH22" i="30"/>
  <c r="AI22" i="30" s="1"/>
  <c r="AJ22" i="30" s="1"/>
  <c r="AK22" i="30" s="1"/>
  <c r="AL22" i="30" s="1"/>
  <c r="AM22" i="30" s="1"/>
  <c r="AN22" i="30" s="1"/>
  <c r="AI29" i="82"/>
  <c r="AB32" i="75"/>
  <c r="AB24" i="59"/>
  <c r="AB24" i="82"/>
  <c r="U4" i="50" s="1"/>
  <c r="D137" i="55"/>
  <c r="D103" i="55"/>
  <c r="C49" i="26"/>
  <c r="M38" i="20"/>
  <c r="M37" i="20"/>
  <c r="AC38" i="20"/>
  <c r="AC37" i="20"/>
  <c r="AB16" i="30"/>
  <c r="AC16" i="30"/>
  <c r="X38" i="59"/>
  <c r="X37" i="82"/>
  <c r="X45" i="75"/>
  <c r="V13" i="82"/>
  <c r="Z13" i="82"/>
  <c r="AN18" i="70"/>
  <c r="AN45" i="70"/>
  <c r="AN20" i="70" s="1"/>
  <c r="V71" i="70"/>
  <c r="AQ13" i="26"/>
  <c r="J81" i="26"/>
  <c r="J73" i="26" s="1"/>
  <c r="J65" i="20" s="1"/>
  <c r="J66" i="20" s="1"/>
  <c r="D45" i="26"/>
  <c r="E45" i="26" s="1"/>
  <c r="N37" i="20"/>
  <c r="N38" i="20"/>
  <c r="AD37" i="20"/>
  <c r="AD38" i="20"/>
  <c r="G103" i="55"/>
  <c r="G137" i="55"/>
  <c r="L21" i="21"/>
  <c r="V46" i="30"/>
  <c r="V47" i="30" s="1"/>
  <c r="AM44" i="70"/>
  <c r="AM16" i="70"/>
  <c r="G86" i="55"/>
  <c r="G121" i="55"/>
  <c r="I130" i="55"/>
  <c r="I95" i="55"/>
  <c r="H86" i="55"/>
  <c r="H121" i="55"/>
  <c r="I79" i="55"/>
  <c r="D95" i="55"/>
  <c r="G114" i="55"/>
  <c r="T29" i="70"/>
  <c r="U29" i="70" s="1"/>
  <c r="V29" i="70" s="1"/>
  <c r="W29" i="70" s="1"/>
  <c r="X29" i="70" s="1"/>
  <c r="Y29" i="70" s="1"/>
  <c r="Z29" i="70" s="1"/>
  <c r="AA29" i="70" s="1"/>
  <c r="AB29" i="70" s="1"/>
  <c r="AC29" i="70" s="1"/>
  <c r="AD29" i="70" s="1"/>
  <c r="AE29" i="70" s="1"/>
  <c r="AF29" i="70" s="1"/>
  <c r="O38" i="20"/>
  <c r="AE38" i="20"/>
  <c r="AE37" i="20"/>
  <c r="AB45" i="75"/>
  <c r="AB38" i="59"/>
  <c r="AB37" i="82"/>
  <c r="AB35" i="49"/>
  <c r="Q18" i="59"/>
  <c r="AH40" i="70"/>
  <c r="AH14" i="70" s="1"/>
  <c r="AH71" i="70"/>
  <c r="F81" i="55"/>
  <c r="I86" i="55"/>
  <c r="I121" i="55"/>
  <c r="J79" i="55"/>
  <c r="E95" i="55"/>
  <c r="H114" i="55"/>
  <c r="R21" i="25"/>
  <c r="P38" i="20"/>
  <c r="P37" i="20"/>
  <c r="AF38" i="20"/>
  <c r="C5" i="35" s="1"/>
  <c r="AF37" i="20"/>
  <c r="I63" i="83"/>
  <c r="I66" i="83"/>
  <c r="J86" i="55"/>
  <c r="J121" i="55"/>
  <c r="K79" i="55"/>
  <c r="J137" i="55"/>
  <c r="AH18" i="70"/>
  <c r="AH25" i="70"/>
  <c r="D4" i="71" s="1"/>
  <c r="Y38" i="70"/>
  <c r="Q20" i="25"/>
  <c r="Q16" i="82" s="1"/>
  <c r="S21" i="25"/>
  <c r="S20" i="25" s="1"/>
  <c r="S16" i="82" s="1"/>
  <c r="O37" i="20"/>
  <c r="R29" i="82"/>
  <c r="AF19" i="82"/>
  <c r="AG69" i="82"/>
  <c r="AG67" i="82" s="1"/>
  <c r="AG66" i="82" s="1"/>
  <c r="AS30" i="80" s="1"/>
  <c r="AB62" i="83"/>
  <c r="AB65" i="83" s="1"/>
  <c r="Z13" i="78"/>
  <c r="Z14" i="78" s="1"/>
  <c r="Z38" i="70"/>
  <c r="E17" i="82"/>
  <c r="AF16" i="82"/>
  <c r="AF15" i="82" s="1"/>
  <c r="AF14" i="59"/>
  <c r="D12" i="55"/>
  <c r="AO34" i="26"/>
  <c r="AP19" i="26" s="1"/>
  <c r="Q38" i="20"/>
  <c r="R37" i="20"/>
  <c r="Q37" i="20"/>
  <c r="AD49" i="30"/>
  <c r="J33" i="49"/>
  <c r="J30" i="49"/>
  <c r="K40" i="83"/>
  <c r="Q40" i="83"/>
  <c r="K52" i="78"/>
  <c r="M42" i="78"/>
  <c r="N42" i="78" s="1"/>
  <c r="D12" i="21"/>
  <c r="D10" i="21"/>
  <c r="I29" i="21" s="1"/>
  <c r="E1" i="21"/>
  <c r="D7" i="21"/>
  <c r="M21" i="21"/>
  <c r="W46" i="30"/>
  <c r="W47" i="30" s="1"/>
  <c r="U41" i="21"/>
  <c r="Q41" i="21"/>
  <c r="Z35" i="26"/>
  <c r="H20" i="25"/>
  <c r="H16" i="82" s="1"/>
  <c r="K14" i="25"/>
  <c r="K21" i="25" s="1"/>
  <c r="AA14" i="25"/>
  <c r="S16" i="26"/>
  <c r="S77" i="26" s="1"/>
  <c r="R17" i="75"/>
  <c r="R14" i="33"/>
  <c r="R17" i="59"/>
  <c r="S14" i="33"/>
  <c r="AD13" i="78"/>
  <c r="AD14" i="78" s="1"/>
  <c r="W10" i="50" s="1"/>
  <c r="AD38" i="70"/>
  <c r="I17" i="82"/>
  <c r="L14" i="25"/>
  <c r="L21" i="25" s="1"/>
  <c r="L20" i="25" s="1"/>
  <c r="L16" i="82" s="1"/>
  <c r="AB14" i="25"/>
  <c r="K19" i="74"/>
  <c r="T16" i="26"/>
  <c r="T77" i="26" s="1"/>
  <c r="N28" i="26"/>
  <c r="J30" i="83"/>
  <c r="J64" i="83"/>
  <c r="J62" i="83" s="1"/>
  <c r="J65" i="83" s="1"/>
  <c r="U52" i="83"/>
  <c r="W50" i="83"/>
  <c r="W26" i="83" s="1"/>
  <c r="W64" i="83" s="1"/>
  <c r="R50" i="83"/>
  <c r="R26" i="83" s="1"/>
  <c r="R64" i="83" s="1"/>
  <c r="R52" i="83"/>
  <c r="Q50" i="83"/>
  <c r="Q26" i="83" s="1"/>
  <c r="Q64" i="83" s="1"/>
  <c r="Q52" i="83"/>
  <c r="O50" i="83"/>
  <c r="O26" i="83" s="1"/>
  <c r="O64" i="83" s="1"/>
  <c r="P52" i="83"/>
  <c r="O52" i="83"/>
  <c r="N52" i="83"/>
  <c r="AB50" i="83"/>
  <c r="AB26" i="83" s="1"/>
  <c r="AB64" i="83" s="1"/>
  <c r="AA50" i="83"/>
  <c r="AA26" i="83" s="1"/>
  <c r="AA64" i="83" s="1"/>
  <c r="AA62" i="83" s="1"/>
  <c r="AA65" i="83" s="1"/>
  <c r="Y50" i="83"/>
  <c r="Y26" i="83" s="1"/>
  <c r="Y64" i="83" s="1"/>
  <c r="Y62" i="83" s="1"/>
  <c r="Y65" i="83" s="1"/>
  <c r="M50" i="83"/>
  <c r="M26" i="83" s="1"/>
  <c r="M64" i="83" s="1"/>
  <c r="L50" i="83"/>
  <c r="L26" i="83" s="1"/>
  <c r="L64" i="83" s="1"/>
  <c r="L62" i="83" s="1"/>
  <c r="L65" i="83" s="1"/>
  <c r="X50" i="83"/>
  <c r="X26" i="83" s="1"/>
  <c r="X64" i="83" s="1"/>
  <c r="X62" i="83" s="1"/>
  <c r="X65" i="83" s="1"/>
  <c r="X52" i="83"/>
  <c r="AL91" i="80"/>
  <c r="AJ45" i="70"/>
  <c r="AJ20" i="70" s="1"/>
  <c r="AE13" i="78"/>
  <c r="AE14" i="78" s="1"/>
  <c r="AF38" i="70"/>
  <c r="AE38" i="70"/>
  <c r="AE70" i="70"/>
  <c r="AE71" i="82" s="1"/>
  <c r="AH72" i="70"/>
  <c r="Z14" i="75"/>
  <c r="Z15" i="59"/>
  <c r="Z14" i="59" s="1"/>
  <c r="Z16" i="82"/>
  <c r="Z15" i="82" s="1"/>
  <c r="AC14" i="25"/>
  <c r="I14" i="30"/>
  <c r="I12" i="30" s="1"/>
  <c r="D17" i="75"/>
  <c r="C25" i="33"/>
  <c r="D18" i="82"/>
  <c r="D17" i="59"/>
  <c r="E14" i="33"/>
  <c r="F131" i="75"/>
  <c r="F132" i="75" s="1"/>
  <c r="F134" i="75"/>
  <c r="T17" i="75"/>
  <c r="T17" i="59"/>
  <c r="T18" i="82"/>
  <c r="G22" i="33"/>
  <c r="K30" i="83"/>
  <c r="K64" i="83"/>
  <c r="K62" i="83" s="1"/>
  <c r="K65" i="83" s="1"/>
  <c r="I50" i="83"/>
  <c r="I26" i="83" s="1"/>
  <c r="I64" i="83" s="1"/>
  <c r="Y52" i="83"/>
  <c r="AF23" i="70"/>
  <c r="AA14" i="75"/>
  <c r="AA15" i="59"/>
  <c r="AA14" i="59" s="1"/>
  <c r="AA16" i="82"/>
  <c r="AA15" i="82" s="1"/>
  <c r="AO14" i="26"/>
  <c r="M75" i="26"/>
  <c r="J14" i="30"/>
  <c r="J12" i="30" s="1"/>
  <c r="Q30" i="83"/>
  <c r="J52" i="83"/>
  <c r="Z52" i="83"/>
  <c r="Z50" i="83"/>
  <c r="Z26" i="83" s="1"/>
  <c r="Z64" i="83" s="1"/>
  <c r="Z62" i="83" s="1"/>
  <c r="Z65" i="83" s="1"/>
  <c r="N96" i="59"/>
  <c r="M96" i="59"/>
  <c r="L96" i="59"/>
  <c r="AK41" i="70"/>
  <c r="AK72" i="70"/>
  <c r="AJ72" i="70"/>
  <c r="H13" i="74"/>
  <c r="AH94" i="26"/>
  <c r="R94" i="26"/>
  <c r="R64" i="20" s="1"/>
  <c r="H64" i="20"/>
  <c r="AG94" i="26"/>
  <c r="AF94" i="26"/>
  <c r="C3" i="35" s="1"/>
  <c r="AE94" i="26"/>
  <c r="AN94" i="26"/>
  <c r="AM94" i="26"/>
  <c r="AL94" i="26"/>
  <c r="AK94" i="26"/>
  <c r="AJ94" i="26"/>
  <c r="AI94" i="26"/>
  <c r="Y94" i="26"/>
  <c r="Y64" i="20" s="1"/>
  <c r="L12" i="30"/>
  <c r="L47" i="30"/>
  <c r="K14" i="30"/>
  <c r="K12" i="30" s="1"/>
  <c r="K16" i="30"/>
  <c r="L29" i="82"/>
  <c r="L48" i="82"/>
  <c r="L26" i="82" s="1"/>
  <c r="L63" i="82" s="1"/>
  <c r="K52" i="83"/>
  <c r="AA52" i="83"/>
  <c r="U56" i="59"/>
  <c r="T51" i="59"/>
  <c r="T26" i="59" s="1"/>
  <c r="AL72" i="70"/>
  <c r="AG16" i="25"/>
  <c r="AH16" i="25" s="1"/>
  <c r="AI16" i="25" s="1"/>
  <c r="AJ16" i="25" s="1"/>
  <c r="AK16" i="25" s="1"/>
  <c r="AL16" i="25" s="1"/>
  <c r="AM16" i="25" s="1"/>
  <c r="AN16" i="25" s="1"/>
  <c r="H17" i="82"/>
  <c r="I13" i="74"/>
  <c r="AO19" i="26"/>
  <c r="AG20" i="26"/>
  <c r="Z94" i="26"/>
  <c r="Z64" i="20" s="1"/>
  <c r="K38" i="59"/>
  <c r="K39" i="59" s="1"/>
  <c r="K45" i="75"/>
  <c r="K46" i="75" s="1"/>
  <c r="K37" i="82"/>
  <c r="K38" i="82" s="1"/>
  <c r="W63" i="83"/>
  <c r="N125" i="88"/>
  <c r="H105" i="88" s="1"/>
  <c r="I105" i="88" s="1"/>
  <c r="J105" i="88" s="1"/>
  <c r="K105" i="88" s="1"/>
  <c r="L105" i="88" s="1"/>
  <c r="N33" i="88"/>
  <c r="AD125" i="88"/>
  <c r="AD33" i="88"/>
  <c r="AQ91" i="80"/>
  <c r="AP91" i="80"/>
  <c r="S13" i="78"/>
  <c r="S14" i="78" s="1"/>
  <c r="T70" i="70"/>
  <c r="T71" i="82" s="1"/>
  <c r="AI13" i="78"/>
  <c r="AI14" i="78" s="1"/>
  <c r="F24" i="35" s="1"/>
  <c r="AJ70" i="70"/>
  <c r="AJ71" i="82" s="1"/>
  <c r="AI70" i="70"/>
  <c r="AI71" i="82" s="1"/>
  <c r="AD15" i="59"/>
  <c r="AD14" i="59" s="1"/>
  <c r="AD16" i="82"/>
  <c r="AD15" i="82" s="1"/>
  <c r="J13" i="74"/>
  <c r="J20" i="74" s="1"/>
  <c r="J19" i="74" s="1"/>
  <c r="AA94" i="26"/>
  <c r="M16" i="30"/>
  <c r="S30" i="49"/>
  <c r="AE19" i="82"/>
  <c r="F7" i="84" s="1"/>
  <c r="G7" i="84" s="1"/>
  <c r="AF69" i="82"/>
  <c r="AF67" i="82" s="1"/>
  <c r="L30" i="59"/>
  <c r="J140" i="88"/>
  <c r="J33" i="88"/>
  <c r="Z33" i="88"/>
  <c r="H33" i="49"/>
  <c r="H30" i="49"/>
  <c r="W13" i="82"/>
  <c r="Q16" i="40"/>
  <c r="Q17" i="40"/>
  <c r="Q15" i="40"/>
  <c r="V15" i="74"/>
  <c r="W15" i="74" s="1"/>
  <c r="X15" i="74" s="1"/>
  <c r="Y15" i="74" s="1"/>
  <c r="Z15" i="74" s="1"/>
  <c r="AA15" i="74" s="1"/>
  <c r="AB15" i="74" s="1"/>
  <c r="AC15" i="74" s="1"/>
  <c r="V17" i="74"/>
  <c r="W17" i="74" s="1"/>
  <c r="X17" i="74" s="1"/>
  <c r="Y17" i="74" s="1"/>
  <c r="Z17" i="74" s="1"/>
  <c r="AA17" i="74" s="1"/>
  <c r="AB17" i="74" s="1"/>
  <c r="AC17" i="74" s="1"/>
  <c r="O11" i="26"/>
  <c r="AE11" i="26"/>
  <c r="AE20" i="26" s="1"/>
  <c r="AE78" i="26" s="1"/>
  <c r="D46" i="26"/>
  <c r="E46" i="26" s="1"/>
  <c r="C56" i="26"/>
  <c r="C51" i="26" s="1"/>
  <c r="AB94" i="26"/>
  <c r="T37" i="20"/>
  <c r="K33" i="49"/>
  <c r="K34" i="49" s="1"/>
  <c r="AA45" i="75"/>
  <c r="AA38" i="59"/>
  <c r="AA37" i="82"/>
  <c r="D23" i="49"/>
  <c r="M51" i="82"/>
  <c r="M48" i="82"/>
  <c r="M26" i="82" s="1"/>
  <c r="G66" i="83"/>
  <c r="G31" i="83" s="1"/>
  <c r="H72" i="83"/>
  <c r="O51" i="59"/>
  <c r="O26" i="59" s="1"/>
  <c r="N51" i="59"/>
  <c r="N26" i="59" s="1"/>
  <c r="M51" i="59"/>
  <c r="M26" i="59" s="1"/>
  <c r="L51" i="59"/>
  <c r="L26" i="59" s="1"/>
  <c r="V51" i="59"/>
  <c r="V26" i="59" s="1"/>
  <c r="V54" i="59"/>
  <c r="L33" i="49"/>
  <c r="L34" i="49" s="1"/>
  <c r="N51" i="82"/>
  <c r="N48" i="82"/>
  <c r="N26" i="82" s="1"/>
  <c r="H66" i="83"/>
  <c r="W51" i="59"/>
  <c r="W26" i="59" s="1"/>
  <c r="W54" i="59"/>
  <c r="K38" i="75"/>
  <c r="N29" i="26"/>
  <c r="M29" i="26"/>
  <c r="AD94" i="26"/>
  <c r="AF12" i="30"/>
  <c r="AG12" i="30" s="1"/>
  <c r="M33" i="49"/>
  <c r="M30" i="49"/>
  <c r="F57" i="49" s="1"/>
  <c r="G57" i="49" s="1"/>
  <c r="H57" i="49" s="1"/>
  <c r="I57" i="49" s="1"/>
  <c r="AC45" i="75"/>
  <c r="AC38" i="59"/>
  <c r="AC37" i="82"/>
  <c r="F23" i="49"/>
  <c r="AB13" i="82"/>
  <c r="F19" i="74"/>
  <c r="L14" i="30"/>
  <c r="AB14" i="30"/>
  <c r="AB12" i="30" s="1"/>
  <c r="AD52" i="30"/>
  <c r="N33" i="49"/>
  <c r="AD38" i="59"/>
  <c r="AD37" i="82"/>
  <c r="R45" i="75"/>
  <c r="R46" i="75" s="1"/>
  <c r="R38" i="59"/>
  <c r="R39" i="59" s="1"/>
  <c r="L17" i="75"/>
  <c r="D134" i="75"/>
  <c r="D131" i="75"/>
  <c r="D132" i="75" s="1"/>
  <c r="L17" i="59"/>
  <c r="E22" i="33"/>
  <c r="L14" i="33"/>
  <c r="L18" i="82"/>
  <c r="E25" i="33"/>
  <c r="AB17" i="75"/>
  <c r="AB17" i="59"/>
  <c r="AB14" i="33"/>
  <c r="I22" i="33"/>
  <c r="G26" i="33"/>
  <c r="F26" i="33"/>
  <c r="S50" i="83"/>
  <c r="S26" i="83" s="1"/>
  <c r="S64" i="83" s="1"/>
  <c r="S62" i="83" s="1"/>
  <c r="S65" i="83" s="1"/>
  <c r="I51" i="59"/>
  <c r="I26" i="59" s="1"/>
  <c r="I66" i="59" s="1"/>
  <c r="Y72" i="70"/>
  <c r="S11" i="26"/>
  <c r="O31" i="26"/>
  <c r="O16" i="26" s="1"/>
  <c r="O77" i="26" s="1"/>
  <c r="N31" i="26"/>
  <c r="N16" i="26" s="1"/>
  <c r="N77" i="26" s="1"/>
  <c r="M31" i="26"/>
  <c r="O45" i="75"/>
  <c r="O46" i="75" s="1"/>
  <c r="O38" i="59"/>
  <c r="O39" i="59" s="1"/>
  <c r="AE38" i="59"/>
  <c r="AE37" i="82"/>
  <c r="M17" i="75"/>
  <c r="M17" i="59"/>
  <c r="M18" i="82"/>
  <c r="M14" i="33"/>
  <c r="AC17" i="75"/>
  <c r="AC17" i="59"/>
  <c r="N14" i="30"/>
  <c r="N12" i="30" s="1"/>
  <c r="AD14" i="30"/>
  <c r="AD12" i="30" s="1"/>
  <c r="N17" i="75"/>
  <c r="N17" i="59"/>
  <c r="N18" i="82"/>
  <c r="N14" i="33"/>
  <c r="AD17" i="59"/>
  <c r="AD18" i="82"/>
  <c r="E5" i="84" s="1"/>
  <c r="AD14" i="33"/>
  <c r="AA13" i="33"/>
  <c r="Z13" i="33"/>
  <c r="Y13" i="33"/>
  <c r="L48" i="78"/>
  <c r="U70" i="70"/>
  <c r="U71" i="82" s="1"/>
  <c r="AK70" i="70"/>
  <c r="AK71" i="82" s="1"/>
  <c r="E11" i="26"/>
  <c r="E20" i="26" s="1"/>
  <c r="U11" i="26"/>
  <c r="AE16" i="30"/>
  <c r="AD55" i="30"/>
  <c r="O17" i="75"/>
  <c r="O18" i="82"/>
  <c r="O14" i="33"/>
  <c r="AE17" i="59"/>
  <c r="AE18" i="82"/>
  <c r="F5" i="84" s="1"/>
  <c r="AE14" i="33"/>
  <c r="AE13" i="33"/>
  <c r="AD13" i="33"/>
  <c r="AC13" i="33"/>
  <c r="AB13" i="33"/>
  <c r="O38" i="82"/>
  <c r="W69" i="82"/>
  <c r="W67" i="82" s="1"/>
  <c r="E17" i="75"/>
  <c r="E18" i="82"/>
  <c r="U17" i="75"/>
  <c r="U17" i="59"/>
  <c r="U18" i="82"/>
  <c r="AL29" i="82"/>
  <c r="T48" i="82"/>
  <c r="T26" i="82" s="1"/>
  <c r="M63" i="83"/>
  <c r="L52" i="83"/>
  <c r="AB52" i="83"/>
  <c r="K72" i="83"/>
  <c r="J51" i="59"/>
  <c r="J26" i="59" s="1"/>
  <c r="J66" i="59" s="1"/>
  <c r="O33" i="88"/>
  <c r="AE33" i="88"/>
  <c r="O21" i="75"/>
  <c r="O14" i="40"/>
  <c r="O17" i="40" s="1"/>
  <c r="O23" i="82"/>
  <c r="F17" i="75"/>
  <c r="F18" i="82"/>
  <c r="V17" i="75"/>
  <c r="V17" i="59"/>
  <c r="V18" i="82"/>
  <c r="M52" i="83"/>
  <c r="AC52" i="83"/>
  <c r="P33" i="88"/>
  <c r="P125" i="88"/>
  <c r="I38" i="88"/>
  <c r="AF125" i="88"/>
  <c r="AG125" i="88" s="1"/>
  <c r="AH125" i="88" s="1"/>
  <c r="AI125" i="88" s="1"/>
  <c r="AJ125" i="88" s="1"/>
  <c r="AK125" i="88" s="1"/>
  <c r="AL125" i="88" s="1"/>
  <c r="AM125" i="88" s="1"/>
  <c r="AN125" i="88" s="1"/>
  <c r="AF33" i="88"/>
  <c r="L45" i="75"/>
  <c r="L46" i="75" s="1"/>
  <c r="L38" i="59"/>
  <c r="L39" i="59" s="1"/>
  <c r="L37" i="82"/>
  <c r="L38" i="82" s="1"/>
  <c r="AD35" i="82"/>
  <c r="E3" i="84"/>
  <c r="AD13" i="82"/>
  <c r="F29" i="82"/>
  <c r="F63" i="82"/>
  <c r="V48" i="82"/>
  <c r="V26" i="82" s="1"/>
  <c r="N50" i="83"/>
  <c r="N26" i="83" s="1"/>
  <c r="N64" i="83" s="1"/>
  <c r="AE13" i="82"/>
  <c r="P29" i="82"/>
  <c r="W48" i="82"/>
  <c r="W26" i="82" s="1"/>
  <c r="AC50" i="83"/>
  <c r="P32" i="26"/>
  <c r="N30" i="49"/>
  <c r="D63" i="82"/>
  <c r="G4" i="84"/>
  <c r="Q48" i="82"/>
  <c r="Q26" i="82" s="1"/>
  <c r="X48" i="82"/>
  <c r="X26" i="82" s="1"/>
  <c r="X63" i="82" s="1"/>
  <c r="X51" i="82"/>
  <c r="V51" i="82"/>
  <c r="L83" i="82"/>
  <c r="L84" i="82" s="1"/>
  <c r="AA13" i="59"/>
  <c r="K141" i="88"/>
  <c r="K24" i="88"/>
  <c r="Q32" i="26"/>
  <c r="N31" i="30"/>
  <c r="N30" i="30" s="1"/>
  <c r="J17" i="75"/>
  <c r="J17" i="59"/>
  <c r="Z17" i="75"/>
  <c r="Z17" i="59"/>
  <c r="U13" i="82"/>
  <c r="E63" i="82"/>
  <c r="R48" i="82"/>
  <c r="R26" i="82" s="1"/>
  <c r="I48" i="82"/>
  <c r="I26" i="82" s="1"/>
  <c r="I63" i="82" s="1"/>
  <c r="Y48" i="82"/>
  <c r="Y26" i="82" s="1"/>
  <c r="Y51" i="82"/>
  <c r="W51" i="82"/>
  <c r="R63" i="83"/>
  <c r="E17" i="59"/>
  <c r="P32" i="88"/>
  <c r="I37" i="88"/>
  <c r="AF32" i="88"/>
  <c r="K17" i="75"/>
  <c r="K17" i="59"/>
  <c r="AA17" i="75"/>
  <c r="AA17" i="59"/>
  <c r="S48" i="82"/>
  <c r="S26" i="82" s="1"/>
  <c r="J48" i="82"/>
  <c r="J26" i="82" s="1"/>
  <c r="J51" i="82"/>
  <c r="Z48" i="82"/>
  <c r="Z26" i="82" s="1"/>
  <c r="Z51" i="82"/>
  <c r="AC13" i="59"/>
  <c r="F17" i="59"/>
  <c r="Q32" i="88"/>
  <c r="Q51" i="59"/>
  <c r="Q26" i="59" s="1"/>
  <c r="AC51" i="59"/>
  <c r="AC26" i="59" s="1"/>
  <c r="AB51" i="59"/>
  <c r="AB26" i="59" s="1"/>
  <c r="AA51" i="59"/>
  <c r="AA26" i="59" s="1"/>
  <c r="Z51" i="59"/>
  <c r="Z26" i="59" s="1"/>
  <c r="U51" i="59"/>
  <c r="U26" i="59" s="1"/>
  <c r="O32" i="88"/>
  <c r="H37" i="88"/>
  <c r="AE32" i="88"/>
  <c r="D133" i="75"/>
  <c r="D137" i="75" s="1"/>
  <c r="N63" i="83"/>
  <c r="N94" i="83"/>
  <c r="M94" i="83"/>
  <c r="L94" i="83"/>
  <c r="R32" i="88"/>
  <c r="O149" i="88"/>
  <c r="O130" i="88"/>
  <c r="O123" i="88" s="1"/>
  <c r="P149" i="88"/>
  <c r="O135" i="88"/>
  <c r="O153" i="88" s="1"/>
  <c r="AE130" i="88"/>
  <c r="AE139" i="88" s="1"/>
  <c r="AE135" i="88"/>
  <c r="AE125" i="88" s="1"/>
  <c r="D66" i="83"/>
  <c r="D31" i="83" s="1"/>
  <c r="D30" i="83"/>
  <c r="D64" i="83"/>
  <c r="O38" i="83"/>
  <c r="X51" i="59"/>
  <c r="X26" i="59" s="1"/>
  <c r="X66" i="59" s="1"/>
  <c r="AD51" i="59"/>
  <c r="J151" i="88"/>
  <c r="M155" i="88"/>
  <c r="M127" i="88"/>
  <c r="H107" i="88" s="1"/>
  <c r="E66" i="83"/>
  <c r="E31" i="83" s="1"/>
  <c r="E64" i="83"/>
  <c r="T32" i="88"/>
  <c r="I154" i="88"/>
  <c r="F66" i="83"/>
  <c r="F31" i="83" s="1"/>
  <c r="T50" i="83"/>
  <c r="T26" i="83" s="1"/>
  <c r="T64" i="83" s="1"/>
  <c r="S52" i="83"/>
  <c r="S17" i="59"/>
  <c r="AC71" i="59"/>
  <c r="AC73" i="59" s="1"/>
  <c r="L43" i="78"/>
  <c r="P50" i="83"/>
  <c r="P26" i="83" s="1"/>
  <c r="P64" i="83" s="1"/>
  <c r="U50" i="83"/>
  <c r="U26" i="83" s="1"/>
  <c r="U64" i="83" s="1"/>
  <c r="U62" i="83" s="1"/>
  <c r="U65" i="83" s="1"/>
  <c r="T52" i="83"/>
  <c r="AE71" i="59"/>
  <c r="AE73" i="59" s="1"/>
  <c r="AE72" i="59" s="1"/>
  <c r="B7" i="84"/>
  <c r="H17" i="75"/>
  <c r="H17" i="59"/>
  <c r="G134" i="75"/>
  <c r="X17" i="75"/>
  <c r="G131" i="75"/>
  <c r="G132" i="75" s="1"/>
  <c r="X17" i="59"/>
  <c r="T17" i="33"/>
  <c r="S38" i="83"/>
  <c r="S40" i="83" s="1"/>
  <c r="V50" i="83"/>
  <c r="V26" i="83" s="1"/>
  <c r="V64" i="83" s="1"/>
  <c r="Y17" i="75"/>
  <c r="Y17" i="59"/>
  <c r="D25" i="33"/>
  <c r="N30" i="83"/>
  <c r="W52" i="83"/>
  <c r="V52" i="83"/>
  <c r="M16" i="5"/>
  <c r="Y51" i="59"/>
  <c r="Y26" i="59" s="1"/>
  <c r="Z15" i="88"/>
  <c r="Z126" i="88" s="1"/>
  <c r="M24" i="21"/>
  <c r="L23" i="21"/>
  <c r="V42" i="30" s="1"/>
  <c r="V25" i="30" s="1"/>
  <c r="L20" i="21"/>
  <c r="V39" i="30" s="1"/>
  <c r="L24" i="21"/>
  <c r="K20" i="21"/>
  <c r="U39" i="30" s="1"/>
  <c r="AD76" i="30" s="1"/>
  <c r="M18" i="21"/>
  <c r="L18" i="21"/>
  <c r="M23" i="21"/>
  <c r="W42" i="30" s="1"/>
  <c r="W25" i="30" s="1"/>
  <c r="M20" i="21"/>
  <c r="W39" i="30" s="1"/>
  <c r="K6" i="21"/>
  <c r="J6" i="21"/>
  <c r="J20" i="21" s="1"/>
  <c r="T39" i="30" s="1"/>
  <c r="N10" i="21"/>
  <c r="Q10" i="21"/>
  <c r="AA37" i="26" s="1"/>
  <c r="AA17" i="26" s="1"/>
  <c r="AA20" i="26" s="1"/>
  <c r="AA78" i="26" s="1"/>
  <c r="P10" i="21"/>
  <c r="Z37" i="26" s="1"/>
  <c r="Z17" i="26" s="1"/>
  <c r="O10" i="21"/>
  <c r="Y37" i="26" s="1"/>
  <c r="Y17" i="26" s="1"/>
  <c r="Y20" i="26" s="1"/>
  <c r="Y78" i="26" s="1"/>
  <c r="AC140" i="88"/>
  <c r="AC24" i="88"/>
  <c r="P141" i="88"/>
  <c r="P24" i="88"/>
  <c r="AF141" i="88"/>
  <c r="AG141" i="88" s="1"/>
  <c r="AF24" i="88"/>
  <c r="C20" i="35" s="1"/>
  <c r="I24" i="88"/>
  <c r="Y24" i="88"/>
  <c r="Q141" i="88"/>
  <c r="Q24" i="88"/>
  <c r="AC33" i="88"/>
  <c r="O48" i="38"/>
  <c r="I67" i="38"/>
  <c r="L54" i="59"/>
  <c r="AB54" i="59"/>
  <c r="AD54" i="59"/>
  <c r="M40" i="78"/>
  <c r="N40" i="78" s="1"/>
  <c r="Y32" i="88"/>
  <c r="J24" i="88"/>
  <c r="Z24" i="88"/>
  <c r="E104" i="88"/>
  <c r="P30" i="59"/>
  <c r="M54" i="59"/>
  <c r="AC54" i="59"/>
  <c r="K47" i="78"/>
  <c r="K45" i="78"/>
  <c r="Z32" i="88"/>
  <c r="H38" i="88"/>
  <c r="L33" i="88"/>
  <c r="AB125" i="88"/>
  <c r="AB33" i="88"/>
  <c r="J155" i="88"/>
  <c r="J142" i="88"/>
  <c r="J127" i="88"/>
  <c r="P34" i="38"/>
  <c r="K51" i="59"/>
  <c r="K26" i="59" s="1"/>
  <c r="M33" i="88"/>
  <c r="L24" i="88"/>
  <c r="AB24" i="88"/>
  <c r="P40" i="38"/>
  <c r="R40" i="38" s="1"/>
  <c r="T41" i="38"/>
  <c r="Q33" i="88"/>
  <c r="Q125" i="88"/>
  <c r="U135" i="88"/>
  <c r="U125" i="88" s="1"/>
  <c r="U130" i="88"/>
  <c r="U123" i="88" s="1"/>
  <c r="L7" i="21"/>
  <c r="J7" i="21"/>
  <c r="E77" i="21" s="1"/>
  <c r="M7" i="21"/>
  <c r="K7" i="21"/>
  <c r="Q12" i="21"/>
  <c r="P12" i="21"/>
  <c r="O12" i="21"/>
  <c r="N12" i="21"/>
  <c r="U32" i="88"/>
  <c r="S125" i="88"/>
  <c r="S33" i="88"/>
  <c r="G153" i="88"/>
  <c r="L150" i="88"/>
  <c r="T125" i="88"/>
  <c r="T33" i="88"/>
  <c r="M150" i="88"/>
  <c r="M41" i="78"/>
  <c r="N41" i="78" s="1"/>
  <c r="L41" i="78"/>
  <c r="U33" i="88"/>
  <c r="G40" i="88"/>
  <c r="G77" i="88" s="1"/>
  <c r="G84" i="88" s="1"/>
  <c r="G107" i="88" s="1"/>
  <c r="G140" i="88"/>
  <c r="X32" i="88"/>
  <c r="I149" i="88"/>
  <c r="I130" i="88"/>
  <c r="I135" i="88"/>
  <c r="I153" i="88" s="1"/>
  <c r="Y130" i="88"/>
  <c r="Y123" i="88" s="1"/>
  <c r="Y135" i="88"/>
  <c r="Y140" i="88" s="1"/>
  <c r="S151" i="88"/>
  <c r="S130" i="88"/>
  <c r="S123" i="88" s="1"/>
  <c r="M38" i="78"/>
  <c r="N38" i="78" s="1"/>
  <c r="G37" i="88"/>
  <c r="G74" i="88" s="1"/>
  <c r="G81" i="88" s="1"/>
  <c r="G104" i="88" s="1"/>
  <c r="V33" i="88"/>
  <c r="F130" i="88"/>
  <c r="F139" i="88" s="1"/>
  <c r="Z130" i="88"/>
  <c r="Z123" i="88" s="1"/>
  <c r="V135" i="88"/>
  <c r="V140" i="88" s="1"/>
  <c r="Q85" i="75"/>
  <c r="P85" i="75"/>
  <c r="R85" i="75"/>
  <c r="M85" i="75"/>
  <c r="L85" i="75"/>
  <c r="K85" i="75"/>
  <c r="J85" i="75"/>
  <c r="V85" i="75"/>
  <c r="U85" i="75"/>
  <c r="W125" i="88"/>
  <c r="H141" i="88"/>
  <c r="G130" i="88"/>
  <c r="Z135" i="88"/>
  <c r="Z140" i="88" s="1"/>
  <c r="P154" i="88"/>
  <c r="G79" i="21"/>
  <c r="AA24" i="88"/>
  <c r="S127" i="88"/>
  <c r="S155" i="88"/>
  <c r="J22" i="75"/>
  <c r="J36" i="75"/>
  <c r="P48" i="38"/>
  <c r="N56" i="38"/>
  <c r="J67" i="38"/>
  <c r="J70" i="38" s="1"/>
  <c r="R4" i="21"/>
  <c r="U4" i="21"/>
  <c r="T4" i="21"/>
  <c r="S4" i="21"/>
  <c r="P130" i="88"/>
  <c r="P123" i="88" s="1"/>
  <c r="L22" i="75"/>
  <c r="L56" i="38"/>
  <c r="L36" i="75"/>
  <c r="G38" i="88"/>
  <c r="G75" i="88" s="1"/>
  <c r="G82" i="88" s="1"/>
  <c r="G105" i="88" s="1"/>
  <c r="H125" i="88"/>
  <c r="Z142" i="88"/>
  <c r="Q153" i="88"/>
  <c r="P38" i="38"/>
  <c r="R38" i="38" s="1"/>
  <c r="L36" i="78"/>
  <c r="L44" i="78"/>
  <c r="R153" i="88"/>
  <c r="G150" i="88"/>
  <c r="O25" i="38"/>
  <c r="Q38" i="38"/>
  <c r="J125" i="88"/>
  <c r="H99" i="75"/>
  <c r="S26" i="38"/>
  <c r="M26" i="38" s="1"/>
  <c r="O26" i="38" s="1"/>
  <c r="M25" i="38"/>
  <c r="AA125" i="88"/>
  <c r="O141" i="88"/>
  <c r="AE141" i="88"/>
  <c r="M142" i="88"/>
  <c r="AC142" i="88"/>
  <c r="E107" i="88"/>
  <c r="Q43" i="38"/>
  <c r="H153" i="88"/>
  <c r="R151" i="88"/>
  <c r="G152" i="88"/>
  <c r="K155" i="88"/>
  <c r="V87" i="75"/>
  <c r="R87" i="75"/>
  <c r="K87" i="75"/>
  <c r="P15" i="40"/>
  <c r="J14" i="40"/>
  <c r="J17" i="40" s="1"/>
  <c r="P31" i="21"/>
  <c r="O31" i="21"/>
  <c r="N31" i="21"/>
  <c r="M31" i="21"/>
  <c r="L31" i="21"/>
  <c r="K31" i="21"/>
  <c r="J31" i="21"/>
  <c r="I31" i="21"/>
  <c r="H31" i="21"/>
  <c r="G31" i="21"/>
  <c r="V31" i="21"/>
  <c r="F31" i="21"/>
  <c r="U31" i="21"/>
  <c r="T31" i="21"/>
  <c r="S31" i="21"/>
  <c r="R31" i="21"/>
  <c r="Q31" i="21"/>
  <c r="I85" i="75"/>
  <c r="S18" i="38"/>
  <c r="L17" i="38"/>
  <c r="N17" i="38" s="1"/>
  <c r="L70" i="38"/>
  <c r="C21" i="21"/>
  <c r="M40" i="30" s="1"/>
  <c r="D74" i="21"/>
  <c r="P23" i="75"/>
  <c r="P33" i="75"/>
  <c r="P38" i="75" s="1"/>
  <c r="M18" i="38"/>
  <c r="S30" i="38"/>
  <c r="O29" i="38"/>
  <c r="H191" i="65"/>
  <c r="U40" i="75"/>
  <c r="U12" i="21"/>
  <c r="T12" i="21"/>
  <c r="S12" i="21"/>
  <c r="R12" i="21"/>
  <c r="Q38" i="75"/>
  <c r="P150" i="88"/>
  <c r="N155" i="88"/>
  <c r="N87" i="75"/>
  <c r="L191" i="65"/>
  <c r="Y40" i="75"/>
  <c r="R23" i="75"/>
  <c r="R33" i="75"/>
  <c r="R38" i="75" s="1"/>
  <c r="L149" i="88"/>
  <c r="Q150" i="88"/>
  <c r="O155" i="88"/>
  <c r="O87" i="75"/>
  <c r="N14" i="38"/>
  <c r="M19" i="21"/>
  <c r="W38" i="30" s="1"/>
  <c r="W21" i="30" s="1"/>
  <c r="W16" i="30" s="1"/>
  <c r="L19" i="21"/>
  <c r="V38" i="30" s="1"/>
  <c r="V21" i="30" s="1"/>
  <c r="E7" i="5"/>
  <c r="Q7" i="21"/>
  <c r="P7" i="21"/>
  <c r="N7" i="21"/>
  <c r="O7" i="21"/>
  <c r="M149" i="88"/>
  <c r="R150" i="88"/>
  <c r="L154" i="88"/>
  <c r="K154" i="88"/>
  <c r="P155" i="88"/>
  <c r="L152" i="88"/>
  <c r="F99" i="75"/>
  <c r="P87" i="75"/>
  <c r="M14" i="38"/>
  <c r="M46" i="38" s="1"/>
  <c r="M47" i="38" s="1"/>
  <c r="N25" i="38"/>
  <c r="P29" i="38"/>
  <c r="Q29" i="38" s="1"/>
  <c r="P35" i="38"/>
  <c r="M48" i="38"/>
  <c r="K56" i="38"/>
  <c r="F7" i="5"/>
  <c r="F10" i="5"/>
  <c r="V5" i="21" s="1"/>
  <c r="N141" i="88"/>
  <c r="AD141" i="88"/>
  <c r="N149" i="88"/>
  <c r="AD130" i="88"/>
  <c r="Q155" i="88"/>
  <c r="G99" i="75"/>
  <c r="T40" i="75"/>
  <c r="N85" i="75"/>
  <c r="Q87" i="75"/>
  <c r="V42" i="21"/>
  <c r="U42" i="21"/>
  <c r="T42" i="21"/>
  <c r="S42" i="21"/>
  <c r="R42" i="21"/>
  <c r="Q42" i="21"/>
  <c r="O85" i="75"/>
  <c r="R39" i="38"/>
  <c r="E3" i="21"/>
  <c r="U3" i="21"/>
  <c r="X33" i="75"/>
  <c r="X38" i="75" s="1"/>
  <c r="L10" i="21"/>
  <c r="V37" i="26" s="1"/>
  <c r="V17" i="26" s="1"/>
  <c r="M10" i="21"/>
  <c r="W37" i="26" s="1"/>
  <c r="W17" i="26" s="1"/>
  <c r="K10" i="21"/>
  <c r="U37" i="26" s="1"/>
  <c r="U17" i="26" s="1"/>
  <c r="J10" i="21"/>
  <c r="T5" i="21"/>
  <c r="U5" i="21"/>
  <c r="G3" i="21"/>
  <c r="D9" i="6"/>
  <c r="E6" i="21" s="1"/>
  <c r="E23" i="21" s="1"/>
  <c r="O42" i="30" s="1"/>
  <c r="D6" i="21"/>
  <c r="C76" i="21" s="1"/>
  <c r="M22" i="38"/>
  <c r="N22" i="38" s="1"/>
  <c r="N16" i="40"/>
  <c r="S14" i="40"/>
  <c r="S15" i="40" s="1"/>
  <c r="F6" i="5"/>
  <c r="M12" i="21"/>
  <c r="L12" i="21"/>
  <c r="K12" i="21"/>
  <c r="J12" i="21"/>
  <c r="Q49" i="21"/>
  <c r="V16" i="6"/>
  <c r="S85" i="75"/>
  <c r="N12" i="38"/>
  <c r="K65" i="38"/>
  <c r="O22" i="75"/>
  <c r="O36" i="75"/>
  <c r="M56" i="38"/>
  <c r="J21" i="75"/>
  <c r="J38" i="75" s="1"/>
  <c r="T14" i="40"/>
  <c r="T16" i="40" s="1"/>
  <c r="E5" i="5"/>
  <c r="D4" i="21" s="1"/>
  <c r="D8" i="21"/>
  <c r="B16" i="5"/>
  <c r="I3" i="21"/>
  <c r="N130" i="88"/>
  <c r="T85" i="75"/>
  <c r="T87" i="75"/>
  <c r="P36" i="75"/>
  <c r="P16" i="40"/>
  <c r="C16" i="5"/>
  <c r="F5" i="5"/>
  <c r="D5" i="21" s="1"/>
  <c r="M22" i="75"/>
  <c r="S33" i="75"/>
  <c r="S38" i="75" s="1"/>
  <c r="U87" i="75"/>
  <c r="J55" i="38"/>
  <c r="J56" i="38" s="1"/>
  <c r="V35" i="21"/>
  <c r="R35" i="21"/>
  <c r="G16" i="5"/>
  <c r="S87" i="75"/>
  <c r="K14" i="40"/>
  <c r="K16" i="40" s="1"/>
  <c r="H19" i="21"/>
  <c r="R38" i="30" s="1"/>
  <c r="G19" i="21"/>
  <c r="Q38" i="30" s="1"/>
  <c r="G23" i="21"/>
  <c r="Q42" i="30" s="1"/>
  <c r="Q25" i="30" s="1"/>
  <c r="Q16" i="30" s="1"/>
  <c r="G24" i="21"/>
  <c r="F23" i="21"/>
  <c r="P42" i="30" s="1"/>
  <c r="P25" i="30" s="1"/>
  <c r="P14" i="30" s="1"/>
  <c r="P12" i="30" s="1"/>
  <c r="F20" i="21"/>
  <c r="P39" i="30" s="1"/>
  <c r="H18" i="21"/>
  <c r="G18" i="21"/>
  <c r="H6" i="21"/>
  <c r="H23" i="21" s="1"/>
  <c r="R42" i="30" s="1"/>
  <c r="R25" i="30" s="1"/>
  <c r="G6" i="21"/>
  <c r="G20" i="21" s="1"/>
  <c r="Q39" i="30" s="1"/>
  <c r="F6" i="2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L14" i="38"/>
  <c r="L71" i="38"/>
  <c r="L14" i="40"/>
  <c r="N19" i="21"/>
  <c r="H16" i="5"/>
  <c r="G7" i="21"/>
  <c r="N15" i="38"/>
  <c r="H7" i="21"/>
  <c r="D77" i="21" s="1"/>
  <c r="K9" i="21"/>
  <c r="C18" i="21"/>
  <c r="E19" i="21"/>
  <c r="O38" i="30" s="1"/>
  <c r="D19" i="21"/>
  <c r="N38" i="30" s="1"/>
  <c r="C19" i="21"/>
  <c r="M38" i="30" s="1"/>
  <c r="E24" i="21"/>
  <c r="O43" i="30" s="1"/>
  <c r="C23" i="21"/>
  <c r="M42" i="30" s="1"/>
  <c r="C20" i="21"/>
  <c r="M39" i="30" s="1"/>
  <c r="C24" i="21"/>
  <c r="M43" i="30" s="1"/>
  <c r="E18" i="21"/>
  <c r="D18" i="21"/>
  <c r="I9" i="21"/>
  <c r="H9" i="21"/>
  <c r="G9" i="21"/>
  <c r="D79" i="21" s="1"/>
  <c r="S7" i="21"/>
  <c r="R7" i="21"/>
  <c r="T51" i="21"/>
  <c r="T50" i="21"/>
  <c r="V17" i="6"/>
  <c r="L9" i="21"/>
  <c r="F81" i="21"/>
  <c r="Q42" i="38"/>
  <c r="Q45" i="38"/>
  <c r="P55" i="38"/>
  <c r="P56" i="38" s="1"/>
  <c r="Q4" i="21"/>
  <c r="P4" i="21"/>
  <c r="O4" i="21"/>
  <c r="U51" i="21"/>
  <c r="U50" i="21"/>
  <c r="I6" i="21"/>
  <c r="I18" i="21" s="1"/>
  <c r="M9" i="21"/>
  <c r="M19" i="38"/>
  <c r="P30" i="38"/>
  <c r="I16" i="5"/>
  <c r="G12" i="21"/>
  <c r="D82" i="21" s="1"/>
  <c r="I12" i="21"/>
  <c r="H12" i="21"/>
  <c r="U44" i="21"/>
  <c r="T44" i="21"/>
  <c r="V51" i="21"/>
  <c r="V50" i="21"/>
  <c r="F79" i="21"/>
  <c r="V39" i="21"/>
  <c r="U39" i="21"/>
  <c r="T39" i="21"/>
  <c r="S39" i="21"/>
  <c r="R39" i="21"/>
  <c r="Q39" i="21"/>
  <c r="P39" i="21"/>
  <c r="O39" i="21"/>
  <c r="N39" i="21"/>
  <c r="O24" i="38"/>
  <c r="C9" i="21"/>
  <c r="J16" i="5"/>
  <c r="I13" i="21"/>
  <c r="I14" i="21" s="1"/>
  <c r="H13" i="21"/>
  <c r="H14" i="21" s="1"/>
  <c r="G13" i="21"/>
  <c r="G14" i="21" s="1"/>
  <c r="F13" i="21"/>
  <c r="F11" i="5"/>
  <c r="D3" i="21"/>
  <c r="W3" i="21" s="1"/>
  <c r="T3" i="21"/>
  <c r="R10" i="21"/>
  <c r="C13" i="21"/>
  <c r="N24" i="21"/>
  <c r="S10" i="21"/>
  <c r="AC37" i="26" s="1"/>
  <c r="AC17" i="26" s="1"/>
  <c r="AC20" i="26" s="1"/>
  <c r="AC78" i="26" s="1"/>
  <c r="D13" i="21"/>
  <c r="D14" i="21" s="1"/>
  <c r="N23" i="21"/>
  <c r="X42" i="30" s="1"/>
  <c r="X25" i="30" s="1"/>
  <c r="O24" i="21"/>
  <c r="T10" i="21"/>
  <c r="AD37" i="26" s="1"/>
  <c r="AD17" i="26" s="1"/>
  <c r="AD20" i="26" s="1"/>
  <c r="AD78" i="26" s="1"/>
  <c r="O23" i="21"/>
  <c r="P24" i="21"/>
  <c r="P23" i="21"/>
  <c r="Q24" i="21"/>
  <c r="Q23" i="21"/>
  <c r="O6" i="21"/>
  <c r="Y46" i="30" s="1"/>
  <c r="Y47" i="30" s="1"/>
  <c r="K66" i="59" l="1"/>
  <c r="Q14" i="75"/>
  <c r="AH15" i="88"/>
  <c r="N20" i="25"/>
  <c r="N16" i="82" s="1"/>
  <c r="N17" i="82"/>
  <c r="AC62" i="82"/>
  <c r="J63" i="82"/>
  <c r="Q14" i="59"/>
  <c r="Q65" i="59" s="1"/>
  <c r="M16" i="40"/>
  <c r="J15" i="40"/>
  <c r="M17" i="40"/>
  <c r="E14" i="59"/>
  <c r="E68" i="59" s="1"/>
  <c r="E32" i="59" s="1"/>
  <c r="Q17" i="82"/>
  <c r="L66" i="59"/>
  <c r="K63" i="82"/>
  <c r="O56" i="38"/>
  <c r="T20" i="25"/>
  <c r="T16" i="82" s="1"/>
  <c r="T14" i="59"/>
  <c r="T65" i="59" s="1"/>
  <c r="T17" i="82"/>
  <c r="T15" i="82" s="1"/>
  <c r="T62" i="82" s="1"/>
  <c r="V20" i="74"/>
  <c r="W20" i="74" s="1"/>
  <c r="X20" i="74" s="1"/>
  <c r="Y20" i="74" s="1"/>
  <c r="Z20" i="74" s="1"/>
  <c r="AA20" i="74" s="1"/>
  <c r="AB20" i="74" s="1"/>
  <c r="AC20" i="74" s="1"/>
  <c r="U19" i="74"/>
  <c r="P16" i="82"/>
  <c r="P15" i="82" s="1"/>
  <c r="P62" i="82" s="1"/>
  <c r="P14" i="75"/>
  <c r="P98" i="75" s="1"/>
  <c r="P14" i="59"/>
  <c r="P65" i="59" s="1"/>
  <c r="G148" i="88"/>
  <c r="H14" i="59"/>
  <c r="AH12" i="30"/>
  <c r="AG11" i="30"/>
  <c r="AG47" i="30" s="1"/>
  <c r="D6" i="35" s="1"/>
  <c r="E10" i="55" s="1"/>
  <c r="H14" i="75"/>
  <c r="H101" i="75" s="1"/>
  <c r="I15" i="82"/>
  <c r="I33" i="82" s="1"/>
  <c r="U17" i="82"/>
  <c r="K15" i="40"/>
  <c r="K70" i="38"/>
  <c r="S9" i="88"/>
  <c r="S31" i="88" s="1"/>
  <c r="I14" i="59"/>
  <c r="I14" i="75"/>
  <c r="I101" i="75" s="1"/>
  <c r="R17" i="40"/>
  <c r="D136" i="55"/>
  <c r="D102" i="55"/>
  <c r="N15" i="40"/>
  <c r="S17" i="40"/>
  <c r="U20" i="25"/>
  <c r="U16" i="82" s="1"/>
  <c r="U15" i="82" s="1"/>
  <c r="U62" i="82" s="1"/>
  <c r="Q98" i="75"/>
  <c r="K66" i="38"/>
  <c r="K73" i="38" s="1"/>
  <c r="V9" i="50"/>
  <c r="AD65" i="59"/>
  <c r="E14" i="75"/>
  <c r="E101" i="75" s="1"/>
  <c r="E39" i="75" s="1"/>
  <c r="F31" i="88"/>
  <c r="P17" i="82"/>
  <c r="R15" i="40"/>
  <c r="W25" i="88"/>
  <c r="E15" i="82"/>
  <c r="E62" i="82" s="1"/>
  <c r="E61" i="82" s="1"/>
  <c r="E64" i="82" s="1"/>
  <c r="E31" i="82" s="1"/>
  <c r="N14" i="75"/>
  <c r="N98" i="75" s="1"/>
  <c r="Y31" i="70"/>
  <c r="Z31" i="70" s="1"/>
  <c r="AA31" i="70" s="1"/>
  <c r="AB31" i="70" s="1"/>
  <c r="AC31" i="70" s="1"/>
  <c r="AD31" i="70" s="1"/>
  <c r="AE31" i="70" s="1"/>
  <c r="AF31" i="70" s="1"/>
  <c r="AF40" i="20" s="1"/>
  <c r="D9" i="55" s="1"/>
  <c r="AG13" i="49"/>
  <c r="AG12" i="49" s="1"/>
  <c r="AH13" i="49" s="1"/>
  <c r="AH12" i="49" s="1"/>
  <c r="F62" i="83"/>
  <c r="F65" i="83" s="1"/>
  <c r="D62" i="83"/>
  <c r="D65" i="83" s="1"/>
  <c r="D74" i="83" s="1"/>
  <c r="D29" i="83" s="1"/>
  <c r="O62" i="83"/>
  <c r="O65" i="83" s="1"/>
  <c r="G40" i="83"/>
  <c r="H62" i="83"/>
  <c r="H65" i="83" s="1"/>
  <c r="H74" i="83" s="1"/>
  <c r="H29" i="83" s="1"/>
  <c r="P62" i="83"/>
  <c r="P65" i="83" s="1"/>
  <c r="E40" i="83"/>
  <c r="AD39" i="20"/>
  <c r="H66" i="20"/>
  <c r="H41" i="20" s="1"/>
  <c r="J126" i="88"/>
  <c r="L123" i="88"/>
  <c r="T126" i="88"/>
  <c r="I148" i="88"/>
  <c r="M9" i="88"/>
  <c r="M31" i="88" s="1"/>
  <c r="AB139" i="88"/>
  <c r="T25" i="88"/>
  <c r="AG142" i="88"/>
  <c r="AG30" i="88" s="1"/>
  <c r="D22" i="35" s="1"/>
  <c r="E26" i="55" s="1"/>
  <c r="N9" i="88"/>
  <c r="N31" i="88" s="1"/>
  <c r="H123" i="88"/>
  <c r="O31" i="88"/>
  <c r="X25" i="88"/>
  <c r="AH10" i="88"/>
  <c r="AI10" i="88" s="1"/>
  <c r="AJ10" i="88" s="1"/>
  <c r="T31" i="88"/>
  <c r="AF123" i="88"/>
  <c r="AG123" i="88" s="1"/>
  <c r="AH123" i="88" s="1"/>
  <c r="AI123" i="88" s="1"/>
  <c r="AJ123" i="88" s="1"/>
  <c r="AK123" i="88" s="1"/>
  <c r="AL123" i="88" s="1"/>
  <c r="AM123" i="88" s="1"/>
  <c r="AN123" i="88" s="1"/>
  <c r="AA139" i="88"/>
  <c r="U25" i="88"/>
  <c r="AE126" i="88"/>
  <c r="AE25" i="88"/>
  <c r="K31" i="88"/>
  <c r="K125" i="88"/>
  <c r="W31" i="88"/>
  <c r="I45" i="88"/>
  <c r="S56" i="88" s="1"/>
  <c r="AA126" i="88"/>
  <c r="J40" i="88"/>
  <c r="J77" i="88" s="1"/>
  <c r="J84" i="88" s="1"/>
  <c r="H39" i="88"/>
  <c r="H76" i="88" s="1"/>
  <c r="H83" i="88" s="1"/>
  <c r="Y31" i="88"/>
  <c r="K153" i="88"/>
  <c r="L9" i="88"/>
  <c r="L31" i="88" s="1"/>
  <c r="AC139" i="88"/>
  <c r="Q139" i="88"/>
  <c r="Z25" i="88"/>
  <c r="L126" i="88"/>
  <c r="I77" i="88"/>
  <c r="I84" i="88" s="1"/>
  <c r="Y126" i="88"/>
  <c r="V123" i="88"/>
  <c r="Q9" i="88"/>
  <c r="Q31" i="88" s="1"/>
  <c r="K126" i="88"/>
  <c r="AG26" i="88"/>
  <c r="AS38" i="80" s="1"/>
  <c r="AD31" i="88"/>
  <c r="P126" i="88"/>
  <c r="O126" i="88"/>
  <c r="M139" i="88"/>
  <c r="L153" i="88"/>
  <c r="X123" i="88"/>
  <c r="M148" i="88"/>
  <c r="W126" i="88"/>
  <c r="I9" i="88"/>
  <c r="I31" i="88" s="1"/>
  <c r="AH140" i="88"/>
  <c r="AH28" i="88" s="1"/>
  <c r="G39" i="88"/>
  <c r="G76" i="88" s="1"/>
  <c r="G83" i="88" s="1"/>
  <c r="G106" i="88" s="1"/>
  <c r="AD126" i="88"/>
  <c r="R148" i="88"/>
  <c r="U139" i="88"/>
  <c r="U9" i="88"/>
  <c r="U31" i="88" s="1"/>
  <c r="Y125" i="88"/>
  <c r="L125" i="88"/>
  <c r="L140" i="88"/>
  <c r="R123" i="88"/>
  <c r="I125" i="88"/>
  <c r="H45" i="88"/>
  <c r="O56" i="88" s="1"/>
  <c r="I140" i="88"/>
  <c r="AF9" i="88"/>
  <c r="C19" i="35" s="1"/>
  <c r="D23" i="55" s="1"/>
  <c r="G31" i="88"/>
  <c r="S148" i="88"/>
  <c r="Y25" i="88"/>
  <c r="AC9" i="88"/>
  <c r="AC31" i="88" s="1"/>
  <c r="V25" i="88"/>
  <c r="H9" i="88"/>
  <c r="H31" i="88" s="1"/>
  <c r="H126" i="88"/>
  <c r="W139" i="88"/>
  <c r="H148" i="88"/>
  <c r="AS37" i="80"/>
  <c r="AG15" i="88"/>
  <c r="AG9" i="88" s="1"/>
  <c r="L148" i="88"/>
  <c r="J123" i="88"/>
  <c r="O140" i="88"/>
  <c r="Z125" i="88"/>
  <c r="O125" i="88"/>
  <c r="X9" i="88"/>
  <c r="X31" i="88" s="1"/>
  <c r="X126" i="88"/>
  <c r="V9" i="88"/>
  <c r="V31" i="88" s="1"/>
  <c r="AC25" i="88"/>
  <c r="AG19" i="88"/>
  <c r="C21" i="35"/>
  <c r="D25" i="55" s="1"/>
  <c r="M140" i="88"/>
  <c r="M153" i="88"/>
  <c r="C22" i="35"/>
  <c r="D26" i="55" s="1"/>
  <c r="S139" i="88"/>
  <c r="R9" i="88"/>
  <c r="R31" i="88" s="1"/>
  <c r="I39" i="88"/>
  <c r="I44" i="88" s="1"/>
  <c r="AB9" i="88"/>
  <c r="AB31" i="88" s="1"/>
  <c r="K148" i="88"/>
  <c r="K123" i="88"/>
  <c r="AA25" i="88"/>
  <c r="P153" i="88"/>
  <c r="N153" i="88"/>
  <c r="T123" i="88"/>
  <c r="AG48" i="82"/>
  <c r="AH48" i="82" s="1"/>
  <c r="N15" i="82"/>
  <c r="N62" i="82" s="1"/>
  <c r="L86" i="82"/>
  <c r="I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T62" i="83"/>
  <c r="T65" i="83" s="1"/>
  <c r="O40" i="83"/>
  <c r="Q62" i="83"/>
  <c r="Q65" i="83" s="1"/>
  <c r="N62" i="83"/>
  <c r="N65" i="83" s="1"/>
  <c r="V62" i="83"/>
  <c r="V65" i="83" s="1"/>
  <c r="E62" i="83"/>
  <c r="E65" i="83" s="1"/>
  <c r="E74" i="83" s="1"/>
  <c r="E29" i="83" s="1"/>
  <c r="E33" i="83" s="1"/>
  <c r="M62" i="83"/>
  <c r="M65" i="83" s="1"/>
  <c r="I33" i="49"/>
  <c r="I34" i="49" s="1"/>
  <c r="X33" i="49"/>
  <c r="X34" i="49" s="1"/>
  <c r="AC34" i="49"/>
  <c r="Y33" i="49"/>
  <c r="Y34" i="49" s="1"/>
  <c r="Q38" i="59"/>
  <c r="Q39" i="59" s="1"/>
  <c r="Q41" i="59" s="1"/>
  <c r="AF33" i="49"/>
  <c r="AF34" i="49" s="1"/>
  <c r="Q33" i="49"/>
  <c r="Q34" i="49" s="1"/>
  <c r="R33" i="49"/>
  <c r="R34" i="49" s="1"/>
  <c r="G21" i="49"/>
  <c r="G22" i="49" s="1"/>
  <c r="G23" i="49" s="1"/>
  <c r="H21" i="49"/>
  <c r="H22" i="49" s="1"/>
  <c r="AF37" i="82"/>
  <c r="C11" i="35"/>
  <c r="D15" i="55" s="1"/>
  <c r="AF38" i="59"/>
  <c r="AB37" i="49"/>
  <c r="L40" i="82"/>
  <c r="Q37" i="82"/>
  <c r="Q38" i="82" s="1"/>
  <c r="P45" i="75"/>
  <c r="P46" i="75" s="1"/>
  <c r="Q48" i="75" s="1"/>
  <c r="P37" i="82"/>
  <c r="P38" i="82" s="1"/>
  <c r="P40" i="82" s="1"/>
  <c r="Z33" i="49"/>
  <c r="Z34" i="49" s="1"/>
  <c r="P33" i="49"/>
  <c r="P34" i="49" s="1"/>
  <c r="O25" i="30"/>
  <c r="W14" i="30"/>
  <c r="W12" i="30" s="1"/>
  <c r="AI18" i="30"/>
  <c r="AH16" i="30"/>
  <c r="AO30" i="26"/>
  <c r="AN64" i="20"/>
  <c r="K3" i="35"/>
  <c r="L5" i="55" s="1"/>
  <c r="Q16" i="26"/>
  <c r="Q77" i="26" s="1"/>
  <c r="AO29" i="26"/>
  <c r="I41" i="20"/>
  <c r="L48" i="75"/>
  <c r="AD24" i="59"/>
  <c r="AD24" i="82"/>
  <c r="G75" i="21"/>
  <c r="C7" i="84"/>
  <c r="D7" i="84" s="1"/>
  <c r="I7" i="84" s="1"/>
  <c r="AF71" i="59"/>
  <c r="AF73" i="59" s="1"/>
  <c r="AF72" i="59" s="1"/>
  <c r="L94" i="59"/>
  <c r="L95" i="59" s="1"/>
  <c r="G80" i="21"/>
  <c r="AB37" i="26"/>
  <c r="AB17" i="26" s="1"/>
  <c r="AB20" i="26" s="1"/>
  <c r="AB78" i="26" s="1"/>
  <c r="R43" i="21"/>
  <c r="V43" i="21"/>
  <c r="U43" i="21"/>
  <c r="T43" i="21"/>
  <c r="S43" i="21"/>
  <c r="S37" i="30"/>
  <c r="V16" i="30"/>
  <c r="V14" i="30"/>
  <c r="V12" i="30" s="1"/>
  <c r="J17" i="82"/>
  <c r="J20" i="25"/>
  <c r="J16" i="82" s="1"/>
  <c r="N37" i="30"/>
  <c r="N32" i="75"/>
  <c r="N24" i="59"/>
  <c r="N66" i="59" s="1"/>
  <c r="N24" i="82"/>
  <c r="Y104" i="75"/>
  <c r="Y106" i="75" s="1"/>
  <c r="Y105" i="75" s="1"/>
  <c r="Z33" i="75"/>
  <c r="Z23" i="75"/>
  <c r="Z25" i="82"/>
  <c r="Z33" i="82" s="1"/>
  <c r="Z25" i="59"/>
  <c r="F74" i="21"/>
  <c r="R16" i="30"/>
  <c r="R14" i="30"/>
  <c r="R12" i="30" s="1"/>
  <c r="J41" i="20"/>
  <c r="N23" i="75"/>
  <c r="N33" i="75"/>
  <c r="N38" i="75" s="1"/>
  <c r="N25" i="59"/>
  <c r="N30" i="59" s="1"/>
  <c r="N25" i="82"/>
  <c r="N29" i="82" s="1"/>
  <c r="L52" i="78"/>
  <c r="L15" i="21"/>
  <c r="V36" i="26"/>
  <c r="O14" i="30"/>
  <c r="O12" i="30" s="1"/>
  <c r="O16" i="30"/>
  <c r="T24" i="75"/>
  <c r="T34" i="75"/>
  <c r="M5" i="21"/>
  <c r="L5" i="21"/>
  <c r="K5" i="21"/>
  <c r="J5" i="21"/>
  <c r="Q27" i="75"/>
  <c r="J153" i="88"/>
  <c r="J31" i="88"/>
  <c r="O15" i="40"/>
  <c r="H45" i="75"/>
  <c r="H46" i="75" s="1"/>
  <c r="H38" i="59"/>
  <c r="H39" i="59" s="1"/>
  <c r="H37" i="82"/>
  <c r="H38" i="82" s="1"/>
  <c r="H34" i="49"/>
  <c r="AA62" i="82"/>
  <c r="I98" i="75"/>
  <c r="I27" i="75"/>
  <c r="J45" i="75"/>
  <c r="J46" i="75" s="1"/>
  <c r="J38" i="59"/>
  <c r="J39" i="59" s="1"/>
  <c r="K41" i="59" s="1"/>
  <c r="J34" i="49"/>
  <c r="J37" i="82"/>
  <c r="J38" i="82" s="1"/>
  <c r="I62" i="83"/>
  <c r="I65" i="83" s="1"/>
  <c r="I74" i="83" s="1"/>
  <c r="I29" i="83" s="1"/>
  <c r="U29" i="21"/>
  <c r="D43" i="26"/>
  <c r="AN23" i="70"/>
  <c r="J2" i="71" s="1"/>
  <c r="L30" i="55"/>
  <c r="AC65" i="59"/>
  <c r="F33" i="49"/>
  <c r="F34" i="49" s="1"/>
  <c r="J136" i="55"/>
  <c r="J102" i="55"/>
  <c r="AH15" i="25"/>
  <c r="AH14" i="25" s="1"/>
  <c r="AH11" i="25" s="1"/>
  <c r="AH20" i="25" s="1"/>
  <c r="AI13" i="25"/>
  <c r="U40" i="21"/>
  <c r="O37" i="30"/>
  <c r="F5" i="21"/>
  <c r="I5" i="21"/>
  <c r="H5" i="21"/>
  <c r="G5" i="21"/>
  <c r="E80" i="21"/>
  <c r="T37" i="26"/>
  <c r="T17" i="26" s="1"/>
  <c r="AF24" i="59"/>
  <c r="AF24" i="82"/>
  <c r="AF33" i="82" s="1"/>
  <c r="C17" i="35" s="1"/>
  <c r="AE140" i="88"/>
  <c r="I123" i="88"/>
  <c r="K21" i="21"/>
  <c r="U46" i="30"/>
  <c r="V40" i="21"/>
  <c r="V44" i="21"/>
  <c r="F83" i="21"/>
  <c r="N14" i="21"/>
  <c r="O40" i="21"/>
  <c r="O15" i="21"/>
  <c r="Y36" i="26"/>
  <c r="Y33" i="26" s="1"/>
  <c r="J35" i="21"/>
  <c r="C80" i="21"/>
  <c r="J69" i="38"/>
  <c r="J66" i="38"/>
  <c r="AB25" i="88"/>
  <c r="N45" i="75"/>
  <c r="N46" i="75" s="1"/>
  <c r="N37" i="82"/>
  <c r="N38" i="82" s="1"/>
  <c r="O40" i="82" s="1"/>
  <c r="N34" i="49"/>
  <c r="N38" i="59"/>
  <c r="N39" i="59" s="1"/>
  <c r="O41" i="59" s="1"/>
  <c r="AD33" i="82"/>
  <c r="AD62" i="82"/>
  <c r="AA65" i="59"/>
  <c r="M22" i="21"/>
  <c r="W41" i="30" s="1"/>
  <c r="W40" i="30"/>
  <c r="F29" i="21"/>
  <c r="E43" i="26"/>
  <c r="AG14" i="25"/>
  <c r="AG11" i="25" s="1"/>
  <c r="AG20" i="25" s="1"/>
  <c r="I66" i="38"/>
  <c r="I69" i="38"/>
  <c r="I70" i="38"/>
  <c r="AA33" i="75"/>
  <c r="AA25" i="59"/>
  <c r="AA23" i="75"/>
  <c r="AA25" i="82"/>
  <c r="Q25" i="21"/>
  <c r="AA44" i="30" s="1"/>
  <c r="AA42" i="30"/>
  <c r="AA25" i="30" s="1"/>
  <c r="P40" i="21"/>
  <c r="K35" i="21"/>
  <c r="O148" i="88"/>
  <c r="P16" i="26"/>
  <c r="P77" i="26" s="1"/>
  <c r="AO32" i="26"/>
  <c r="Q14" i="30"/>
  <c r="Q12" i="30" s="1"/>
  <c r="AF69" i="83"/>
  <c r="AF71" i="83" s="1"/>
  <c r="AF70" i="83" s="1"/>
  <c r="Q40" i="21"/>
  <c r="D24" i="21"/>
  <c r="N43" i="30" s="1"/>
  <c r="N25" i="21"/>
  <c r="X44" i="30" s="1"/>
  <c r="X38" i="30"/>
  <c r="X21" i="30" s="1"/>
  <c r="Q15" i="21"/>
  <c r="AA36" i="26"/>
  <c r="AA33" i="26" s="1"/>
  <c r="H24" i="21"/>
  <c r="L35" i="21"/>
  <c r="N34" i="75"/>
  <c r="N24" i="75"/>
  <c r="U24" i="75"/>
  <c r="U34" i="75"/>
  <c r="G139" i="88"/>
  <c r="K18" i="21"/>
  <c r="U140" i="88"/>
  <c r="L92" i="83"/>
  <c r="L93" i="83" s="1"/>
  <c r="AJ64" i="20"/>
  <c r="G3" i="35"/>
  <c r="H5" i="55" s="1"/>
  <c r="N27" i="26"/>
  <c r="O28" i="26"/>
  <c r="N76" i="26"/>
  <c r="N15" i="26"/>
  <c r="E65" i="59"/>
  <c r="E64" i="59" s="1"/>
  <c r="E67" i="59" s="1"/>
  <c r="AE40" i="20"/>
  <c r="AE39" i="20"/>
  <c r="K32" i="55"/>
  <c r="AM25" i="70"/>
  <c r="I4" i="71" s="1"/>
  <c r="G29" i="21"/>
  <c r="P40" i="83"/>
  <c r="P15" i="21"/>
  <c r="Z36" i="26"/>
  <c r="P139" i="88"/>
  <c r="P25" i="21"/>
  <c r="Z44" i="30" s="1"/>
  <c r="Z42" i="30"/>
  <c r="Z25" i="30" s="1"/>
  <c r="R40" i="21"/>
  <c r="D20" i="21"/>
  <c r="N39" i="30" s="1"/>
  <c r="L17" i="40"/>
  <c r="L15" i="40"/>
  <c r="L16" i="40"/>
  <c r="R14" i="21"/>
  <c r="G83" i="21"/>
  <c r="H20" i="21"/>
  <c r="R39" i="30" s="1"/>
  <c r="M35" i="21"/>
  <c r="G82" i="21"/>
  <c r="V24" i="75"/>
  <c r="V34" i="75"/>
  <c r="W85" i="75"/>
  <c r="V125" i="88"/>
  <c r="V37" i="30"/>
  <c r="Q148" i="88"/>
  <c r="AE51" i="59"/>
  <c r="AD26" i="59"/>
  <c r="J37" i="88"/>
  <c r="I74" i="88"/>
  <c r="I81" i="88" s="1"/>
  <c r="I41" i="88"/>
  <c r="AO31" i="26"/>
  <c r="AK64" i="20"/>
  <c r="H3" i="35"/>
  <c r="I5" i="55" s="1"/>
  <c r="AK16" i="70"/>
  <c r="AK44" i="70"/>
  <c r="F31" i="55"/>
  <c r="AH24" i="70"/>
  <c r="D3" i="71" s="1"/>
  <c r="AM45" i="70"/>
  <c r="AM20" i="70" s="1"/>
  <c r="AM18" i="70"/>
  <c r="H29" i="21"/>
  <c r="S16" i="40"/>
  <c r="G14" i="75"/>
  <c r="G14" i="59"/>
  <c r="G17" i="82"/>
  <c r="G15" i="82" s="1"/>
  <c r="AF13" i="33"/>
  <c r="AI13" i="33"/>
  <c r="AH13" i="33"/>
  <c r="AG13" i="33"/>
  <c r="AG10" i="33" s="1"/>
  <c r="AS31" i="80" s="1"/>
  <c r="U33" i="49"/>
  <c r="U34" i="49" s="1"/>
  <c r="C79" i="21"/>
  <c r="J18" i="21"/>
  <c r="AE31" i="88"/>
  <c r="AI64" i="20"/>
  <c r="F3" i="35"/>
  <c r="G5" i="55" s="1"/>
  <c r="S40" i="21"/>
  <c r="K17" i="40"/>
  <c r="O37" i="21"/>
  <c r="N37" i="21"/>
  <c r="M37" i="21"/>
  <c r="L37" i="21"/>
  <c r="V37" i="21"/>
  <c r="U37" i="21"/>
  <c r="T37" i="21"/>
  <c r="S37" i="21"/>
  <c r="R37" i="21"/>
  <c r="Q37" i="21"/>
  <c r="P37" i="21"/>
  <c r="V35" i="26"/>
  <c r="D23" i="21"/>
  <c r="N42" i="30" s="1"/>
  <c r="I19" i="21"/>
  <c r="S38" i="30" s="1"/>
  <c r="N35" i="21"/>
  <c r="W6" i="21"/>
  <c r="AH26" i="88"/>
  <c r="I39" i="75"/>
  <c r="J24" i="75"/>
  <c r="J28" i="75" s="1"/>
  <c r="J34" i="75"/>
  <c r="J99" i="75" s="1"/>
  <c r="Z139" i="88"/>
  <c r="Y139" i="88"/>
  <c r="M25" i="21"/>
  <c r="W37" i="30"/>
  <c r="P31" i="88"/>
  <c r="K5" i="84"/>
  <c r="AL64" i="20"/>
  <c r="I3" i="35"/>
  <c r="J5" i="55" s="1"/>
  <c r="M27" i="26"/>
  <c r="E10" i="21"/>
  <c r="O37" i="26" s="1"/>
  <c r="O17" i="26" s="1"/>
  <c r="E5" i="21"/>
  <c r="E9" i="21"/>
  <c r="E12" i="21"/>
  <c r="E7" i="21"/>
  <c r="C77" i="21" s="1"/>
  <c r="E4" i="21"/>
  <c r="E11" i="21"/>
  <c r="K31" i="55"/>
  <c r="AM24" i="70"/>
  <c r="I3" i="71" s="1"/>
  <c r="AL13" i="33"/>
  <c r="AK13" i="33"/>
  <c r="AJ13" i="33"/>
  <c r="AM13" i="33"/>
  <c r="AM23" i="70"/>
  <c r="I2" i="71" s="1"/>
  <c r="K30" i="55"/>
  <c r="G136" i="55"/>
  <c r="G102" i="55"/>
  <c r="V14" i="40"/>
  <c r="J16" i="40"/>
  <c r="I43" i="88"/>
  <c r="I75" i="88"/>
  <c r="I82" i="88" s="1"/>
  <c r="J38" i="88"/>
  <c r="AJ27" i="70"/>
  <c r="F6" i="71" s="1"/>
  <c r="H34" i="55"/>
  <c r="S14" i="59"/>
  <c r="S65" i="59" s="1"/>
  <c r="S14" i="75"/>
  <c r="S17" i="82"/>
  <c r="S15" i="82" s="1"/>
  <c r="M15" i="21"/>
  <c r="W36" i="26"/>
  <c r="D76" i="21"/>
  <c r="F21" i="21"/>
  <c r="P46" i="30"/>
  <c r="P47" i="30" s="1"/>
  <c r="I24" i="21"/>
  <c r="O35" i="21"/>
  <c r="AI26" i="88"/>
  <c r="N37" i="26"/>
  <c r="W10" i="21"/>
  <c r="E20" i="21"/>
  <c r="O39" i="30" s="1"/>
  <c r="G21" i="21"/>
  <c r="Q46" i="30"/>
  <c r="Q47" i="30" s="1"/>
  <c r="I20" i="21"/>
  <c r="S39" i="30" s="1"/>
  <c r="P35" i="21"/>
  <c r="L34" i="75"/>
  <c r="L99" i="75" s="1"/>
  <c r="L24" i="75"/>
  <c r="L28" i="75" s="1"/>
  <c r="AA31" i="88"/>
  <c r="O139" i="88"/>
  <c r="M16" i="26"/>
  <c r="V13" i="33"/>
  <c r="U13" i="33"/>
  <c r="T13" i="33"/>
  <c r="W13" i="33"/>
  <c r="R48" i="75"/>
  <c r="H31" i="83"/>
  <c r="H33" i="83" s="1"/>
  <c r="W68" i="83"/>
  <c r="V68" i="83"/>
  <c r="V67" i="83" s="1"/>
  <c r="U68" i="83"/>
  <c r="U67" i="83" s="1"/>
  <c r="S45" i="75"/>
  <c r="S46" i="75" s="1"/>
  <c r="S48" i="75" s="1"/>
  <c r="S38" i="59"/>
  <c r="S39" i="59" s="1"/>
  <c r="S41" i="59" s="1"/>
  <c r="S37" i="82"/>
  <c r="S38" i="82" s="1"/>
  <c r="S40" i="82" s="1"/>
  <c r="S33" i="49"/>
  <c r="S34" i="49" s="1"/>
  <c r="Z65" i="59"/>
  <c r="H15" i="82"/>
  <c r="AG19" i="82"/>
  <c r="AH69" i="82"/>
  <c r="AH67" i="82" s="1"/>
  <c r="AH66" i="82" s="1"/>
  <c r="K29" i="21"/>
  <c r="E99" i="55"/>
  <c r="E133" i="55"/>
  <c r="AH9" i="20"/>
  <c r="D4" i="35"/>
  <c r="E6" i="55" s="1"/>
  <c r="AB62" i="82"/>
  <c r="T45" i="75"/>
  <c r="T46" i="75" s="1"/>
  <c r="T37" i="82"/>
  <c r="T38" i="82" s="1"/>
  <c r="T38" i="59"/>
  <c r="T39" i="59" s="1"/>
  <c r="T33" i="49"/>
  <c r="T34" i="49" s="1"/>
  <c r="G134" i="55"/>
  <c r="G100" i="55"/>
  <c r="E76" i="21"/>
  <c r="J21" i="21"/>
  <c r="T46" i="30"/>
  <c r="T47" i="30" s="1"/>
  <c r="T40" i="21"/>
  <c r="N148" i="88"/>
  <c r="N123" i="88"/>
  <c r="H104" i="88" s="1"/>
  <c r="I104" i="88" s="1"/>
  <c r="J104" i="88" s="1"/>
  <c r="K104" i="88" s="1"/>
  <c r="L104" i="88" s="1"/>
  <c r="S24" i="75"/>
  <c r="S28" i="75" s="1"/>
  <c r="S34" i="75"/>
  <c r="P148" i="88"/>
  <c r="J24" i="21"/>
  <c r="AC26" i="83"/>
  <c r="AC64" i="83" s="1"/>
  <c r="AC62" i="83" s="1"/>
  <c r="AC65" i="83" s="1"/>
  <c r="AD50" i="83"/>
  <c r="P13" i="33"/>
  <c r="Q13" i="33"/>
  <c r="R13" i="33"/>
  <c r="S13" i="33"/>
  <c r="AM64" i="20"/>
  <c r="J3" i="35"/>
  <c r="K5" i="55" s="1"/>
  <c r="K17" i="82"/>
  <c r="AH26" i="70"/>
  <c r="D5" i="71" s="1"/>
  <c r="F33" i="55"/>
  <c r="O14" i="75"/>
  <c r="O14" i="59"/>
  <c r="O65" i="59" s="1"/>
  <c r="O17" i="82"/>
  <c r="O15" i="82" s="1"/>
  <c r="L22" i="21"/>
  <c r="V41" i="30" s="1"/>
  <c r="V40" i="30"/>
  <c r="J29" i="21"/>
  <c r="D109" i="55"/>
  <c r="D74" i="55"/>
  <c r="S15" i="21"/>
  <c r="AC36" i="26"/>
  <c r="AC33" i="26" s="1"/>
  <c r="F18" i="21"/>
  <c r="I23" i="21"/>
  <c r="S42" i="30" s="1"/>
  <c r="S25" i="30" s="1"/>
  <c r="Q35" i="21"/>
  <c r="C5" i="21"/>
  <c r="F16" i="5"/>
  <c r="O34" i="75"/>
  <c r="O24" i="75"/>
  <c r="F77" i="21"/>
  <c r="AC23" i="75"/>
  <c r="AC25" i="59"/>
  <c r="AC33" i="75"/>
  <c r="AC25" i="82"/>
  <c r="M34" i="75"/>
  <c r="M24" i="75"/>
  <c r="H43" i="88"/>
  <c r="H75" i="88"/>
  <c r="H82" i="88" s="1"/>
  <c r="J23" i="21"/>
  <c r="T42" i="30" s="1"/>
  <c r="T25" i="30" s="1"/>
  <c r="L41" i="59"/>
  <c r="H74" i="88"/>
  <c r="H81" i="88" s="1"/>
  <c r="H41" i="88"/>
  <c r="G5" i="84"/>
  <c r="L5" i="84"/>
  <c r="M45" i="75"/>
  <c r="M46" i="75" s="1"/>
  <c r="M48" i="75" s="1"/>
  <c r="M38" i="59"/>
  <c r="M39" i="59" s="1"/>
  <c r="M41" i="59" s="1"/>
  <c r="M37" i="82"/>
  <c r="M38" i="82" s="1"/>
  <c r="M40" i="82" s="1"/>
  <c r="M34" i="49"/>
  <c r="F74" i="83"/>
  <c r="F29" i="83" s="1"/>
  <c r="F33" i="83" s="1"/>
  <c r="AE64" i="20"/>
  <c r="X9" i="50"/>
  <c r="Z33" i="26"/>
  <c r="Z13" i="26"/>
  <c r="Z20" i="26" s="1"/>
  <c r="Z78" i="26" s="1"/>
  <c r="AG29" i="70"/>
  <c r="AH29" i="70" s="1"/>
  <c r="AI29" i="70" s="1"/>
  <c r="AJ29" i="70" s="1"/>
  <c r="AK29" i="70" s="1"/>
  <c r="AL29" i="70" s="1"/>
  <c r="AM29" i="70" s="1"/>
  <c r="AN29" i="70" s="1"/>
  <c r="AN27" i="70"/>
  <c r="J6" i="71" s="1"/>
  <c r="L34" i="55"/>
  <c r="L29" i="21"/>
  <c r="T12" i="20"/>
  <c r="T11" i="20" s="1"/>
  <c r="U30" i="70"/>
  <c r="AB65" i="59"/>
  <c r="D135" i="55"/>
  <c r="D101" i="55"/>
  <c r="J99" i="55"/>
  <c r="J133" i="55"/>
  <c r="V16" i="75"/>
  <c r="V14" i="75" s="1"/>
  <c r="V16" i="59"/>
  <c r="V14" i="59" s="1"/>
  <c r="V65" i="59" s="1"/>
  <c r="V17" i="82"/>
  <c r="V15" i="82" s="1"/>
  <c r="W21" i="25"/>
  <c r="O25" i="21"/>
  <c r="Y44" i="30" s="1"/>
  <c r="Y42" i="30"/>
  <c r="Y25" i="30" s="1"/>
  <c r="K34" i="75"/>
  <c r="K99" i="75" s="1"/>
  <c r="K24" i="75"/>
  <c r="K28" i="75" s="1"/>
  <c r="I139" i="88"/>
  <c r="AE123" i="88"/>
  <c r="Z62" i="82"/>
  <c r="AG38" i="20"/>
  <c r="D8" i="55"/>
  <c r="AF39" i="20"/>
  <c r="U38" i="21"/>
  <c r="T38" i="21"/>
  <c r="S38" i="21"/>
  <c r="R38" i="21"/>
  <c r="Q38" i="21"/>
  <c r="P38" i="21"/>
  <c r="O38" i="21"/>
  <c r="N38" i="21"/>
  <c r="M38" i="21"/>
  <c r="V38" i="21"/>
  <c r="W35" i="26"/>
  <c r="G77" i="21"/>
  <c r="T15" i="21"/>
  <c r="AD36" i="26"/>
  <c r="AD33" i="26" s="1"/>
  <c r="H21" i="21"/>
  <c r="R46" i="30"/>
  <c r="R47" i="30" s="1"/>
  <c r="F19" i="21"/>
  <c r="P38" i="30" s="1"/>
  <c r="E79" i="2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I191" i="65"/>
  <c r="V40" i="75"/>
  <c r="V31" i="59"/>
  <c r="V30" i="82"/>
  <c r="L18" i="38"/>
  <c r="S19" i="38"/>
  <c r="N139" i="88"/>
  <c r="AD25" i="59"/>
  <c r="AD30" i="59" s="1"/>
  <c r="AD25" i="82"/>
  <c r="AD29" i="82" s="1"/>
  <c r="W5" i="50" s="1"/>
  <c r="R34" i="75"/>
  <c r="R24" i="75"/>
  <c r="R28" i="75" s="1"/>
  <c r="Z9" i="88"/>
  <c r="Z31" i="88" s="1"/>
  <c r="F76" i="21"/>
  <c r="K24" i="21"/>
  <c r="G33" i="83"/>
  <c r="AF64" i="20"/>
  <c r="Y9" i="50"/>
  <c r="D5" i="55"/>
  <c r="P41" i="21"/>
  <c r="L33" i="55"/>
  <c r="AN26" i="70"/>
  <c r="J5" i="71" s="1"/>
  <c r="M29" i="21"/>
  <c r="E45" i="75"/>
  <c r="E46" i="75" s="1"/>
  <c r="E38" i="59"/>
  <c r="E39" i="59" s="1"/>
  <c r="E37" i="82"/>
  <c r="E38" i="82" s="1"/>
  <c r="D45" i="75"/>
  <c r="D46" i="75" s="1"/>
  <c r="D38" i="59"/>
  <c r="D39" i="59" s="1"/>
  <c r="D37" i="82"/>
  <c r="D38" i="82" s="1"/>
  <c r="N29" i="21"/>
  <c r="K20" i="25"/>
  <c r="K16" i="82" s="1"/>
  <c r="AK24" i="70"/>
  <c r="G3" i="71" s="1"/>
  <c r="I31" i="55"/>
  <c r="C78" i="21"/>
  <c r="E33" i="49"/>
  <c r="E34" i="49" s="1"/>
  <c r="D33" i="49"/>
  <c r="D34" i="49" s="1"/>
  <c r="U14" i="59"/>
  <c r="U65" i="59" s="1"/>
  <c r="M15" i="82"/>
  <c r="P16" i="30"/>
  <c r="R41" i="21"/>
  <c r="AG44" i="70"/>
  <c r="AG16" i="70"/>
  <c r="O29" i="21"/>
  <c r="AJ24" i="70"/>
  <c r="F3" i="71" s="1"/>
  <c r="H31" i="55"/>
  <c r="G45" i="75"/>
  <c r="G46" i="75" s="1"/>
  <c r="G38" i="59"/>
  <c r="G39" i="59" s="1"/>
  <c r="G37" i="82"/>
  <c r="G38" i="82" s="1"/>
  <c r="G34" i="49"/>
  <c r="M14" i="59"/>
  <c r="M65" i="59" s="1"/>
  <c r="D15" i="21"/>
  <c r="N36" i="26"/>
  <c r="N33" i="26" s="1"/>
  <c r="AE25" i="59"/>
  <c r="AE30" i="59" s="1"/>
  <c r="AE25" i="82"/>
  <c r="AE29" i="82" s="1"/>
  <c r="X5" i="50" s="1"/>
  <c r="P34" i="75"/>
  <c r="P24" i="75"/>
  <c r="P28" i="75" s="1"/>
  <c r="T42" i="38"/>
  <c r="P41" i="38"/>
  <c r="R41" i="38" s="1"/>
  <c r="AF25" i="88"/>
  <c r="D24" i="55"/>
  <c r="AK139" i="88"/>
  <c r="AJ26" i="88"/>
  <c r="E82" i="21"/>
  <c r="AD123" i="88"/>
  <c r="AD139" i="88"/>
  <c r="J19" i="21"/>
  <c r="T38" i="30" s="1"/>
  <c r="O30" i="38"/>
  <c r="S31" i="38"/>
  <c r="K23" i="21"/>
  <c r="U42" i="30" s="1"/>
  <c r="H15" i="21"/>
  <c r="R36" i="26"/>
  <c r="Q33" i="21"/>
  <c r="P33" i="21"/>
  <c r="O33" i="21"/>
  <c r="N33" i="21"/>
  <c r="M33" i="21"/>
  <c r="L33" i="21"/>
  <c r="K33" i="21"/>
  <c r="J33" i="21"/>
  <c r="I33" i="21"/>
  <c r="H33" i="21"/>
  <c r="V33" i="21"/>
  <c r="U33" i="21"/>
  <c r="T33" i="21"/>
  <c r="S33" i="21"/>
  <c r="R33" i="21"/>
  <c r="R35" i="26"/>
  <c r="R33" i="26" s="1"/>
  <c r="C25" i="21"/>
  <c r="M44" i="30" s="1"/>
  <c r="M37" i="30"/>
  <c r="E83" i="21"/>
  <c r="J14" i="21"/>
  <c r="T35" i="21"/>
  <c r="O16" i="40"/>
  <c r="K4" i="21"/>
  <c r="L4" i="21"/>
  <c r="M4" i="21"/>
  <c r="J4" i="21"/>
  <c r="M191" i="65"/>
  <c r="Z40" i="75"/>
  <c r="Z31" i="59"/>
  <c r="Z30" i="82"/>
  <c r="AD25" i="88"/>
  <c r="F82" i="21"/>
  <c r="M45" i="78"/>
  <c r="N45" i="78" s="1"/>
  <c r="L45" i="78"/>
  <c r="D33" i="83"/>
  <c r="L95" i="83"/>
  <c r="G3" i="84"/>
  <c r="AG33" i="88"/>
  <c r="AH13" i="88"/>
  <c r="AD64" i="20"/>
  <c r="W9" i="50"/>
  <c r="AA64" i="20"/>
  <c r="T9" i="50"/>
  <c r="AG11" i="26"/>
  <c r="AG78" i="26"/>
  <c r="AH20" i="26"/>
  <c r="L14" i="75"/>
  <c r="L14" i="59"/>
  <c r="L65" i="59" s="1"/>
  <c r="L64" i="59" s="1"/>
  <c r="L67" i="59" s="1"/>
  <c r="L17" i="82"/>
  <c r="L15" i="82" s="1"/>
  <c r="S41" i="21"/>
  <c r="R17" i="82"/>
  <c r="R20" i="25"/>
  <c r="R16" i="82" s="1"/>
  <c r="W8" i="21"/>
  <c r="AC39" i="20"/>
  <c r="P29" i="21"/>
  <c r="I38" i="59"/>
  <c r="I39" i="59" s="1"/>
  <c r="I45" i="75"/>
  <c r="I46" i="75" s="1"/>
  <c r="I37" i="82"/>
  <c r="I38" i="82" s="1"/>
  <c r="V33" i="49"/>
  <c r="V34" i="49" s="1"/>
  <c r="D119" i="55"/>
  <c r="D84" i="55"/>
  <c r="D83" i="21"/>
  <c r="F14" i="21"/>
  <c r="I21" i="21"/>
  <c r="S46" i="30"/>
  <c r="S47" i="30" s="1"/>
  <c r="Q37" i="30"/>
  <c r="C4" i="21"/>
  <c r="E16" i="5"/>
  <c r="D21" i="21"/>
  <c r="N46" i="30"/>
  <c r="N47" i="30" s="1"/>
  <c r="AB64" i="20"/>
  <c r="U9" i="50"/>
  <c r="W62" i="83"/>
  <c r="W65" i="83" s="1"/>
  <c r="D3" i="35"/>
  <c r="E5" i="55" s="1"/>
  <c r="AG64" i="20"/>
  <c r="G15" i="21"/>
  <c r="Q36" i="26"/>
  <c r="P32" i="21"/>
  <c r="O32" i="21"/>
  <c r="N32" i="21"/>
  <c r="M32" i="21"/>
  <c r="L32" i="21"/>
  <c r="K32" i="21"/>
  <c r="J32" i="21"/>
  <c r="I32" i="21"/>
  <c r="H32" i="21"/>
  <c r="G32" i="21"/>
  <c r="V32" i="21"/>
  <c r="U32" i="21"/>
  <c r="T32" i="21"/>
  <c r="S32" i="21"/>
  <c r="R32" i="21"/>
  <c r="Q32" i="21"/>
  <c r="Q35" i="26"/>
  <c r="Q33" i="26" s="1"/>
  <c r="R37" i="30"/>
  <c r="S35" i="21"/>
  <c r="T15" i="40"/>
  <c r="T17" i="40"/>
  <c r="E21" i="21"/>
  <c r="O46" i="30"/>
  <c r="O47" i="30" s="1"/>
  <c r="I24" i="75"/>
  <c r="I28" i="75" s="1"/>
  <c r="I34" i="75"/>
  <c r="I99" i="75" s="1"/>
  <c r="G74" i="21"/>
  <c r="AB23" i="75"/>
  <c r="AB25" i="59"/>
  <c r="AB30" i="59" s="1"/>
  <c r="AB33" i="75"/>
  <c r="AB25" i="82"/>
  <c r="AB33" i="82" s="1"/>
  <c r="Q34" i="75"/>
  <c r="Q24" i="75"/>
  <c r="Q28" i="75" s="1"/>
  <c r="AH141" i="88"/>
  <c r="AG29" i="88"/>
  <c r="AP9" i="88"/>
  <c r="R62" i="83"/>
  <c r="R65" i="83" s="1"/>
  <c r="C83" i="21"/>
  <c r="C14" i="21"/>
  <c r="W13" i="21"/>
  <c r="I15" i="21"/>
  <c r="S36" i="26"/>
  <c r="S44" i="21"/>
  <c r="Y33" i="75"/>
  <c r="Y25" i="59"/>
  <c r="Y23" i="75"/>
  <c r="Y25" i="82"/>
  <c r="S34" i="21"/>
  <c r="R34" i="21"/>
  <c r="Q34" i="21"/>
  <c r="P34" i="21"/>
  <c r="O34" i="21"/>
  <c r="N34" i="21"/>
  <c r="M34" i="21"/>
  <c r="L34" i="21"/>
  <c r="K34" i="21"/>
  <c r="J34" i="21"/>
  <c r="I34" i="21"/>
  <c r="V34" i="21"/>
  <c r="U34" i="21"/>
  <c r="T34" i="21"/>
  <c r="S35" i="26"/>
  <c r="S33" i="26" s="1"/>
  <c r="V36" i="21"/>
  <c r="U36" i="21"/>
  <c r="T36" i="21"/>
  <c r="S36" i="21"/>
  <c r="R36" i="21"/>
  <c r="Q36" i="21"/>
  <c r="P36" i="21"/>
  <c r="O36" i="21"/>
  <c r="N36" i="21"/>
  <c r="M36" i="21"/>
  <c r="L36" i="21"/>
  <c r="K36" i="21"/>
  <c r="U35" i="26"/>
  <c r="K15" i="21"/>
  <c r="U36" i="26"/>
  <c r="F24" i="21"/>
  <c r="U35" i="21"/>
  <c r="AE24" i="59"/>
  <c r="AE24" i="82"/>
  <c r="K19" i="21"/>
  <c r="U38" i="30" s="1"/>
  <c r="J148" i="88"/>
  <c r="M47" i="78"/>
  <c r="N47" i="78" s="1"/>
  <c r="L47" i="78"/>
  <c r="P41" i="59"/>
  <c r="F80" i="21"/>
  <c r="X37" i="26"/>
  <c r="X17" i="26" s="1"/>
  <c r="E3" i="35"/>
  <c r="F5" i="55" s="1"/>
  <c r="AH64" i="20"/>
  <c r="X10" i="50"/>
  <c r="T41" i="21"/>
  <c r="D80" i="55"/>
  <c r="D115" i="55"/>
  <c r="D29" i="21"/>
  <c r="D28" i="21" s="1"/>
  <c r="Q29" i="21"/>
  <c r="F14" i="75"/>
  <c r="F17" i="82"/>
  <c r="F15" i="82" s="1"/>
  <c r="F14" i="59"/>
  <c r="D14" i="75"/>
  <c r="D14" i="59"/>
  <c r="D17" i="82"/>
  <c r="D15" i="82" s="1"/>
  <c r="M14" i="75"/>
  <c r="V14" i="74"/>
  <c r="V13" i="74" s="1"/>
  <c r="V11" i="74" s="1"/>
  <c r="V19" i="74" s="1"/>
  <c r="W12" i="74"/>
  <c r="AE62" i="82"/>
  <c r="V41" i="21"/>
  <c r="Q15" i="82"/>
  <c r="I31" i="83"/>
  <c r="I33" i="83" s="1"/>
  <c r="J66" i="83"/>
  <c r="J74" i="83" s="1"/>
  <c r="J29" i="83" s="1"/>
  <c r="E29" i="21"/>
  <c r="S29" i="21"/>
  <c r="J31" i="55"/>
  <c r="AL24" i="70"/>
  <c r="H3" i="71" s="1"/>
  <c r="H99" i="55"/>
  <c r="H133" i="55"/>
  <c r="F45" i="75"/>
  <c r="F46" i="75" s="1"/>
  <c r="F38" i="59"/>
  <c r="F39" i="59" s="1"/>
  <c r="F37" i="82"/>
  <c r="F38" i="82" s="1"/>
  <c r="N14" i="59"/>
  <c r="N65" i="59" s="1"/>
  <c r="N64" i="59" s="1"/>
  <c r="N67" i="59" s="1"/>
  <c r="K14" i="75" l="1"/>
  <c r="K14" i="59"/>
  <c r="K65" i="59" s="1"/>
  <c r="K64" i="59" s="1"/>
  <c r="K67" i="59" s="1"/>
  <c r="E33" i="82"/>
  <c r="E98" i="75"/>
  <c r="E97" i="75" s="1"/>
  <c r="E100" i="75" s="1"/>
  <c r="N27" i="75"/>
  <c r="E76" i="59"/>
  <c r="E29" i="59" s="1"/>
  <c r="E34" i="59" s="1"/>
  <c r="V103" i="75"/>
  <c r="E27" i="75"/>
  <c r="E26" i="75" s="1"/>
  <c r="E29" i="75" s="1"/>
  <c r="F40" i="82"/>
  <c r="T14" i="75"/>
  <c r="T27" i="75" s="1"/>
  <c r="I62" i="82"/>
  <c r="I61" i="82" s="1"/>
  <c r="I64" i="82" s="1"/>
  <c r="I31" i="82" s="1"/>
  <c r="C10" i="35"/>
  <c r="D14" i="55" s="1"/>
  <c r="D117" i="55" s="1"/>
  <c r="H65" i="59"/>
  <c r="H64" i="59" s="1"/>
  <c r="H67" i="59" s="1"/>
  <c r="H68" i="59"/>
  <c r="J48" i="75"/>
  <c r="R14" i="59"/>
  <c r="R65" i="59" s="1"/>
  <c r="AG26" i="82"/>
  <c r="AG63" i="82" s="1"/>
  <c r="P27" i="75"/>
  <c r="P26" i="75" s="1"/>
  <c r="P29" i="75" s="1"/>
  <c r="AI12" i="30"/>
  <c r="AH11" i="30"/>
  <c r="AH47" i="30" s="1"/>
  <c r="E6" i="35" s="1"/>
  <c r="F10" i="55" s="1"/>
  <c r="U14" i="75"/>
  <c r="U27" i="75" s="1"/>
  <c r="Q56" i="88"/>
  <c r="K71" i="38"/>
  <c r="U103" i="75"/>
  <c r="U102" i="75" s="1"/>
  <c r="E109" i="75"/>
  <c r="E37" i="75" s="1"/>
  <c r="E41" i="75" s="1"/>
  <c r="R56" i="88"/>
  <c r="AH142" i="88"/>
  <c r="AI142" i="88" s="1"/>
  <c r="J14" i="75"/>
  <c r="J27" i="75" s="1"/>
  <c r="J26" i="75" s="1"/>
  <c r="J29" i="75" s="1"/>
  <c r="L97" i="59"/>
  <c r="J101" i="75"/>
  <c r="K101" i="75" s="1"/>
  <c r="H27" i="75"/>
  <c r="H26" i="75" s="1"/>
  <c r="H29" i="75" s="1"/>
  <c r="I65" i="59"/>
  <c r="I64" i="59" s="1"/>
  <c r="I67" i="59" s="1"/>
  <c r="I68" i="59"/>
  <c r="H98" i="75"/>
  <c r="H97" i="75" s="1"/>
  <c r="H100" i="75" s="1"/>
  <c r="H109" i="75" s="1"/>
  <c r="H37" i="75" s="1"/>
  <c r="H39" i="75"/>
  <c r="H23" i="49"/>
  <c r="K40" i="88"/>
  <c r="K45" i="88" s="1"/>
  <c r="AG24" i="88"/>
  <c r="D20" i="35" s="1"/>
  <c r="E24" i="55" s="1"/>
  <c r="AH32" i="88"/>
  <c r="AI140" i="88"/>
  <c r="AJ140" i="88" s="1"/>
  <c r="J45" i="88"/>
  <c r="X56" i="88" s="1"/>
  <c r="T56" i="88"/>
  <c r="N56" i="88"/>
  <c r="P56" i="88"/>
  <c r="M56" i="88"/>
  <c r="AG32" i="88"/>
  <c r="J106" i="88"/>
  <c r="K106" i="88" s="1"/>
  <c r="L106" i="88" s="1"/>
  <c r="I106" i="88"/>
  <c r="H44" i="88"/>
  <c r="P55" i="88" s="1"/>
  <c r="AF31" i="88"/>
  <c r="D94" i="55"/>
  <c r="D129" i="55"/>
  <c r="J39" i="88"/>
  <c r="K39" i="88" s="1"/>
  <c r="D93" i="55"/>
  <c r="D128" i="55"/>
  <c r="I76" i="88"/>
  <c r="I83" i="88" s="1"/>
  <c r="AH9" i="88"/>
  <c r="E19" i="35" s="1"/>
  <c r="F23" i="55" s="1"/>
  <c r="AH19" i="88"/>
  <c r="D21" i="35"/>
  <c r="E25" i="55" s="1"/>
  <c r="R15" i="82"/>
  <c r="R62" i="82" s="1"/>
  <c r="J40" i="82"/>
  <c r="F48" i="75"/>
  <c r="AE34" i="49"/>
  <c r="H40" i="82"/>
  <c r="P48" i="75"/>
  <c r="R41" i="59"/>
  <c r="N48" i="75"/>
  <c r="Q40" i="82"/>
  <c r="R40" i="82"/>
  <c r="G41" i="59"/>
  <c r="O48" i="75"/>
  <c r="I48" i="75"/>
  <c r="I41" i="59"/>
  <c r="D118" i="55"/>
  <c r="D83" i="55"/>
  <c r="AI16" i="30"/>
  <c r="AJ18" i="30"/>
  <c r="S62" i="82"/>
  <c r="AG71" i="59"/>
  <c r="AG73" i="59" s="1"/>
  <c r="AG72" i="59"/>
  <c r="AH14" i="59"/>
  <c r="AH15" i="82"/>
  <c r="E8" i="35"/>
  <c r="F12" i="55" s="1"/>
  <c r="D62" i="82"/>
  <c r="D61" i="82" s="1"/>
  <c r="D64" i="82" s="1"/>
  <c r="D31" i="82" s="1"/>
  <c r="D33" i="82"/>
  <c r="AI69" i="82"/>
  <c r="AI67" i="82" s="1"/>
  <c r="AI66" i="82" s="1"/>
  <c r="AH19" i="82"/>
  <c r="AG25" i="88"/>
  <c r="AG69" i="83"/>
  <c r="AG71" i="83" s="1"/>
  <c r="AG70" i="83" s="1"/>
  <c r="L33" i="82"/>
  <c r="L62" i="82"/>
  <c r="L61" i="82" s="1"/>
  <c r="L64" i="82" s="1"/>
  <c r="L31" i="82" s="1"/>
  <c r="F62" i="82"/>
  <c r="F61" i="82" s="1"/>
  <c r="F64" i="82" s="1"/>
  <c r="F31" i="82" s="1"/>
  <c r="F33" i="82"/>
  <c r="D75" i="21"/>
  <c r="P32" i="75"/>
  <c r="P99" i="75" s="1"/>
  <c r="P97" i="75" s="1"/>
  <c r="P100" i="75" s="1"/>
  <c r="P24" i="59"/>
  <c r="P66" i="59" s="1"/>
  <c r="P64" i="59" s="1"/>
  <c r="P67" i="59" s="1"/>
  <c r="P24" i="82"/>
  <c r="W14" i="74"/>
  <c r="W13" i="74" s="1"/>
  <c r="W11" i="74" s="1"/>
  <c r="W19" i="74" s="1"/>
  <c r="X12" i="74"/>
  <c r="N15" i="21"/>
  <c r="F85" i="21" s="1"/>
  <c r="F84" i="21"/>
  <c r="X36" i="26"/>
  <c r="X33" i="26" s="1"/>
  <c r="J134" i="55"/>
  <c r="J100" i="55"/>
  <c r="U21" i="30"/>
  <c r="AD75" i="30"/>
  <c r="E22" i="21"/>
  <c r="O41" i="30" s="1"/>
  <c r="O40" i="30"/>
  <c r="D111" i="55"/>
  <c r="D76" i="55"/>
  <c r="S28" i="21"/>
  <c r="AC81" i="26" s="1"/>
  <c r="D22" i="21"/>
  <c r="N40" i="30"/>
  <c r="I40" i="82"/>
  <c r="E74" i="21"/>
  <c r="T33" i="75"/>
  <c r="T23" i="75"/>
  <c r="T28" i="75" s="1"/>
  <c r="T25" i="59"/>
  <c r="T25" i="82"/>
  <c r="T29" i="82" s="1"/>
  <c r="AG18" i="70"/>
  <c r="AG45" i="70"/>
  <c r="AG20" i="70" s="1"/>
  <c r="W33" i="26"/>
  <c r="W13" i="26"/>
  <c r="V27" i="75"/>
  <c r="V98" i="75"/>
  <c r="O52" i="88"/>
  <c r="N52" i="88"/>
  <c r="M52" i="88"/>
  <c r="P52" i="88"/>
  <c r="C75" i="21"/>
  <c r="W5" i="21"/>
  <c r="M32" i="75"/>
  <c r="M99" i="75" s="1"/>
  <c r="M24" i="59"/>
  <c r="M24" i="82"/>
  <c r="F102" i="55"/>
  <c r="F136" i="55"/>
  <c r="M77" i="26"/>
  <c r="AO16" i="26"/>
  <c r="M20" i="26"/>
  <c r="M78" i="26" s="1"/>
  <c r="J43" i="88"/>
  <c r="J75" i="88"/>
  <c r="J82" i="88" s="1"/>
  <c r="K38" i="88"/>
  <c r="K134" i="55"/>
  <c r="K100" i="55"/>
  <c r="G108" i="55"/>
  <c r="G73" i="55"/>
  <c r="G65" i="59"/>
  <c r="G64" i="59" s="1"/>
  <c r="G67" i="59" s="1"/>
  <c r="G68" i="59"/>
  <c r="G32" i="59" s="1"/>
  <c r="AH26" i="82"/>
  <c r="AH63" i="82" s="1"/>
  <c r="AI48" i="82"/>
  <c r="O27" i="26"/>
  <c r="O15" i="26"/>
  <c r="O20" i="26" s="1"/>
  <c r="O78" i="26" s="1"/>
  <c r="P28" i="26"/>
  <c r="O76" i="26"/>
  <c r="O73" i="26" s="1"/>
  <c r="O65" i="20" s="1"/>
  <c r="O66" i="20" s="1"/>
  <c r="V56" i="88"/>
  <c r="U56" i="88"/>
  <c r="Q32" i="75"/>
  <c r="Q99" i="75" s="1"/>
  <c r="Q97" i="75" s="1"/>
  <c r="Q100" i="75" s="1"/>
  <c r="Q24" i="59"/>
  <c r="Q66" i="59" s="1"/>
  <c r="Q64" i="59" s="1"/>
  <c r="Q67" i="59" s="1"/>
  <c r="Q24" i="82"/>
  <c r="Q63" i="82" s="1"/>
  <c r="E75" i="21"/>
  <c r="T24" i="82"/>
  <c r="Z29" i="82"/>
  <c r="Z63" i="82"/>
  <c r="Z61" i="82" s="1"/>
  <c r="Z64" i="82" s="1"/>
  <c r="E94" i="55"/>
  <c r="E129" i="55"/>
  <c r="S24" i="82"/>
  <c r="S63" i="82" s="1"/>
  <c r="S32" i="75"/>
  <c r="S99" i="75" s="1"/>
  <c r="S24" i="59"/>
  <c r="S66" i="59" s="1"/>
  <c r="S64" i="59" s="1"/>
  <c r="S67" i="59" s="1"/>
  <c r="X16" i="30"/>
  <c r="X14" i="30"/>
  <c r="X12" i="30" s="1"/>
  <c r="H137" i="55"/>
  <c r="H103" i="55"/>
  <c r="I108" i="55"/>
  <c r="I73" i="55"/>
  <c r="M98" i="75"/>
  <c r="M27" i="75"/>
  <c r="F108" i="55"/>
  <c r="F73" i="55"/>
  <c r="Y29" i="82"/>
  <c r="Y63" i="82"/>
  <c r="L98" i="75"/>
  <c r="L97" i="75" s="1"/>
  <c r="L100" i="75" s="1"/>
  <c r="L27" i="75"/>
  <c r="L26" i="75" s="1"/>
  <c r="L29" i="75" s="1"/>
  <c r="W33" i="75"/>
  <c r="W38" i="75" s="1"/>
  <c r="W23" i="75"/>
  <c r="W25" i="59"/>
  <c r="W30" i="59" s="1"/>
  <c r="W25" i="82"/>
  <c r="W29" i="82" s="1"/>
  <c r="G98" i="75"/>
  <c r="G97" i="75" s="1"/>
  <c r="G100" i="75" s="1"/>
  <c r="G27" i="75"/>
  <c r="G26" i="75" s="1"/>
  <c r="G29" i="75" s="1"/>
  <c r="G101" i="75"/>
  <c r="G39" i="75" s="1"/>
  <c r="D126" i="55"/>
  <c r="D91" i="55"/>
  <c r="F28" i="21"/>
  <c r="R24" i="82"/>
  <c r="R63" i="82" s="1"/>
  <c r="R32" i="75"/>
  <c r="R99" i="75" s="1"/>
  <c r="R24" i="59"/>
  <c r="R66" i="59" s="1"/>
  <c r="U32" i="75"/>
  <c r="U24" i="59"/>
  <c r="U24" i="82"/>
  <c r="N28" i="75"/>
  <c r="N26" i="75" s="1"/>
  <c r="N29" i="75" s="1"/>
  <c r="V32" i="75"/>
  <c r="V99" i="75" s="1"/>
  <c r="V24" i="59"/>
  <c r="V24" i="82"/>
  <c r="U33" i="75"/>
  <c r="U38" i="75" s="1"/>
  <c r="U23" i="75"/>
  <c r="U28" i="75" s="1"/>
  <c r="U25" i="59"/>
  <c r="U30" i="59" s="1"/>
  <c r="U25" i="82"/>
  <c r="U29" i="82" s="1"/>
  <c r="T16" i="30"/>
  <c r="T14" i="30"/>
  <c r="T12" i="30" s="1"/>
  <c r="U3" i="50"/>
  <c r="W44" i="30"/>
  <c r="M26" i="21"/>
  <c r="Q62" i="82"/>
  <c r="Y38" i="75"/>
  <c r="M62" i="82"/>
  <c r="M33" i="82"/>
  <c r="H47" i="21"/>
  <c r="R83" i="26" s="1"/>
  <c r="K98" i="75"/>
  <c r="K97" i="75" s="1"/>
  <c r="K100" i="75" s="1"/>
  <c r="K27" i="75"/>
  <c r="K26" i="75" s="1"/>
  <c r="K29" i="75" s="1"/>
  <c r="AM26" i="70"/>
  <c r="I5" i="71" s="1"/>
  <c r="K33" i="55"/>
  <c r="J74" i="88"/>
  <c r="J81" i="88" s="1"/>
  <c r="K37" i="88"/>
  <c r="J41" i="88"/>
  <c r="R15" i="21"/>
  <c r="G85" i="21" s="1"/>
  <c r="G84" i="21"/>
  <c r="G87" i="21" s="1"/>
  <c r="AB36" i="26"/>
  <c r="AB33" i="26" s="1"/>
  <c r="S55" i="88"/>
  <c r="R55" i="88"/>
  <c r="Q55" i="88"/>
  <c r="T55" i="88"/>
  <c r="H41" i="59"/>
  <c r="V33" i="75"/>
  <c r="V38" i="75" s="1"/>
  <c r="V23" i="75"/>
  <c r="V28" i="75" s="1"/>
  <c r="V25" i="59"/>
  <c r="V30" i="59" s="1"/>
  <c r="V25" i="82"/>
  <c r="V29" i="82" s="1"/>
  <c r="W11" i="21"/>
  <c r="C81" i="21"/>
  <c r="F25" i="21"/>
  <c r="P37" i="30"/>
  <c r="H28" i="21"/>
  <c r="J71" i="38"/>
  <c r="J73" i="38"/>
  <c r="W32" i="75"/>
  <c r="W24" i="59"/>
  <c r="W24" i="82"/>
  <c r="W63" i="82" s="1"/>
  <c r="D98" i="75"/>
  <c r="D97" i="75" s="1"/>
  <c r="D100" i="75" s="1"/>
  <c r="D101" i="75"/>
  <c r="D39" i="75" s="1"/>
  <c r="D27" i="75"/>
  <c r="D26" i="75" s="1"/>
  <c r="D29" i="75" s="1"/>
  <c r="Y3" i="50"/>
  <c r="D21" i="55"/>
  <c r="U33" i="26"/>
  <c r="U13" i="26"/>
  <c r="AI20" i="26"/>
  <c r="AH78" i="26"/>
  <c r="AH11" i="26"/>
  <c r="AL139" i="88"/>
  <c r="AK26" i="88"/>
  <c r="I47" i="21"/>
  <c r="S83" i="26" s="1"/>
  <c r="P54" i="88"/>
  <c r="O54" i="88"/>
  <c r="N54" i="88"/>
  <c r="M54" i="88"/>
  <c r="K108" i="55"/>
  <c r="K73" i="55"/>
  <c r="AI28" i="88"/>
  <c r="E109" i="55"/>
  <c r="E74" i="55"/>
  <c r="W12" i="21"/>
  <c r="C82" i="21"/>
  <c r="T37" i="30"/>
  <c r="AM27" i="70"/>
  <c r="I6" i="71" s="1"/>
  <c r="K34" i="55"/>
  <c r="H48" i="75"/>
  <c r="Z38" i="75"/>
  <c r="AI141" i="88"/>
  <c r="AH29" i="88"/>
  <c r="AH24" i="88" s="1"/>
  <c r="O23" i="75"/>
  <c r="O28" i="75" s="1"/>
  <c r="O33" i="75"/>
  <c r="O38" i="75" s="1"/>
  <c r="O25" i="59"/>
  <c r="O30" i="59" s="1"/>
  <c r="O25" i="82"/>
  <c r="O29" i="82" s="1"/>
  <c r="H25" i="21"/>
  <c r="F65" i="59"/>
  <c r="F64" i="59" s="1"/>
  <c r="F67" i="59" s="1"/>
  <c r="F68" i="59"/>
  <c r="F32" i="59" s="1"/>
  <c r="AB29" i="82"/>
  <c r="U5" i="50" s="1"/>
  <c r="AB63" i="82"/>
  <c r="AB61" i="82" s="1"/>
  <c r="AB64" i="82" s="1"/>
  <c r="E84" i="21"/>
  <c r="J15" i="21"/>
  <c r="E85" i="21" s="1"/>
  <c r="T36" i="26"/>
  <c r="T33" i="26" s="1"/>
  <c r="U98" i="75"/>
  <c r="E40" i="82"/>
  <c r="J47" i="21"/>
  <c r="T83" i="26" s="1"/>
  <c r="V47" i="21"/>
  <c r="AF83" i="26" s="1"/>
  <c r="AG83" i="26" s="1"/>
  <c r="AH83" i="26" s="1"/>
  <c r="AI83" i="26" s="1"/>
  <c r="AJ83" i="26" s="1"/>
  <c r="AK83" i="26" s="1"/>
  <c r="AL83" i="26" s="1"/>
  <c r="AM83" i="26" s="1"/>
  <c r="AN83" i="26" s="1"/>
  <c r="U12" i="20"/>
  <c r="U11" i="20" s="1"/>
  <c r="V30" i="70"/>
  <c r="AI9" i="20"/>
  <c r="E4" i="35"/>
  <c r="F6" i="55" s="1"/>
  <c r="Q30" i="21"/>
  <c r="P30" i="21"/>
  <c r="O30" i="21"/>
  <c r="O28" i="21" s="1"/>
  <c r="N30" i="21"/>
  <c r="N28" i="21" s="1"/>
  <c r="M30" i="21"/>
  <c r="M28" i="21" s="1"/>
  <c r="L30" i="21"/>
  <c r="L28" i="21" s="1"/>
  <c r="K30" i="21"/>
  <c r="K28" i="21" s="1"/>
  <c r="J30" i="21"/>
  <c r="I30" i="21"/>
  <c r="I28" i="21" s="1"/>
  <c r="H30" i="21"/>
  <c r="G30" i="21"/>
  <c r="G28" i="21" s="1"/>
  <c r="V30" i="21"/>
  <c r="V28" i="21" s="1"/>
  <c r="AF81" i="26" s="1"/>
  <c r="F30" i="21"/>
  <c r="U30" i="21"/>
  <c r="E30" i="21"/>
  <c r="E28" i="21" s="1"/>
  <c r="T30" i="21"/>
  <c r="T28" i="21" s="1"/>
  <c r="AD81" i="26" s="1"/>
  <c r="S30" i="21"/>
  <c r="R30" i="21"/>
  <c r="R28" i="21" s="1"/>
  <c r="AB81" i="26" s="1"/>
  <c r="O35" i="26"/>
  <c r="W9" i="21"/>
  <c r="AA16" i="30"/>
  <c r="AA14" i="30"/>
  <c r="AA12" i="30" s="1"/>
  <c r="U28" i="21"/>
  <c r="AE81" i="26" s="1"/>
  <c r="W4" i="50"/>
  <c r="AD63" i="82"/>
  <c r="AD61" i="82" s="1"/>
  <c r="AD64" i="82" s="1"/>
  <c r="I25" i="21"/>
  <c r="AD66" i="59"/>
  <c r="AD64" i="59" s="1"/>
  <c r="AD67" i="59" s="1"/>
  <c r="T52" i="88"/>
  <c r="S52" i="88"/>
  <c r="R52" i="88"/>
  <c r="Q52" i="88"/>
  <c r="H108" i="55"/>
  <c r="H73" i="55"/>
  <c r="C74" i="21"/>
  <c r="W4" i="21"/>
  <c r="M23" i="75"/>
  <c r="M28" i="75" s="1"/>
  <c r="M33" i="75"/>
  <c r="M38" i="75" s="1"/>
  <c r="M25" i="59"/>
  <c r="M30" i="59" s="1"/>
  <c r="M25" i="82"/>
  <c r="M29" i="82" s="1"/>
  <c r="W40" i="75"/>
  <c r="W31" i="59"/>
  <c r="W30" i="82"/>
  <c r="F98" i="75"/>
  <c r="F97" i="75" s="1"/>
  <c r="F100" i="75" s="1"/>
  <c r="F27" i="75"/>
  <c r="F26" i="75" s="1"/>
  <c r="F29" i="75" s="1"/>
  <c r="F101" i="75"/>
  <c r="F39" i="75" s="1"/>
  <c r="AB38" i="75"/>
  <c r="I22" i="21"/>
  <c r="S41" i="30" s="1"/>
  <c r="S40" i="30"/>
  <c r="E87" i="21"/>
  <c r="E41" i="59"/>
  <c r="K47" i="21"/>
  <c r="U83" i="26" s="1"/>
  <c r="Q83" i="26"/>
  <c r="O32" i="75"/>
  <c r="O24" i="59"/>
  <c r="O24" i="82"/>
  <c r="O33" i="82" s="1"/>
  <c r="F134" i="55"/>
  <c r="F100" i="55"/>
  <c r="AE26" i="59"/>
  <c r="AE66" i="59" s="1"/>
  <c r="AF51" i="59"/>
  <c r="K40" i="82"/>
  <c r="AD83" i="30"/>
  <c r="U47" i="30"/>
  <c r="AD84" i="30" s="1"/>
  <c r="F41" i="59"/>
  <c r="G40" i="82"/>
  <c r="E48" i="75"/>
  <c r="AC29" i="82"/>
  <c r="V5" i="50" s="1"/>
  <c r="AC63" i="82"/>
  <c r="AC61" i="82" s="1"/>
  <c r="AC64" i="82" s="1"/>
  <c r="AC33" i="82"/>
  <c r="AD34" i="82" s="1"/>
  <c r="S27" i="75"/>
  <c r="S26" i="75" s="1"/>
  <c r="S29" i="75" s="1"/>
  <c r="S98" i="75"/>
  <c r="W7" i="21"/>
  <c r="K101" i="55"/>
  <c r="K135" i="55"/>
  <c r="K25" i="21"/>
  <c r="U37" i="30"/>
  <c r="AD74" i="30" s="1"/>
  <c r="AA29" i="82"/>
  <c r="T5" i="50" s="1"/>
  <c r="K22" i="21"/>
  <c r="U41" i="30" s="1"/>
  <c r="AD78" i="30" s="1"/>
  <c r="U40" i="30"/>
  <c r="AD77" i="30" s="1"/>
  <c r="N63" i="82"/>
  <c r="N61" i="82" s="1"/>
  <c r="N64" i="82" s="1"/>
  <c r="N31" i="82" s="1"/>
  <c r="P28" i="21"/>
  <c r="Z81" i="26" s="1"/>
  <c r="Q28" i="21"/>
  <c r="AA81" i="26" s="1"/>
  <c r="E108" i="55"/>
  <c r="E73" i="55"/>
  <c r="J22" i="21"/>
  <c r="T41" i="30" s="1"/>
  <c r="T40" i="30"/>
  <c r="X68" i="83"/>
  <c r="W67" i="83"/>
  <c r="AI15" i="25"/>
  <c r="AI14" i="25" s="1"/>
  <c r="AI11" i="25" s="1"/>
  <c r="AI20" i="25" s="1"/>
  <c r="AJ13" i="25"/>
  <c r="Z104" i="75"/>
  <c r="Z106" i="75" s="1"/>
  <c r="Z105" i="75" s="1"/>
  <c r="G48" i="75"/>
  <c r="AC30" i="59"/>
  <c r="AC66" i="59"/>
  <c r="AC64" i="59" s="1"/>
  <c r="AC67" i="59" s="1"/>
  <c r="J28" i="21"/>
  <c r="J108" i="55"/>
  <c r="J73" i="55"/>
  <c r="AK45" i="70"/>
  <c r="AK20" i="70" s="1"/>
  <c r="AK18" i="70"/>
  <c r="L25" i="21"/>
  <c r="Z14" i="30"/>
  <c r="Z12" i="30" s="1"/>
  <c r="Z16" i="30"/>
  <c r="AA30" i="59"/>
  <c r="J31" i="83"/>
  <c r="J33" i="83" s="1"/>
  <c r="K66" i="83"/>
  <c r="C15" i="21"/>
  <c r="W14" i="21"/>
  <c r="C84" i="21"/>
  <c r="F15" i="21"/>
  <c r="D85" i="21" s="1"/>
  <c r="D84" i="21"/>
  <c r="P36" i="26"/>
  <c r="P33" i="26" s="1"/>
  <c r="AI32" i="88"/>
  <c r="I134" i="55"/>
  <c r="I100" i="55"/>
  <c r="M47" i="21"/>
  <c r="W83" i="26" s="1"/>
  <c r="Y14" i="30"/>
  <c r="Y12" i="30" s="1"/>
  <c r="Y16" i="30"/>
  <c r="AC38" i="75"/>
  <c r="G22" i="21"/>
  <c r="Q41" i="30" s="1"/>
  <c r="Q40" i="30"/>
  <c r="K133" i="55"/>
  <c r="K99" i="55"/>
  <c r="W3" i="50"/>
  <c r="D87" i="21"/>
  <c r="W103" i="75"/>
  <c r="V102" i="75"/>
  <c r="D127" i="55"/>
  <c r="D92" i="55"/>
  <c r="H134" i="55"/>
  <c r="H100" i="55"/>
  <c r="K15" i="82"/>
  <c r="H22" i="21"/>
  <c r="R41" i="30" s="1"/>
  <c r="R40" i="30"/>
  <c r="AB66" i="59"/>
  <c r="AB64" i="59" s="1"/>
  <c r="AB67" i="59" s="1"/>
  <c r="AD26" i="83"/>
  <c r="AE50" i="83"/>
  <c r="AG18" i="82"/>
  <c r="D12" i="35"/>
  <c r="E16" i="55" s="1"/>
  <c r="AG17" i="59"/>
  <c r="AH10" i="33"/>
  <c r="AK25" i="70"/>
  <c r="G4" i="71" s="1"/>
  <c r="I32" i="55"/>
  <c r="AA38" i="75"/>
  <c r="N41" i="59"/>
  <c r="J41" i="59"/>
  <c r="N33" i="82"/>
  <c r="G62" i="82"/>
  <c r="G61" i="82" s="1"/>
  <c r="G64" i="82" s="1"/>
  <c r="G31" i="82" s="1"/>
  <c r="G33" i="82"/>
  <c r="R14" i="75"/>
  <c r="AH33" i="88"/>
  <c r="AI13" i="88"/>
  <c r="AD79" i="30"/>
  <c r="U25" i="30"/>
  <c r="AD62" i="30" s="1"/>
  <c r="D77" i="55"/>
  <c r="D112" i="55"/>
  <c r="W16" i="59"/>
  <c r="W14" i="59" s="1"/>
  <c r="W65" i="59" s="1"/>
  <c r="W14" i="75"/>
  <c r="W17" i="82"/>
  <c r="W15" i="82" s="1"/>
  <c r="X21" i="25"/>
  <c r="W24" i="75"/>
  <c r="W34" i="75"/>
  <c r="X85" i="75"/>
  <c r="N40" i="82"/>
  <c r="F87" i="21"/>
  <c r="D19" i="55"/>
  <c r="I26" i="75"/>
  <c r="I29" i="75" s="1"/>
  <c r="N99" i="75"/>
  <c r="N97" i="75" s="1"/>
  <c r="N100" i="75" s="1"/>
  <c r="J15" i="82"/>
  <c r="Q30" i="38"/>
  <c r="S16" i="30"/>
  <c r="S14" i="30"/>
  <c r="S12" i="30" s="1"/>
  <c r="Q54" i="88"/>
  <c r="T54" i="88"/>
  <c r="S54" i="88"/>
  <c r="R54" i="88"/>
  <c r="D65" i="59"/>
  <c r="D64" i="59" s="1"/>
  <c r="D67" i="59" s="1"/>
  <c r="D68" i="59"/>
  <c r="D32" i="59" s="1"/>
  <c r="Y30" i="59"/>
  <c r="Y66" i="59"/>
  <c r="D19" i="35"/>
  <c r="E23" i="55" s="1"/>
  <c r="O62" i="82"/>
  <c r="AF63" i="82"/>
  <c r="Y4" i="50"/>
  <c r="AQ9" i="88"/>
  <c r="E78" i="55"/>
  <c r="E113" i="55"/>
  <c r="S32" i="38"/>
  <c r="O31" i="38"/>
  <c r="Q31" i="38" s="1"/>
  <c r="P42" i="38"/>
  <c r="T43" i="38"/>
  <c r="L19" i="38"/>
  <c r="N19" i="38" s="1"/>
  <c r="S20" i="38"/>
  <c r="L20" i="38" s="1"/>
  <c r="N20" i="38" s="1"/>
  <c r="U52" i="21"/>
  <c r="U47" i="21" s="1"/>
  <c r="AE83" i="26" s="1"/>
  <c r="T52" i="21"/>
  <c r="T47" i="21" s="1"/>
  <c r="AD83" i="26" s="1"/>
  <c r="S52" i="21"/>
  <c r="S47" i="21" s="1"/>
  <c r="AC83" i="26" s="1"/>
  <c r="R52" i="21"/>
  <c r="Q52" i="21"/>
  <c r="Q47" i="21" s="1"/>
  <c r="AA83" i="26" s="1"/>
  <c r="P52" i="21"/>
  <c r="P47" i="21" s="1"/>
  <c r="Z83" i="26" s="1"/>
  <c r="Z73" i="26" s="1"/>
  <c r="Z65" i="20" s="1"/>
  <c r="Z66" i="20" s="1"/>
  <c r="O52" i="21"/>
  <c r="O47" i="21" s="1"/>
  <c r="Y83" i="26" s="1"/>
  <c r="Y73" i="26" s="1"/>
  <c r="Y65" i="20" s="1"/>
  <c r="Y66" i="20" s="1"/>
  <c r="N52" i="21"/>
  <c r="N47" i="21" s="1"/>
  <c r="X83" i="26" s="1"/>
  <c r="M52" i="21"/>
  <c r="L52" i="21"/>
  <c r="L47" i="21" s="1"/>
  <c r="V83" i="26" s="1"/>
  <c r="K52" i="21"/>
  <c r="D78" i="21"/>
  <c r="J52" i="21"/>
  <c r="I52" i="21"/>
  <c r="H52" i="21"/>
  <c r="V52" i="21"/>
  <c r="V62" i="82"/>
  <c r="I5" i="84"/>
  <c r="H62" i="82"/>
  <c r="H61" i="82" s="1"/>
  <c r="H64" i="82" s="1"/>
  <c r="H31" i="82" s="1"/>
  <c r="H33" i="82"/>
  <c r="I73" i="38"/>
  <c r="I71" i="38"/>
  <c r="I97" i="75"/>
  <c r="I100" i="75" s="1"/>
  <c r="I109" i="75" s="1"/>
  <c r="I37" i="75" s="1"/>
  <c r="I41" i="75" s="1"/>
  <c r="X4" i="50"/>
  <c r="AE63" i="82"/>
  <c r="AE61" i="82" s="1"/>
  <c r="AE64" i="82" s="1"/>
  <c r="AE33" i="82"/>
  <c r="AF34" i="82" s="1"/>
  <c r="AA40" i="75"/>
  <c r="AA31" i="59"/>
  <c r="AA66" i="59" s="1"/>
  <c r="AA64" i="59" s="1"/>
  <c r="AA67" i="59" s="1"/>
  <c r="AA30" i="82"/>
  <c r="AA63" i="82" s="1"/>
  <c r="AA61" i="82" s="1"/>
  <c r="AA64" i="82" s="1"/>
  <c r="AG25" i="70"/>
  <c r="C4" i="71" s="1"/>
  <c r="E32" i="55"/>
  <c r="AG31" i="70"/>
  <c r="AH31" i="70" s="1"/>
  <c r="AI31" i="70" s="1"/>
  <c r="AJ31" i="70" s="1"/>
  <c r="AK31" i="70" s="1"/>
  <c r="AL31" i="70" s="1"/>
  <c r="AM31" i="70" s="1"/>
  <c r="AN31" i="70" s="1"/>
  <c r="D108" i="55"/>
  <c r="D73" i="55"/>
  <c r="N18" i="38"/>
  <c r="N46" i="38" s="1"/>
  <c r="N47" i="38" s="1"/>
  <c r="L46" i="38"/>
  <c r="L47" i="38" s="1"/>
  <c r="R47" i="21"/>
  <c r="AB83" i="26" s="1"/>
  <c r="AH38" i="20"/>
  <c r="AG39" i="20"/>
  <c r="D5" i="35"/>
  <c r="E8" i="55" s="1"/>
  <c r="O98" i="75"/>
  <c r="O27" i="75"/>
  <c r="N17" i="26"/>
  <c r="AO17" i="26" s="1"/>
  <c r="AO37" i="26"/>
  <c r="AP16" i="26" s="1"/>
  <c r="F22" i="21"/>
  <c r="P41" i="30" s="1"/>
  <c r="P40" i="30"/>
  <c r="V33" i="26"/>
  <c r="V13" i="26"/>
  <c r="AG14" i="59"/>
  <c r="AG15" i="82"/>
  <c r="D8" i="35"/>
  <c r="AA33" i="82"/>
  <c r="AB34" i="82" s="1"/>
  <c r="Q26" i="75"/>
  <c r="Q29" i="75" s="1"/>
  <c r="Z30" i="59"/>
  <c r="Z66" i="59"/>
  <c r="Z64" i="59" s="1"/>
  <c r="Z67" i="59" s="1"/>
  <c r="J14" i="59"/>
  <c r="J65" i="59" s="1"/>
  <c r="J64" i="59" s="1"/>
  <c r="J67" i="59" s="1"/>
  <c r="K48" i="75"/>
  <c r="R64" i="59" l="1"/>
  <c r="R67" i="59" s="1"/>
  <c r="AH30" i="88"/>
  <c r="E22" i="35" s="1"/>
  <c r="F26" i="55" s="1"/>
  <c r="T26" i="75"/>
  <c r="T29" i="75" s="1"/>
  <c r="T98" i="75"/>
  <c r="J98" i="75"/>
  <c r="J97" i="75" s="1"/>
  <c r="J100" i="75" s="1"/>
  <c r="J109" i="75" s="1"/>
  <c r="J37" i="75" s="1"/>
  <c r="D82" i="55"/>
  <c r="H41" i="75"/>
  <c r="S97" i="75"/>
  <c r="S100" i="75" s="1"/>
  <c r="E33" i="59"/>
  <c r="L40" i="88"/>
  <c r="M40" i="88" s="1"/>
  <c r="K77" i="88"/>
  <c r="K84" i="88" s="1"/>
  <c r="AG40" i="20"/>
  <c r="E9" i="55" s="1"/>
  <c r="E112" i="55" s="1"/>
  <c r="J68" i="59"/>
  <c r="J76" i="59" s="1"/>
  <c r="J29" i="59" s="1"/>
  <c r="I32" i="59"/>
  <c r="I33" i="59" s="1"/>
  <c r="AJ12" i="30"/>
  <c r="AI11" i="30"/>
  <c r="AI47" i="30" s="1"/>
  <c r="F6" i="35" s="1"/>
  <c r="G10" i="55" s="1"/>
  <c r="W56" i="88"/>
  <c r="I76" i="59"/>
  <c r="I29" i="59" s="1"/>
  <c r="J39" i="75"/>
  <c r="H32" i="59"/>
  <c r="V70" i="59"/>
  <c r="V69" i="59" s="1"/>
  <c r="U70" i="59"/>
  <c r="U69" i="59" s="1"/>
  <c r="W70" i="59"/>
  <c r="AG31" i="88"/>
  <c r="H76" i="59"/>
  <c r="H29" i="59" s="1"/>
  <c r="H34" i="59" s="1"/>
  <c r="G76" i="59"/>
  <c r="G29" i="59" s="1"/>
  <c r="G34" i="59" s="1"/>
  <c r="N55" i="88"/>
  <c r="O55" i="88"/>
  <c r="M55" i="88"/>
  <c r="J76" i="88"/>
  <c r="J83" i="88" s="1"/>
  <c r="J44" i="88"/>
  <c r="X55" i="88" s="1"/>
  <c r="E128" i="55"/>
  <c r="E93" i="55"/>
  <c r="AI15" i="88"/>
  <c r="AI9" i="88" s="1"/>
  <c r="AI19" i="88"/>
  <c r="E21" i="35"/>
  <c r="F25" i="55" s="1"/>
  <c r="V33" i="82"/>
  <c r="R33" i="82"/>
  <c r="R61" i="82"/>
  <c r="R64" i="82" s="1"/>
  <c r="R31" i="82" s="1"/>
  <c r="M63" i="82"/>
  <c r="M61" i="82" s="1"/>
  <c r="M64" i="82" s="1"/>
  <c r="M31" i="82" s="1"/>
  <c r="Q33" i="82"/>
  <c r="Q61" i="82"/>
  <c r="Q64" i="82" s="1"/>
  <c r="Q31" i="82" s="1"/>
  <c r="AI13" i="49"/>
  <c r="AI12" i="49" s="1"/>
  <c r="U39" i="59"/>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U46" i="75"/>
  <c r="V46" i="75" s="1"/>
  <c r="W46" i="75" s="1"/>
  <c r="X46" i="75" s="1"/>
  <c r="Y46" i="75" s="1"/>
  <c r="Z46" i="75" s="1"/>
  <c r="AA46" i="75" s="1"/>
  <c r="AB46" i="75" s="1"/>
  <c r="AC46" i="75" s="1"/>
  <c r="U38" i="82"/>
  <c r="V38" i="82" s="1"/>
  <c r="W38" i="82" s="1"/>
  <c r="X38" i="82" s="1"/>
  <c r="Y38" i="82" s="1"/>
  <c r="Z38" i="82" s="1"/>
  <c r="AA38" i="82" s="1"/>
  <c r="AB38" i="82" s="1"/>
  <c r="AC38" i="82" s="1"/>
  <c r="AD38" i="82" s="1"/>
  <c r="AE38" i="82" s="1"/>
  <c r="AF38" i="82" s="1"/>
  <c r="C18" i="35" s="1"/>
  <c r="AJ16" i="30"/>
  <c r="AK18" i="30"/>
  <c r="AB73" i="26"/>
  <c r="AB65" i="20" s="1"/>
  <c r="AB66" i="20" s="1"/>
  <c r="AO36" i="26"/>
  <c r="AP14" i="26" s="1"/>
  <c r="E12" i="55"/>
  <c r="E80" i="55" s="1"/>
  <c r="AS33" i="80"/>
  <c r="Y41" i="20"/>
  <c r="AE65" i="82"/>
  <c r="AF64" i="82"/>
  <c r="AE31" i="82"/>
  <c r="F6" i="84" s="1"/>
  <c r="AH25" i="88"/>
  <c r="E20" i="35"/>
  <c r="F24" i="55" s="1"/>
  <c r="AH31" i="88"/>
  <c r="AA31" i="82"/>
  <c r="AI14" i="59"/>
  <c r="AI15" i="82"/>
  <c r="F8" i="35"/>
  <c r="G12" i="55" s="1"/>
  <c r="AB31" i="82"/>
  <c r="Z41" i="20"/>
  <c r="AJ69" i="82"/>
  <c r="AJ67" i="82" s="1"/>
  <c r="AJ66" i="82" s="1"/>
  <c r="AI19" i="82"/>
  <c r="M83" i="82"/>
  <c r="AA104" i="75"/>
  <c r="AA106" i="75" s="1"/>
  <c r="AA105" i="75" s="1"/>
  <c r="AA56" i="88"/>
  <c r="Z56" i="88"/>
  <c r="AB56" i="88"/>
  <c r="Y56" i="88"/>
  <c r="D122" i="55"/>
  <c r="D87" i="55"/>
  <c r="AJ32" i="88"/>
  <c r="AO9" i="88"/>
  <c r="AA73" i="26"/>
  <c r="O26" i="75"/>
  <c r="O29" i="75" s="1"/>
  <c r="S33" i="38"/>
  <c r="O32" i="38"/>
  <c r="Q32" i="38" s="1"/>
  <c r="S44" i="30"/>
  <c r="I26" i="21"/>
  <c r="AM139" i="88"/>
  <c r="AL26" i="88"/>
  <c r="AI38" i="20"/>
  <c r="AH40" i="20"/>
  <c r="F9" i="55" s="1"/>
  <c r="AH39" i="20"/>
  <c r="E5" i="35"/>
  <c r="F8" i="55" s="1"/>
  <c r="K103" i="55"/>
  <c r="K137" i="55"/>
  <c r="AF26" i="59"/>
  <c r="AG51" i="59"/>
  <c r="E135" i="55"/>
  <c r="E101" i="55"/>
  <c r="AI10" i="33"/>
  <c r="AH18" i="82"/>
  <c r="E12" i="35"/>
  <c r="F16" i="55" s="1"/>
  <c r="AH17" i="59"/>
  <c r="W15" i="21"/>
  <c r="C85" i="21"/>
  <c r="C87" i="21" s="1"/>
  <c r="F91" i="55"/>
  <c r="F126" i="55"/>
  <c r="W47" i="21"/>
  <c r="F74" i="55"/>
  <c r="F109" i="55"/>
  <c r="AJ141" i="88"/>
  <c r="AI29" i="88"/>
  <c r="AI24" i="88" s="1"/>
  <c r="AJ142" i="88"/>
  <c r="AI30" i="88"/>
  <c r="F22" i="35" s="1"/>
  <c r="G26" i="55" s="1"/>
  <c r="M66" i="59"/>
  <c r="M64" i="59" s="1"/>
  <c r="M67" i="59" s="1"/>
  <c r="T30" i="59"/>
  <c r="T66" i="59"/>
  <c r="T64" i="59" s="1"/>
  <c r="T67" i="59" s="1"/>
  <c r="F94" i="55"/>
  <c r="F129" i="55"/>
  <c r="F76" i="59"/>
  <c r="F29" i="59" s="1"/>
  <c r="F34" i="59" s="1"/>
  <c r="X24" i="75"/>
  <c r="X28" i="75" s="1"/>
  <c r="X26" i="75" s="1"/>
  <c r="Y85" i="75"/>
  <c r="X34" i="75"/>
  <c r="X99" i="75" s="1"/>
  <c r="K76" i="88"/>
  <c r="K83" i="88" s="1"/>
  <c r="K44" i="88"/>
  <c r="L39" i="88"/>
  <c r="V12" i="20"/>
  <c r="V11" i="20" s="1"/>
  <c r="W30" i="70"/>
  <c r="R44" i="30"/>
  <c r="H26" i="21"/>
  <c r="V63" i="82"/>
  <c r="V61" i="82" s="1"/>
  <c r="V64" i="82" s="1"/>
  <c r="G25" i="21"/>
  <c r="AI33" i="88"/>
  <c r="AJ13" i="88"/>
  <c r="AD58" i="30"/>
  <c r="U14" i="30"/>
  <c r="U16" i="30"/>
  <c r="AD53" i="30" s="1"/>
  <c r="U44" i="30"/>
  <c r="AD81" i="30" s="1"/>
  <c r="K26" i="21"/>
  <c r="T38" i="75"/>
  <c r="T99" i="75"/>
  <c r="T97" i="75" s="1"/>
  <c r="T100" i="75" s="1"/>
  <c r="F80" i="55"/>
  <c r="F115" i="55"/>
  <c r="AR9" i="88"/>
  <c r="R98" i="75"/>
  <c r="R97" i="75" s="1"/>
  <c r="R100" i="75" s="1"/>
  <c r="R27" i="75"/>
  <c r="R26" i="75" s="1"/>
  <c r="R29" i="75" s="1"/>
  <c r="W102" i="75"/>
  <c r="X103" i="75"/>
  <c r="U81" i="26"/>
  <c r="AO13" i="26"/>
  <c r="P44" i="30"/>
  <c r="F26" i="21"/>
  <c r="E111" i="55"/>
  <c r="E76" i="55"/>
  <c r="F78" i="55"/>
  <c r="F113" i="55"/>
  <c r="E25" i="21"/>
  <c r="D124" i="55"/>
  <c r="D89" i="55"/>
  <c r="V66" i="59"/>
  <c r="V64" i="59" s="1"/>
  <c r="V67" i="59" s="1"/>
  <c r="G109" i="75"/>
  <c r="G37" i="75" s="1"/>
  <c r="G41" i="75" s="1"/>
  <c r="AE34" i="82"/>
  <c r="X3" i="50"/>
  <c r="AH69" i="83"/>
  <c r="AH71" i="83" s="1"/>
  <c r="AH70" i="83" s="1"/>
  <c r="AD64" i="83"/>
  <c r="N41" i="30"/>
  <c r="D25" i="21"/>
  <c r="AK26" i="70"/>
  <c r="G5" i="71" s="1"/>
  <c r="I33" i="55"/>
  <c r="V26" i="75"/>
  <c r="V29" i="75" s="1"/>
  <c r="J25" i="21"/>
  <c r="D109" i="75"/>
  <c r="D37" i="75" s="1"/>
  <c r="D41" i="75" s="1"/>
  <c r="K136" i="55"/>
  <c r="K102" i="55"/>
  <c r="U66" i="59"/>
  <c r="U64" i="59" s="1"/>
  <c r="U67" i="59" s="1"/>
  <c r="Z31" i="82"/>
  <c r="W81" i="26"/>
  <c r="E127" i="55"/>
  <c r="E92" i="55"/>
  <c r="K31" i="83"/>
  <c r="L66" i="83"/>
  <c r="K74" i="83"/>
  <c r="K29" i="83" s="1"/>
  <c r="AI11" i="26"/>
  <c r="AJ20" i="26"/>
  <c r="AI78" i="26"/>
  <c r="AF50" i="83"/>
  <c r="AE26" i="83"/>
  <c r="W52" i="88"/>
  <c r="X52" i="88"/>
  <c r="V52" i="88"/>
  <c r="U52" i="88"/>
  <c r="V81" i="26"/>
  <c r="X16" i="59"/>
  <c r="X17" i="82"/>
  <c r="Y21" i="25"/>
  <c r="X20" i="25"/>
  <c r="K74" i="88"/>
  <c r="K81" i="88" s="1"/>
  <c r="K41" i="88"/>
  <c r="L37" i="88"/>
  <c r="W62" i="82"/>
  <c r="W61" i="82" s="1"/>
  <c r="W64" i="82" s="1"/>
  <c r="AA65" i="82" s="1"/>
  <c r="W33" i="82"/>
  <c r="M97" i="75"/>
  <c r="M100" i="75" s="1"/>
  <c r="X14" i="74"/>
  <c r="X13" i="74" s="1"/>
  <c r="X11" i="74" s="1"/>
  <c r="X19" i="74" s="1"/>
  <c r="Y12" i="74"/>
  <c r="AC31" i="82"/>
  <c r="U99" i="75"/>
  <c r="U97" i="75" s="1"/>
  <c r="U100" i="75" s="1"/>
  <c r="M73" i="26"/>
  <c r="M65" i="20" s="1"/>
  <c r="M66" i="20" s="1"/>
  <c r="AC73" i="26"/>
  <c r="X67" i="83"/>
  <c r="Y68" i="83"/>
  <c r="AG81" i="26"/>
  <c r="AF73" i="26"/>
  <c r="C2" i="35" s="1"/>
  <c r="D76" i="59"/>
  <c r="D29" i="59" s="1"/>
  <c r="D34" i="59" s="1"/>
  <c r="L38" i="88"/>
  <c r="K75" i="88"/>
  <c r="K82" i="88" s="1"/>
  <c r="K43" i="88"/>
  <c r="O33" i="26"/>
  <c r="AO33" i="26" s="1"/>
  <c r="AO35" i="26"/>
  <c r="AP13" i="26" s="1"/>
  <c r="T44" i="38"/>
  <c r="P43" i="38"/>
  <c r="R43" i="38" s="1"/>
  <c r="E126" i="55"/>
  <c r="E91" i="55"/>
  <c r="O63" i="82"/>
  <c r="O61" i="82" s="1"/>
  <c r="O64" i="82" s="1"/>
  <c r="O31" i="82" s="1"/>
  <c r="V42" i="75"/>
  <c r="W66" i="59"/>
  <c r="W64" i="59" s="1"/>
  <c r="W67" i="59" s="1"/>
  <c r="T63" i="82"/>
  <c r="T61" i="82" s="1"/>
  <c r="T64" i="82" s="1"/>
  <c r="T33" i="82"/>
  <c r="AJ48" i="82"/>
  <c r="AI26" i="82"/>
  <c r="AI63" i="82" s="1"/>
  <c r="P63" i="82"/>
  <c r="P61" i="82" s="1"/>
  <c r="P64" i="82" s="1"/>
  <c r="P31" i="82" s="1"/>
  <c r="P33" i="82"/>
  <c r="AJ9" i="20"/>
  <c r="F4" i="35"/>
  <c r="G6" i="55" s="1"/>
  <c r="AJ28" i="88"/>
  <c r="AK140" i="88"/>
  <c r="E119" i="55"/>
  <c r="E84" i="55"/>
  <c r="V44" i="30"/>
  <c r="L26" i="21"/>
  <c r="O41" i="20"/>
  <c r="M26" i="75"/>
  <c r="M29" i="75" s="1"/>
  <c r="P27" i="26"/>
  <c r="Q28" i="26"/>
  <c r="P76" i="26"/>
  <c r="P15" i="26"/>
  <c r="V54" i="88"/>
  <c r="X54" i="88"/>
  <c r="W54" i="88"/>
  <c r="U54" i="88"/>
  <c r="V97" i="75"/>
  <c r="V100" i="75" s="1"/>
  <c r="AK27" i="70"/>
  <c r="G6" i="71" s="1"/>
  <c r="I34" i="55"/>
  <c r="U63" i="82"/>
  <c r="U61" i="82" s="1"/>
  <c r="U64" i="82" s="1"/>
  <c r="U33" i="82"/>
  <c r="AH71" i="59"/>
  <c r="AH73" i="59" s="1"/>
  <c r="AH72" i="59" s="1"/>
  <c r="AC34" i="82"/>
  <c r="V3" i="50"/>
  <c r="F109" i="75"/>
  <c r="F37" i="75" s="1"/>
  <c r="F41" i="75" s="1"/>
  <c r="U26" i="75"/>
  <c r="U29" i="75" s="1"/>
  <c r="N20" i="26"/>
  <c r="N78" i="26" s="1"/>
  <c r="N73" i="26" s="1"/>
  <c r="N65" i="20" s="1"/>
  <c r="N66" i="20" s="1"/>
  <c r="R42" i="38"/>
  <c r="J33" i="82"/>
  <c r="J62" i="82"/>
  <c r="J61" i="82" s="1"/>
  <c r="J64" i="82" s="1"/>
  <c r="J31" i="82" s="1"/>
  <c r="I101" i="55"/>
  <c r="I135" i="55"/>
  <c r="K33" i="82"/>
  <c r="K62" i="82"/>
  <c r="K61" i="82" s="1"/>
  <c r="K64" i="82" s="1"/>
  <c r="K31" i="82" s="1"/>
  <c r="L101" i="75"/>
  <c r="K39" i="75"/>
  <c r="O66" i="59"/>
  <c r="O64" i="59" s="1"/>
  <c r="O67" i="59" s="1"/>
  <c r="AD73" i="26"/>
  <c r="W99" i="75"/>
  <c r="AG27" i="70"/>
  <c r="C6" i="71" s="1"/>
  <c r="E34" i="55"/>
  <c r="S33" i="82"/>
  <c r="AE73" i="26"/>
  <c r="AJ15" i="25"/>
  <c r="AJ14" i="25" s="1"/>
  <c r="AJ11" i="25" s="1"/>
  <c r="AJ20" i="25" s="1"/>
  <c r="AK13" i="25"/>
  <c r="AA34" i="82"/>
  <c r="T3" i="50"/>
  <c r="AD65" i="82"/>
  <c r="AD31" i="82"/>
  <c r="E6" i="84" s="1"/>
  <c r="O99" i="75"/>
  <c r="O97" i="75" s="1"/>
  <c r="O100" i="75" s="1"/>
  <c r="AK32" i="88"/>
  <c r="K109" i="75"/>
  <c r="K37" i="75" s="1"/>
  <c r="W28" i="75"/>
  <c r="W26" i="75" s="1"/>
  <c r="AG26" i="70"/>
  <c r="C5" i="71" s="1"/>
  <c r="E33" i="55"/>
  <c r="S61" i="82"/>
  <c r="S64" i="82" s="1"/>
  <c r="S31" i="82" s="1"/>
  <c r="L77" i="88" l="1"/>
  <c r="L84" i="88" s="1"/>
  <c r="G33" i="59"/>
  <c r="V55" i="88"/>
  <c r="U55" i="88"/>
  <c r="W55" i="88"/>
  <c r="E77" i="55"/>
  <c r="J41" i="75"/>
  <c r="K41" i="75"/>
  <c r="H33" i="59"/>
  <c r="E115" i="55"/>
  <c r="I34" i="59"/>
  <c r="AK12" i="30"/>
  <c r="AJ11" i="30"/>
  <c r="AJ47" i="30" s="1"/>
  <c r="G6" i="35" s="1"/>
  <c r="H10" i="55" s="1"/>
  <c r="U2" i="50"/>
  <c r="K68" i="59"/>
  <c r="J32" i="59"/>
  <c r="J33" i="59" s="1"/>
  <c r="X70" i="59"/>
  <c r="W69" i="59"/>
  <c r="AJ19" i="88"/>
  <c r="F21" i="35"/>
  <c r="G25" i="55" s="1"/>
  <c r="F128" i="55"/>
  <c r="F93" i="55"/>
  <c r="AJ15" i="88"/>
  <c r="AJ9" i="88" s="1"/>
  <c r="G19" i="35" s="1"/>
  <c r="H23" i="55" s="1"/>
  <c r="AJ13" i="49"/>
  <c r="AJ12" i="49" s="1"/>
  <c r="I21" i="49"/>
  <c r="I22" i="49" s="1"/>
  <c r="I23" i="49" s="1"/>
  <c r="AG30" i="49" s="1"/>
  <c r="AK16" i="30"/>
  <c r="AL18" i="30"/>
  <c r="AI71" i="59"/>
  <c r="AI73" i="59" s="1"/>
  <c r="AI72" i="59"/>
  <c r="M94" i="59" s="1"/>
  <c r="AI69" i="83"/>
  <c r="AI71" i="83" s="1"/>
  <c r="AI70" i="83" s="1"/>
  <c r="AK69" i="82"/>
  <c r="AK67" i="82" s="1"/>
  <c r="AK66" i="82" s="1"/>
  <c r="AJ19" i="82"/>
  <c r="AB104" i="75"/>
  <c r="AB106" i="75" s="1"/>
  <c r="AB105" i="75" s="1"/>
  <c r="AD65" i="20"/>
  <c r="AD66" i="20" s="1"/>
  <c r="W2" i="50"/>
  <c r="M101" i="75"/>
  <c r="M109" i="75" s="1"/>
  <c r="M37" i="75" s="1"/>
  <c r="L39" i="75"/>
  <c r="AL140" i="88"/>
  <c r="AK28" i="88"/>
  <c r="F33" i="59"/>
  <c r="F119" i="55"/>
  <c r="F84" i="55"/>
  <c r="AI39" i="20"/>
  <c r="AJ38" i="20"/>
  <c r="AI40" i="20"/>
  <c r="G9" i="55" s="1"/>
  <c r="F5" i="35"/>
  <c r="G8" i="55" s="1"/>
  <c r="AA65" i="20"/>
  <c r="AA66" i="20" s="1"/>
  <c r="T2" i="50"/>
  <c r="Q15" i="26"/>
  <c r="Q20" i="26" s="1"/>
  <c r="Q78" i="26" s="1"/>
  <c r="R28" i="26"/>
  <c r="Q27" i="26"/>
  <c r="Q76" i="26"/>
  <c r="W12" i="20"/>
  <c r="W11" i="20" s="1"/>
  <c r="X30" i="70"/>
  <c r="M84" i="82"/>
  <c r="M86" i="82"/>
  <c r="P20" i="26"/>
  <c r="P78" i="26" s="1"/>
  <c r="P73" i="26" s="1"/>
  <c r="P65" i="20" s="1"/>
  <c r="P66" i="20" s="1"/>
  <c r="AS9" i="88"/>
  <c r="E10" i="84"/>
  <c r="E11" i="84" s="1"/>
  <c r="E8" i="84"/>
  <c r="E9" i="84" s="1"/>
  <c r="W65" i="82"/>
  <c r="W31" i="82"/>
  <c r="V31" i="82"/>
  <c r="V65" i="82"/>
  <c r="F111" i="55"/>
  <c r="F76" i="55"/>
  <c r="AI18" i="82"/>
  <c r="AI17" i="59"/>
  <c r="AJ10" i="33"/>
  <c r="F12" i="35"/>
  <c r="G16" i="55" s="1"/>
  <c r="J22" i="33"/>
  <c r="Y67" i="83"/>
  <c r="Z68" i="83"/>
  <c r="AE64" i="83"/>
  <c r="AI25" i="88"/>
  <c r="F20" i="35"/>
  <c r="G24" i="55" s="1"/>
  <c r="T45" i="38"/>
  <c r="P45" i="38" s="1"/>
  <c r="R45" i="38" s="1"/>
  <c r="P44" i="38"/>
  <c r="R44" i="38" s="1"/>
  <c r="AF26" i="83"/>
  <c r="AG50" i="83"/>
  <c r="AK141" i="88"/>
  <c r="AJ29" i="88"/>
  <c r="AJ24" i="88" s="1"/>
  <c r="R46" i="38"/>
  <c r="R47" i="38" s="1"/>
  <c r="T44" i="30"/>
  <c r="J26" i="21"/>
  <c r="Y24" i="75"/>
  <c r="Y28" i="75" s="1"/>
  <c r="Y26" i="75" s="1"/>
  <c r="Y34" i="75"/>
  <c r="Y99" i="75" s="1"/>
  <c r="Z85" i="75"/>
  <c r="X15" i="59"/>
  <c r="X14" i="59" s="1"/>
  <c r="X65" i="59" s="1"/>
  <c r="X64" i="59" s="1"/>
  <c r="X67" i="59" s="1"/>
  <c r="X16" i="82"/>
  <c r="X15" i="82" s="1"/>
  <c r="T65" i="82"/>
  <c r="T31" i="82"/>
  <c r="L31" i="83"/>
  <c r="M66" i="83"/>
  <c r="L74" i="83"/>
  <c r="L29" i="83" s="1"/>
  <c r="O33" i="38"/>
  <c r="Q33" i="38" s="1"/>
  <c r="S34" i="38"/>
  <c r="L75" i="88"/>
  <c r="L82" i="88" s="1"/>
  <c r="L43" i="88"/>
  <c r="M38" i="88"/>
  <c r="X14" i="75"/>
  <c r="AG38" i="82"/>
  <c r="D22" i="55"/>
  <c r="F127" i="55"/>
  <c r="F92" i="55"/>
  <c r="AJ14" i="59"/>
  <c r="AJ15" i="82"/>
  <c r="G8" i="35"/>
  <c r="H12" i="55" s="1"/>
  <c r="AF65" i="20"/>
  <c r="AF66" i="20" s="1"/>
  <c r="D4" i="55"/>
  <c r="Y2" i="50"/>
  <c r="Z65" i="82"/>
  <c r="AL13" i="25"/>
  <c r="AK15" i="25"/>
  <c r="AK14" i="25" s="1"/>
  <c r="AK11" i="25" s="1"/>
  <c r="AK20" i="25" s="1"/>
  <c r="G74" i="55"/>
  <c r="G109" i="55"/>
  <c r="I136" i="55"/>
  <c r="I102" i="55"/>
  <c r="AB55" i="88"/>
  <c r="Z55" i="88"/>
  <c r="AA55" i="88"/>
  <c r="Y55" i="88"/>
  <c r="AB41" i="20"/>
  <c r="U65" i="82"/>
  <c r="U31" i="82"/>
  <c r="AK9" i="20"/>
  <c r="G4" i="35"/>
  <c r="H6" i="55" s="1"/>
  <c r="G94" i="55"/>
  <c r="G129" i="55"/>
  <c r="I137" i="55"/>
  <c r="I103" i="55"/>
  <c r="N44" i="30"/>
  <c r="D26" i="21"/>
  <c r="AJ30" i="88"/>
  <c r="G22" i="35" s="1"/>
  <c r="H26" i="55" s="1"/>
  <c r="AK142" i="88"/>
  <c r="AC65" i="20"/>
  <c r="AC66" i="20" s="1"/>
  <c r="V2" i="50"/>
  <c r="AE65" i="20"/>
  <c r="AE66" i="20" s="1"/>
  <c r="X2" i="50"/>
  <c r="Z52" i="88"/>
  <c r="Y52" i="88"/>
  <c r="AB52" i="88"/>
  <c r="AA52" i="88"/>
  <c r="AD51" i="30"/>
  <c r="U12" i="30"/>
  <c r="AD50" i="30" s="1"/>
  <c r="E137" i="55"/>
  <c r="E103" i="55"/>
  <c r="N41" i="20"/>
  <c r="AJ11" i="26"/>
  <c r="AK20" i="26"/>
  <c r="AJ78" i="26"/>
  <c r="AK13" i="88"/>
  <c r="AJ33" i="88"/>
  <c r="AG26" i="59"/>
  <c r="AH51" i="59"/>
  <c r="G80" i="55"/>
  <c r="G115" i="55"/>
  <c r="AA54" i="88"/>
  <c r="Y54" i="88"/>
  <c r="AB54" i="88"/>
  <c r="Z54" i="88"/>
  <c r="Y16" i="59"/>
  <c r="Y17" i="82"/>
  <c r="Y20" i="25"/>
  <c r="Q44" i="30"/>
  <c r="G26" i="21"/>
  <c r="K33" i="83"/>
  <c r="Y14" i="74"/>
  <c r="Y13" i="74" s="1"/>
  <c r="Y11" i="74" s="1"/>
  <c r="Y19" i="74" s="1"/>
  <c r="Z12" i="74"/>
  <c r="D33" i="59"/>
  <c r="F112" i="55"/>
  <c r="F77" i="55"/>
  <c r="L76" i="88"/>
  <c r="L83" i="88" s="1"/>
  <c r="L44" i="88"/>
  <c r="M39" i="88"/>
  <c r="AH81" i="26"/>
  <c r="AG73" i="26"/>
  <c r="O44" i="30"/>
  <c r="E26" i="21"/>
  <c r="E136" i="55"/>
  <c r="E102" i="55"/>
  <c r="F10" i="84"/>
  <c r="F11" i="84" s="1"/>
  <c r="G6" i="84"/>
  <c r="F8" i="84"/>
  <c r="F9" i="84" s="1"/>
  <c r="Y103" i="75"/>
  <c r="X102" i="75"/>
  <c r="AL32" i="88"/>
  <c r="AF65" i="82"/>
  <c r="AG64" i="82"/>
  <c r="AF31" i="82"/>
  <c r="L41" i="88"/>
  <c r="M37" i="88"/>
  <c r="L74" i="88"/>
  <c r="L81" i="88" s="1"/>
  <c r="G78" i="55"/>
  <c r="G113" i="55"/>
  <c r="AN139" i="88"/>
  <c r="AN26" i="88" s="1"/>
  <c r="AN32" i="88" s="1"/>
  <c r="AM26" i="88"/>
  <c r="M41" i="20"/>
  <c r="M77" i="88"/>
  <c r="M84" i="88" s="1"/>
  <c r="M45" i="88"/>
  <c r="AG56" i="88" s="1"/>
  <c r="N40" i="88"/>
  <c r="N45" i="88" s="1"/>
  <c r="AK48" i="82"/>
  <c r="AJ26" i="82"/>
  <c r="AJ63" i="82" s="1"/>
  <c r="AI31" i="88"/>
  <c r="F19" i="35"/>
  <c r="G23" i="55" s="1"/>
  <c r="L109" i="75"/>
  <c r="L37" i="75" s="1"/>
  <c r="AF66" i="59"/>
  <c r="J34" i="59" l="1"/>
  <c r="Y70" i="59"/>
  <c r="X69" i="59"/>
  <c r="K76" i="59"/>
  <c r="K29" i="59" s="1"/>
  <c r="L68" i="59"/>
  <c r="K32" i="59"/>
  <c r="K33" i="59" s="1"/>
  <c r="AL12" i="30"/>
  <c r="AK11" i="30"/>
  <c r="AK47" i="30" s="1"/>
  <c r="H6" i="35" s="1"/>
  <c r="I10" i="55" s="1"/>
  <c r="AK15" i="88"/>
  <c r="AK9" i="88" s="1"/>
  <c r="G128" i="55"/>
  <c r="G93" i="55"/>
  <c r="G21" i="35"/>
  <c r="H25" i="55" s="1"/>
  <c r="AK19" i="88"/>
  <c r="AK13" i="49"/>
  <c r="AK12" i="49" s="1"/>
  <c r="AG37" i="82"/>
  <c r="AH30" i="49"/>
  <c r="D11" i="35"/>
  <c r="AG38" i="59"/>
  <c r="AG33" i="49"/>
  <c r="AL16" i="30"/>
  <c r="AM18" i="30"/>
  <c r="AK14" i="59"/>
  <c r="AK15" i="82"/>
  <c r="H8" i="35"/>
  <c r="I12" i="55" s="1"/>
  <c r="AJ69" i="83"/>
  <c r="AJ71" i="83" s="1"/>
  <c r="AJ70" i="83" s="1"/>
  <c r="M92" i="83"/>
  <c r="AJ25" i="88"/>
  <c r="G20" i="35"/>
  <c r="H24" i="55" s="1"/>
  <c r="AJ31" i="88"/>
  <c r="AA12" i="74"/>
  <c r="Z14" i="74"/>
  <c r="Z13" i="74" s="1"/>
  <c r="Z11" i="74" s="1"/>
  <c r="Z19" i="74" s="1"/>
  <c r="H94" i="55"/>
  <c r="H129" i="55"/>
  <c r="AC104" i="75"/>
  <c r="AC106" i="75" s="1"/>
  <c r="AC105" i="75" s="1"/>
  <c r="D72" i="55"/>
  <c r="D107" i="55"/>
  <c r="AJ18" i="82"/>
  <c r="AJ17" i="59"/>
  <c r="AK10" i="33"/>
  <c r="G12" i="35"/>
  <c r="H16" i="55" s="1"/>
  <c r="AG26" i="83"/>
  <c r="AH50" i="83"/>
  <c r="X62" i="82"/>
  <c r="X61" i="82" s="1"/>
  <c r="X64" i="82" s="1"/>
  <c r="X33" i="82"/>
  <c r="G126" i="55"/>
  <c r="G91" i="55"/>
  <c r="Y30" i="70"/>
  <c r="X12" i="20"/>
  <c r="X11" i="20" s="1"/>
  <c r="AL9" i="20"/>
  <c r="H4" i="35"/>
  <c r="I6" i="55" s="1"/>
  <c r="AH38" i="82"/>
  <c r="D18" i="35"/>
  <c r="E22" i="55" s="1"/>
  <c r="L41" i="75"/>
  <c r="P41" i="20"/>
  <c r="AL69" i="82"/>
  <c r="AL67" i="82" s="1"/>
  <c r="AK19" i="82"/>
  <c r="AL66" i="82"/>
  <c r="D2" i="35"/>
  <c r="E4" i="55" s="1"/>
  <c r="AG65" i="20"/>
  <c r="AG66" i="20" s="1"/>
  <c r="AL13" i="88"/>
  <c r="AK33" i="88"/>
  <c r="P46" i="38"/>
  <c r="P47" i="38" s="1"/>
  <c r="M39" i="75"/>
  <c r="M41" i="75" s="1"/>
  <c r="N101" i="75"/>
  <c r="AM32" i="88"/>
  <c r="AA41" i="20"/>
  <c r="AL141" i="88"/>
  <c r="AK29" i="88"/>
  <c r="AK24" i="88" s="1"/>
  <c r="H74" i="55"/>
  <c r="H109" i="55"/>
  <c r="AH64" i="82"/>
  <c r="AG31" i="82"/>
  <c r="AG12" i="82" s="1"/>
  <c r="AG65" i="82"/>
  <c r="AL48" i="82"/>
  <c r="AK26" i="82"/>
  <c r="AK63" i="82" s="1"/>
  <c r="AI81" i="26"/>
  <c r="AH73" i="26"/>
  <c r="Y15" i="59"/>
  <c r="Y14" i="59" s="1"/>
  <c r="Y65" i="59" s="1"/>
  <c r="Y64" i="59" s="1"/>
  <c r="Y67" i="59" s="1"/>
  <c r="Y16" i="82"/>
  <c r="Y15" i="82" s="1"/>
  <c r="AL15" i="25"/>
  <c r="AL14" i="25" s="1"/>
  <c r="AM13" i="25"/>
  <c r="AL11" i="25"/>
  <c r="AL20" i="25" s="1"/>
  <c r="AA85" i="75"/>
  <c r="Z34" i="75"/>
  <c r="Z99" i="75" s="1"/>
  <c r="Z24" i="75"/>
  <c r="G92" i="55"/>
  <c r="G127" i="55"/>
  <c r="Y102" i="75"/>
  <c r="Z103" i="75"/>
  <c r="G84" i="55"/>
  <c r="G119" i="55"/>
  <c r="H80" i="55"/>
  <c r="H115" i="55"/>
  <c r="L33" i="83"/>
  <c r="M41" i="88"/>
  <c r="M74" i="88"/>
  <c r="M81" i="88" s="1"/>
  <c r="N37" i="88"/>
  <c r="N41" i="88" s="1"/>
  <c r="H126" i="55"/>
  <c r="H91" i="55"/>
  <c r="M95" i="59"/>
  <c r="M97" i="59"/>
  <c r="R15" i="26"/>
  <c r="R20" i="26" s="1"/>
  <c r="R78" i="26" s="1"/>
  <c r="S28" i="26"/>
  <c r="R27" i="26"/>
  <c r="R76" i="26"/>
  <c r="R73" i="26" s="1"/>
  <c r="R65" i="20" s="1"/>
  <c r="R66" i="20" s="1"/>
  <c r="AF64" i="83"/>
  <c r="AM140" i="88"/>
  <c r="AL28" i="88"/>
  <c r="AE52" i="88"/>
  <c r="AD52" i="88"/>
  <c r="AC52" i="88"/>
  <c r="AF52" i="88"/>
  <c r="AD55" i="88"/>
  <c r="AC55" i="88"/>
  <c r="AF55" i="88"/>
  <c r="AE55" i="88"/>
  <c r="M75" i="88"/>
  <c r="M82" i="88" s="1"/>
  <c r="M43" i="88"/>
  <c r="N38" i="88"/>
  <c r="N43" i="88" s="1"/>
  <c r="AJ71" i="59"/>
  <c r="AJ73" i="59" s="1"/>
  <c r="AJ72" i="59"/>
  <c r="S35" i="38"/>
  <c r="O34" i="38"/>
  <c r="Q34" i="38" s="1"/>
  <c r="AJ39" i="20"/>
  <c r="AK38" i="20"/>
  <c r="AJ40" i="20"/>
  <c r="H9" i="55" s="1"/>
  <c r="G5" i="35"/>
  <c r="H8" i="55" s="1"/>
  <c r="G10" i="84"/>
  <c r="G11" i="84" s="1"/>
  <c r="G8" i="84"/>
  <c r="G9" i="84" s="1"/>
  <c r="M31" i="83"/>
  <c r="N66" i="83"/>
  <c r="M74" i="83"/>
  <c r="M29" i="83" s="1"/>
  <c r="AG66" i="59"/>
  <c r="D125" i="55"/>
  <c r="D90" i="55"/>
  <c r="M76" i="88"/>
  <c r="M83" i="88" s="1"/>
  <c r="M44" i="88"/>
  <c r="N39" i="88"/>
  <c r="N44" i="88" s="1"/>
  <c r="AK11" i="26"/>
  <c r="AL20" i="26"/>
  <c r="AK78" i="26"/>
  <c r="Y14" i="75"/>
  <c r="AC41" i="20"/>
  <c r="AF54" i="88"/>
  <c r="AE54" i="88"/>
  <c r="AD54" i="88"/>
  <c r="AC54" i="88"/>
  <c r="Q73" i="26"/>
  <c r="Q65" i="20" s="1"/>
  <c r="Q66" i="20" s="1"/>
  <c r="G76" i="55"/>
  <c r="G111" i="55"/>
  <c r="AI51" i="59"/>
  <c r="AH26" i="59"/>
  <c r="H78" i="55"/>
  <c r="H113" i="55"/>
  <c r="AL142" i="88"/>
  <c r="AK30" i="88"/>
  <c r="H22" i="35" s="1"/>
  <c r="I26" i="55" s="1"/>
  <c r="AA68" i="83"/>
  <c r="Z67" i="83"/>
  <c r="G77" i="55"/>
  <c r="G112" i="55"/>
  <c r="AM12" i="30" l="1"/>
  <c r="AL11" i="30"/>
  <c r="L76" i="59"/>
  <c r="L29" i="59" s="1"/>
  <c r="L32" i="59"/>
  <c r="M68" i="59"/>
  <c r="K34" i="59"/>
  <c r="Y69" i="59"/>
  <c r="Z70" i="59"/>
  <c r="AL19" i="88"/>
  <c r="H21" i="35"/>
  <c r="I25" i="55" s="1"/>
  <c r="H128" i="55"/>
  <c r="H93" i="55"/>
  <c r="AL15" i="88"/>
  <c r="AL9" i="88" s="1"/>
  <c r="AL13" i="49"/>
  <c r="AL12" i="49" s="1"/>
  <c r="AG34" i="49"/>
  <c r="D10" i="35"/>
  <c r="E14" i="55" s="1"/>
  <c r="AG10" i="26"/>
  <c r="AG9" i="26" s="1"/>
  <c r="E15" i="55"/>
  <c r="AS32" i="80"/>
  <c r="AH33" i="49"/>
  <c r="AH37" i="82"/>
  <c r="AI30" i="49"/>
  <c r="E11" i="35"/>
  <c r="F15" i="55" s="1"/>
  <c r="AH38" i="59"/>
  <c r="AH34" i="49"/>
  <c r="AF35" i="49"/>
  <c r="AF36" i="49" s="1"/>
  <c r="AM16" i="30"/>
  <c r="AN18" i="30"/>
  <c r="AN16" i="30" s="1"/>
  <c r="AD104" i="75"/>
  <c r="AD106" i="75" s="1"/>
  <c r="AD105" i="75"/>
  <c r="AK25" i="88"/>
  <c r="H20" i="35"/>
  <c r="I24" i="55" s="1"/>
  <c r="AK69" i="83"/>
  <c r="AK71" i="83" s="1"/>
  <c r="AK70" i="83" s="1"/>
  <c r="Z28" i="75"/>
  <c r="Z26" i="75" s="1"/>
  <c r="AA34" i="75"/>
  <c r="AA99" i="75" s="1"/>
  <c r="AB85" i="75"/>
  <c r="AA24" i="75"/>
  <c r="AB12" i="74"/>
  <c r="AA14" i="74"/>
  <c r="AA13" i="74" s="1"/>
  <c r="AA11" i="74" s="1"/>
  <c r="AA19" i="74" s="1"/>
  <c r="AI54" i="88"/>
  <c r="AH54" i="88"/>
  <c r="AG54" i="88"/>
  <c r="AJ54" i="88"/>
  <c r="AI38" i="82"/>
  <c r="E18" i="35"/>
  <c r="F22" i="55" s="1"/>
  <c r="Y62" i="82"/>
  <c r="Y61" i="82" s="1"/>
  <c r="Y64" i="82" s="1"/>
  <c r="Y33" i="82"/>
  <c r="AH65" i="20"/>
  <c r="AH66" i="20" s="1"/>
  <c r="E2" i="35"/>
  <c r="F4" i="55" s="1"/>
  <c r="N39" i="75"/>
  <c r="O101" i="75"/>
  <c r="N109" i="75"/>
  <c r="N37" i="75" s="1"/>
  <c r="M93" i="83"/>
  <c r="M95" i="83"/>
  <c r="AG64" i="83"/>
  <c r="AM142" i="88"/>
  <c r="AL30" i="88"/>
  <c r="I22" i="35" s="1"/>
  <c r="J26" i="55" s="1"/>
  <c r="AJ81" i="26"/>
  <c r="AI73" i="26"/>
  <c r="AK71" i="59"/>
  <c r="AK73" i="59" s="1"/>
  <c r="AK72" i="59" s="1"/>
  <c r="E72" i="55"/>
  <c r="E107" i="55"/>
  <c r="I74" i="55"/>
  <c r="I109" i="55"/>
  <c r="AM9" i="20"/>
  <c r="I4" i="35"/>
  <c r="J6" i="55" s="1"/>
  <c r="H112" i="55"/>
  <c r="H77" i="55"/>
  <c r="Z102" i="75"/>
  <c r="AA103" i="75"/>
  <c r="Y12" i="20"/>
  <c r="Y11" i="20" s="1"/>
  <c r="Z30" i="70"/>
  <c r="I8" i="35"/>
  <c r="J12" i="55" s="1"/>
  <c r="AL14" i="59"/>
  <c r="AL15" i="82"/>
  <c r="AM15" i="25"/>
  <c r="AM14" i="25" s="1"/>
  <c r="AM11" i="25" s="1"/>
  <c r="AM20" i="25" s="1"/>
  <c r="AN13" i="25"/>
  <c r="AN140" i="88"/>
  <c r="AN28" i="88" s="1"/>
  <c r="AM28" i="88"/>
  <c r="H119" i="55"/>
  <c r="H84" i="55"/>
  <c r="AK18" i="82"/>
  <c r="AK17" i="59"/>
  <c r="AL10" i="33"/>
  <c r="H12" i="35"/>
  <c r="I16" i="55" s="1"/>
  <c r="I78" i="55"/>
  <c r="I113" i="55"/>
  <c r="H111" i="55"/>
  <c r="H76" i="55"/>
  <c r="I80" i="55"/>
  <c r="I115" i="55"/>
  <c r="N31" i="83"/>
  <c r="O66" i="83"/>
  <c r="N74" i="83"/>
  <c r="N29" i="83" s="1"/>
  <c r="I94" i="55"/>
  <c r="I129" i="55"/>
  <c r="R41" i="20"/>
  <c r="H127" i="55"/>
  <c r="H92" i="55"/>
  <c r="AL47" i="30"/>
  <c r="I6" i="35" s="1"/>
  <c r="J10" i="55" s="1"/>
  <c r="S15" i="26"/>
  <c r="T28" i="26"/>
  <c r="S27" i="26"/>
  <c r="S76" i="26"/>
  <c r="AH66" i="59"/>
  <c r="AJ51" i="59"/>
  <c r="AI26" i="59"/>
  <c r="AI66" i="59" s="1"/>
  <c r="AK39" i="20"/>
  <c r="AL38" i="20"/>
  <c r="AK40" i="20"/>
  <c r="I9" i="55" s="1"/>
  <c r="H5" i="35"/>
  <c r="I8" i="55" s="1"/>
  <c r="AM48" i="82"/>
  <c r="AL26" i="82"/>
  <c r="AL63" i="82" s="1"/>
  <c r="AM69" i="82"/>
  <c r="AM67" i="82" s="1"/>
  <c r="AM66" i="82" s="1"/>
  <c r="AL19" i="82"/>
  <c r="Q41" i="20"/>
  <c r="AI55" i="88"/>
  <c r="AH55" i="88"/>
  <c r="AG55" i="88"/>
  <c r="AJ55" i="88"/>
  <c r="AG33" i="82"/>
  <c r="AG13" i="82"/>
  <c r="AG35" i="82"/>
  <c r="AG14" i="82"/>
  <c r="X65" i="82"/>
  <c r="X31" i="82"/>
  <c r="AB65" i="82"/>
  <c r="AL33" i="88"/>
  <c r="AM13" i="88"/>
  <c r="AI50" i="83"/>
  <c r="AH26" i="83"/>
  <c r="AM141" i="88"/>
  <c r="AL29" i="88"/>
  <c r="AL24" i="88" s="1"/>
  <c r="AB68" i="83"/>
  <c r="AA67" i="83"/>
  <c r="AJ52" i="88"/>
  <c r="AI52" i="88"/>
  <c r="AH52" i="88"/>
  <c r="AG52" i="88"/>
  <c r="E125" i="55"/>
  <c r="E90" i="55"/>
  <c r="M33" i="83"/>
  <c r="AM20" i="26"/>
  <c r="AL11" i="26"/>
  <c r="AL78" i="26"/>
  <c r="S36" i="38"/>
  <c r="O36" i="38" s="1"/>
  <c r="O35" i="38"/>
  <c r="Q35" i="38" s="1"/>
  <c r="AI64" i="82"/>
  <c r="AH31" i="82"/>
  <c r="AH12" i="82" s="1"/>
  <c r="AH65" i="82"/>
  <c r="AK31" i="88"/>
  <c r="H19" i="35"/>
  <c r="I23" i="55" s="1"/>
  <c r="L33" i="59" l="1"/>
  <c r="M76" i="59"/>
  <c r="M29" i="59" s="1"/>
  <c r="M32" i="59"/>
  <c r="N68" i="59"/>
  <c r="L34" i="59"/>
  <c r="Z69" i="59"/>
  <c r="AA70" i="59"/>
  <c r="AN12" i="30"/>
  <c r="AN11" i="30" s="1"/>
  <c r="AM11" i="30"/>
  <c r="AM15" i="88"/>
  <c r="AN15" i="88"/>
  <c r="I128" i="55"/>
  <c r="I93" i="55"/>
  <c r="AM19" i="88"/>
  <c r="I21" i="35"/>
  <c r="J25" i="55" s="1"/>
  <c r="AM13" i="49"/>
  <c r="AM12" i="49" s="1"/>
  <c r="F83" i="55"/>
  <c r="F118" i="55"/>
  <c r="AI38" i="59"/>
  <c r="AI37" i="82"/>
  <c r="AI33" i="49"/>
  <c r="F11" i="35"/>
  <c r="G15" i="55" s="1"/>
  <c r="E10" i="35"/>
  <c r="F14" i="55" s="1"/>
  <c r="AH10" i="26"/>
  <c r="AH9" i="26" s="1"/>
  <c r="E118" i="55"/>
  <c r="E83" i="55"/>
  <c r="E82" i="55"/>
  <c r="E117" i="55"/>
  <c r="AL69" i="83"/>
  <c r="AL71" i="83" s="1"/>
  <c r="AL70" i="83" s="1"/>
  <c r="AL71" i="59"/>
  <c r="AL73" i="59" s="1"/>
  <c r="AL72" i="59" s="1"/>
  <c r="I111" i="55"/>
  <c r="I76" i="55"/>
  <c r="AA30" i="70"/>
  <c r="Z12" i="20"/>
  <c r="Z11" i="20" s="1"/>
  <c r="J80" i="55"/>
  <c r="J115" i="55"/>
  <c r="AK81" i="26"/>
  <c r="AJ73" i="26"/>
  <c r="I119" i="55"/>
  <c r="I84" i="55"/>
  <c r="AC68" i="83"/>
  <c r="AB67" i="83"/>
  <c r="O31" i="83"/>
  <c r="P66" i="83"/>
  <c r="O74" i="83"/>
  <c r="O29" i="83" s="1"/>
  <c r="J74" i="55"/>
  <c r="J109" i="55"/>
  <c r="AL25" i="88"/>
  <c r="I20" i="35"/>
  <c r="J24" i="55" s="1"/>
  <c r="AJ38" i="82"/>
  <c r="F18" i="35"/>
  <c r="G22" i="55" s="1"/>
  <c r="AN141" i="88"/>
  <c r="AN29" i="88" s="1"/>
  <c r="AM29" i="88"/>
  <c r="AM24" i="88" s="1"/>
  <c r="AN24" i="88"/>
  <c r="K20" i="35" s="1"/>
  <c r="L24" i="55" s="1"/>
  <c r="AL39" i="20"/>
  <c r="AM38" i="20"/>
  <c r="AL40" i="20"/>
  <c r="J9" i="55" s="1"/>
  <c r="I5" i="35"/>
  <c r="J8" i="55" s="1"/>
  <c r="F90" i="55"/>
  <c r="F125" i="55"/>
  <c r="AL18" i="82"/>
  <c r="AM10" i="33"/>
  <c r="K22" i="33" s="1"/>
  <c r="AL17" i="59"/>
  <c r="I12" i="35"/>
  <c r="J16" i="55" s="1"/>
  <c r="AK51" i="59"/>
  <c r="AJ26" i="59"/>
  <c r="AJ66" i="59" s="1"/>
  <c r="N33" i="83"/>
  <c r="AM33" i="88"/>
  <c r="AN13" i="88"/>
  <c r="AM9" i="88"/>
  <c r="AC12" i="74"/>
  <c r="AB14" i="74"/>
  <c r="AB13" i="74" s="1"/>
  <c r="AB11" i="74" s="1"/>
  <c r="AB19" i="74" s="1"/>
  <c r="Q36" i="38"/>
  <c r="Q46" i="38" s="1"/>
  <c r="Q47" i="38" s="1"/>
  <c r="O46" i="38"/>
  <c r="O47" i="38" s="1"/>
  <c r="I112" i="55"/>
  <c r="I77" i="55"/>
  <c r="AG34" i="82"/>
  <c r="D17" i="35"/>
  <c r="E21" i="55" s="1"/>
  <c r="T15" i="26"/>
  <c r="T20" i="26" s="1"/>
  <c r="T78" i="26" s="1"/>
  <c r="T76" i="26"/>
  <c r="U28" i="26"/>
  <c r="T27" i="26"/>
  <c r="O39" i="75"/>
  <c r="D135" i="75" s="1"/>
  <c r="P101" i="75"/>
  <c r="O109" i="75"/>
  <c r="O37" i="75" s="1"/>
  <c r="AB34" i="75"/>
  <c r="AB99" i="75" s="1"/>
  <c r="AC85" i="75"/>
  <c r="AB24" i="75"/>
  <c r="AI65" i="20"/>
  <c r="AI66" i="20" s="1"/>
  <c r="F2" i="35"/>
  <c r="G4" i="55" s="1"/>
  <c r="Y65" i="82"/>
  <c r="Y31" i="82"/>
  <c r="AC65" i="82"/>
  <c r="AA102" i="75"/>
  <c r="AB103" i="75"/>
  <c r="J94" i="55"/>
  <c r="J129" i="55"/>
  <c r="AM78" i="26"/>
  <c r="AM11" i="26"/>
  <c r="AN20" i="26"/>
  <c r="AH64" i="83"/>
  <c r="AN69" i="82"/>
  <c r="AN67" i="82" s="1"/>
  <c r="AN66" i="82" s="1"/>
  <c r="AN19" i="82" s="1"/>
  <c r="AM19" i="82"/>
  <c r="N83" i="82"/>
  <c r="S20" i="26"/>
  <c r="S78" i="26" s="1"/>
  <c r="S73" i="26" s="1"/>
  <c r="S65" i="20" s="1"/>
  <c r="S66" i="20" s="1"/>
  <c r="AM14" i="59"/>
  <c r="J8" i="35"/>
  <c r="K12" i="55" s="1"/>
  <c r="AM15" i="82"/>
  <c r="AN15" i="25"/>
  <c r="AN14" i="25" s="1"/>
  <c r="AN11" i="25"/>
  <c r="AN20" i="25" s="1"/>
  <c r="K8" i="35" s="1"/>
  <c r="L12" i="55" s="1"/>
  <c r="AA28" i="75"/>
  <c r="AA26" i="75" s="1"/>
  <c r="AJ64" i="82"/>
  <c r="AI31" i="82"/>
  <c r="AI12" i="82" s="1"/>
  <c r="AI65" i="82"/>
  <c r="J78" i="55"/>
  <c r="J113" i="55"/>
  <c r="N41" i="75"/>
  <c r="AE104" i="75"/>
  <c r="AE106" i="75" s="1"/>
  <c r="AE105" i="75"/>
  <c r="AN142" i="88"/>
  <c r="AN30" i="88" s="1"/>
  <c r="K22" i="35" s="1"/>
  <c r="L26" i="55" s="1"/>
  <c r="AM30" i="88"/>
  <c r="J22" i="35" s="1"/>
  <c r="K26" i="55" s="1"/>
  <c r="AN9" i="20"/>
  <c r="K4" i="35" s="1"/>
  <c r="L6" i="55" s="1"/>
  <c r="J4" i="35"/>
  <c r="K6" i="55" s="1"/>
  <c r="I126" i="55"/>
  <c r="I91" i="55"/>
  <c r="AJ50" i="83"/>
  <c r="AI26" i="83"/>
  <c r="AL31" i="88"/>
  <c r="I19" i="35"/>
  <c r="J23" i="55" s="1"/>
  <c r="AH13" i="82"/>
  <c r="AH35" i="82"/>
  <c r="AH33" i="82"/>
  <c r="AH14" i="82"/>
  <c r="I127" i="55"/>
  <c r="I92" i="55"/>
  <c r="AM47" i="30"/>
  <c r="J6" i="35" s="1"/>
  <c r="K10" i="55" s="1"/>
  <c r="AN47" i="30"/>
  <c r="K6" i="35" s="1"/>
  <c r="L10" i="55" s="1"/>
  <c r="AN48" i="82"/>
  <c r="AN26" i="82" s="1"/>
  <c r="AM26" i="82"/>
  <c r="AM63" i="82" s="1"/>
  <c r="F72" i="55"/>
  <c r="F107" i="55"/>
  <c r="M33" i="59" l="1"/>
  <c r="AB70" i="59"/>
  <c r="AA69" i="59"/>
  <c r="N32" i="59"/>
  <c r="N76" i="59"/>
  <c r="N29" i="59" s="1"/>
  <c r="O68" i="59"/>
  <c r="M34" i="59"/>
  <c r="O33" i="83"/>
  <c r="J93" i="55"/>
  <c r="J128" i="55"/>
  <c r="AN19" i="88"/>
  <c r="K21" i="35" s="1"/>
  <c r="L25" i="55" s="1"/>
  <c r="J21" i="35"/>
  <c r="K25" i="55" s="1"/>
  <c r="J21" i="49"/>
  <c r="J22" i="49" s="1"/>
  <c r="K23" i="49" s="1"/>
  <c r="AN13" i="49"/>
  <c r="AN12" i="49" s="1"/>
  <c r="F82" i="55"/>
  <c r="F117" i="55"/>
  <c r="G118" i="55"/>
  <c r="G83" i="55"/>
  <c r="AI34" i="49"/>
  <c r="F10" i="35"/>
  <c r="G14" i="55" s="1"/>
  <c r="AI10" i="26"/>
  <c r="AI9" i="26" s="1"/>
  <c r="AF37" i="49"/>
  <c r="T73" i="26"/>
  <c r="T65" i="20" s="1"/>
  <c r="T66" i="20" s="1"/>
  <c r="AM71" i="59"/>
  <c r="AM73" i="59" s="1"/>
  <c r="AM72" i="59"/>
  <c r="N94" i="59" s="1"/>
  <c r="AM25" i="88"/>
  <c r="J20" i="35"/>
  <c r="K24" i="55" s="1"/>
  <c r="AJ65" i="20"/>
  <c r="AJ66" i="20" s="1"/>
  <c r="G2" i="35"/>
  <c r="H4" i="55" s="1"/>
  <c r="S41" i="20"/>
  <c r="K129" i="55"/>
  <c r="K94" i="55"/>
  <c r="K115" i="55"/>
  <c r="K80" i="55"/>
  <c r="AB102" i="75"/>
  <c r="AC103" i="75"/>
  <c r="J126" i="55"/>
  <c r="J91" i="55"/>
  <c r="E124" i="55"/>
  <c r="E89" i="55"/>
  <c r="G90" i="55"/>
  <c r="G125" i="55"/>
  <c r="AN14" i="59"/>
  <c r="AN15" i="82"/>
  <c r="AF104" i="75"/>
  <c r="AF106" i="75" s="1"/>
  <c r="AF105" i="75" s="1"/>
  <c r="AM39" i="20"/>
  <c r="AM40" i="20"/>
  <c r="K9" i="55" s="1"/>
  <c r="AN38" i="20"/>
  <c r="K5" i="35" s="1"/>
  <c r="L8" i="55" s="1"/>
  <c r="J5" i="35"/>
  <c r="K8" i="55" s="1"/>
  <c r="AI64" i="83"/>
  <c r="N84" i="82"/>
  <c r="N86" i="82"/>
  <c r="AL51" i="59"/>
  <c r="AK26" i="59"/>
  <c r="AK66" i="59" s="1"/>
  <c r="AK38" i="82"/>
  <c r="G18" i="35"/>
  <c r="H22" i="55" s="1"/>
  <c r="AD68" i="83"/>
  <c r="AC67" i="83"/>
  <c r="J112" i="55"/>
  <c r="J77" i="55"/>
  <c r="O41" i="75"/>
  <c r="AC14" i="74"/>
  <c r="AC13" i="74" s="1"/>
  <c r="AC11" i="74" s="1"/>
  <c r="AC19" i="74" s="1"/>
  <c r="AM31" i="88"/>
  <c r="J19" i="35"/>
  <c r="K23" i="55" s="1"/>
  <c r="U15" i="26"/>
  <c r="U20" i="26" s="1"/>
  <c r="U78" i="26" s="1"/>
  <c r="V28" i="26"/>
  <c r="U27" i="26"/>
  <c r="U76" i="26"/>
  <c r="AK50" i="83"/>
  <c r="AJ26" i="83"/>
  <c r="J84" i="55"/>
  <c r="J119" i="55"/>
  <c r="J92" i="55"/>
  <c r="J127" i="55"/>
  <c r="AH34" i="82"/>
  <c r="E17" i="35"/>
  <c r="F21" i="55" s="1"/>
  <c r="AN33" i="88"/>
  <c r="AN9" i="88"/>
  <c r="P39" i="75"/>
  <c r="Q101" i="75"/>
  <c r="P109" i="75"/>
  <c r="P37" i="75" s="1"/>
  <c r="AN25" i="88"/>
  <c r="AI13" i="82"/>
  <c r="AI35" i="82"/>
  <c r="AI33" i="82"/>
  <c r="AI14" i="82"/>
  <c r="AK64" i="82"/>
  <c r="AJ31" i="82"/>
  <c r="AJ12" i="82" s="1"/>
  <c r="AJ65" i="82"/>
  <c r="AN10" i="33"/>
  <c r="K12" i="35" s="1"/>
  <c r="L16" i="55" s="1"/>
  <c r="AM17" i="59"/>
  <c r="AM18" i="82"/>
  <c r="J12" i="35"/>
  <c r="K16" i="55" s="1"/>
  <c r="AM69" i="83"/>
  <c r="AM71" i="83" s="1"/>
  <c r="AM70" i="83"/>
  <c r="K113" i="55"/>
  <c r="K78" i="55"/>
  <c r="J76" i="55"/>
  <c r="J111" i="55"/>
  <c r="AL81" i="26"/>
  <c r="AK73" i="26"/>
  <c r="AN11" i="26"/>
  <c r="AN78" i="26"/>
  <c r="AA12" i="20"/>
  <c r="AA11" i="20" s="1"/>
  <c r="AB30" i="70"/>
  <c r="Q66" i="83"/>
  <c r="P31" i="83"/>
  <c r="P74" i="83"/>
  <c r="P29" i="83" s="1"/>
  <c r="AN63" i="82"/>
  <c r="K74" i="55"/>
  <c r="K109" i="55"/>
  <c r="AB28" i="75"/>
  <c r="AB26" i="75" s="1"/>
  <c r="G72" i="55"/>
  <c r="G107" i="55"/>
  <c r="AD85" i="75"/>
  <c r="AE85" i="75" s="1"/>
  <c r="AF85" i="75" s="1"/>
  <c r="AG85" i="75" s="1"/>
  <c r="AC24" i="75"/>
  <c r="AC34" i="75"/>
  <c r="AC99" i="75" s="1"/>
  <c r="J23" i="49" l="1"/>
  <c r="AJ30" i="49" s="1"/>
  <c r="AJ33" i="49" s="1"/>
  <c r="N34" i="59"/>
  <c r="U73" i="26"/>
  <c r="U65" i="20" s="1"/>
  <c r="U66" i="20" s="1"/>
  <c r="U41" i="20" s="1"/>
  <c r="O32" i="59"/>
  <c r="O76" i="59"/>
  <c r="O29" i="59" s="1"/>
  <c r="P68" i="59"/>
  <c r="N33" i="59"/>
  <c r="AB69" i="59"/>
  <c r="AC70" i="59"/>
  <c r="T41" i="20"/>
  <c r="K128" i="55"/>
  <c r="K93" i="55"/>
  <c r="AN31" i="88"/>
  <c r="K19" i="35"/>
  <c r="L23" i="55" s="1"/>
  <c r="AJ34" i="49"/>
  <c r="AJ10" i="26"/>
  <c r="AJ9" i="26" s="1"/>
  <c r="G10" i="35"/>
  <c r="H14" i="55" s="1"/>
  <c r="H117" i="55" s="1"/>
  <c r="G11" i="35"/>
  <c r="H15" i="55" s="1"/>
  <c r="H118" i="55" s="1"/>
  <c r="AK30" i="49"/>
  <c r="AK33" i="49" s="1"/>
  <c r="AJ38" i="59"/>
  <c r="AJ37" i="82"/>
  <c r="G82" i="55"/>
  <c r="G117" i="55"/>
  <c r="R66" i="83"/>
  <c r="Q31" i="83"/>
  <c r="Q74" i="83"/>
  <c r="Q29" i="83" s="1"/>
  <c r="AK31" i="82"/>
  <c r="AK12" i="82" s="1"/>
  <c r="AK65" i="82"/>
  <c r="AL64" i="82"/>
  <c r="F124" i="55"/>
  <c r="F89" i="55"/>
  <c r="AM51" i="59"/>
  <c r="AL26" i="59"/>
  <c r="P41" i="75"/>
  <c r="K127" i="55"/>
  <c r="K92" i="55"/>
  <c r="AL38" i="82"/>
  <c r="H18" i="35"/>
  <c r="I22" i="55" s="1"/>
  <c r="AL50" i="83"/>
  <c r="AK26" i="83"/>
  <c r="K84" i="55"/>
  <c r="K119" i="55"/>
  <c r="AN40" i="20"/>
  <c r="L9" i="55" s="1"/>
  <c r="AN39" i="20"/>
  <c r="H72" i="55"/>
  <c r="H107" i="55"/>
  <c r="AK65" i="20"/>
  <c r="AK66" i="20" s="1"/>
  <c r="H2" i="35"/>
  <c r="I4" i="55" s="1"/>
  <c r="AI34" i="82"/>
  <c r="F17" i="35"/>
  <c r="G21" i="55" s="1"/>
  <c r="AN69" i="83"/>
  <c r="AN71" i="83" s="1"/>
  <c r="AN70" i="83" s="1"/>
  <c r="N92" i="83"/>
  <c r="AJ33" i="82"/>
  <c r="AJ14" i="82"/>
  <c r="AJ35" i="82"/>
  <c r="AJ13" i="82"/>
  <c r="AJ64" i="83"/>
  <c r="V76" i="26"/>
  <c r="W28" i="26"/>
  <c r="V15" i="26"/>
  <c r="V20" i="26" s="1"/>
  <c r="V78" i="26" s="1"/>
  <c r="V27" i="26"/>
  <c r="AN17" i="59"/>
  <c r="AN18" i="82"/>
  <c r="K112" i="55"/>
  <c r="K77" i="55"/>
  <c r="AM81" i="26"/>
  <c r="AL73" i="26"/>
  <c r="AD67" i="83"/>
  <c r="AE68" i="83"/>
  <c r="AN71" i="59"/>
  <c r="AN73" i="59" s="1"/>
  <c r="AN72" i="59" s="1"/>
  <c r="Q39" i="75"/>
  <c r="R101" i="75"/>
  <c r="Q109" i="75"/>
  <c r="Q37" i="75" s="1"/>
  <c r="AC28" i="75"/>
  <c r="AC26" i="75" s="1"/>
  <c r="P33" i="83"/>
  <c r="K126" i="55"/>
  <c r="K91" i="55"/>
  <c r="AB12" i="20"/>
  <c r="AB11" i="20" s="1"/>
  <c r="AB13" i="20" s="1"/>
  <c r="AC30" i="70"/>
  <c r="K76" i="55"/>
  <c r="K111" i="55"/>
  <c r="AC102" i="75"/>
  <c r="AD103" i="75"/>
  <c r="N95" i="59"/>
  <c r="N97" i="59"/>
  <c r="H90" i="55"/>
  <c r="H125" i="55"/>
  <c r="O34" i="59" l="1"/>
  <c r="V73" i="26"/>
  <c r="V65" i="20" s="1"/>
  <c r="V66" i="20" s="1"/>
  <c r="V41" i="20" s="1"/>
  <c r="H11" i="35"/>
  <c r="I15" i="55" s="1"/>
  <c r="I118" i="55" s="1"/>
  <c r="AC69" i="59"/>
  <c r="AD70" i="59"/>
  <c r="AK37" i="82"/>
  <c r="Q68" i="59"/>
  <c r="P76" i="59"/>
  <c r="P29" i="59" s="1"/>
  <c r="P32" i="59"/>
  <c r="AL30" i="49"/>
  <c r="AL33" i="49" s="1"/>
  <c r="AK38" i="59"/>
  <c r="O33" i="59"/>
  <c r="H83" i="55"/>
  <c r="H82" i="55"/>
  <c r="AL38" i="59"/>
  <c r="AM30" i="49"/>
  <c r="AJ35" i="49" s="1"/>
  <c r="AJ36" i="49" s="1"/>
  <c r="AK34" i="49"/>
  <c r="H10" i="35"/>
  <c r="I14" i="55" s="1"/>
  <c r="AK10" i="26"/>
  <c r="AK9" i="26" s="1"/>
  <c r="AC12" i="20"/>
  <c r="AC11" i="20" s="1"/>
  <c r="AC13" i="20" s="1"/>
  <c r="AD30" i="70"/>
  <c r="AL65" i="20"/>
  <c r="AL66" i="20" s="1"/>
  <c r="I2" i="35"/>
  <c r="J4" i="55" s="1"/>
  <c r="AN81" i="26"/>
  <c r="AN73" i="26" s="1"/>
  <c r="AM73" i="26"/>
  <c r="AL31" i="82"/>
  <c r="AL12" i="82" s="1"/>
  <c r="AM64" i="82"/>
  <c r="G17" i="35"/>
  <c r="H21" i="55" s="1"/>
  <c r="AJ34" i="82"/>
  <c r="N93" i="83"/>
  <c r="N95" i="83"/>
  <c r="AM38" i="82"/>
  <c r="I18" i="35"/>
  <c r="J22" i="55" s="1"/>
  <c r="R39" i="75"/>
  <c r="S101" i="75"/>
  <c r="R109" i="75"/>
  <c r="R37" i="75" s="1"/>
  <c r="G124" i="55"/>
  <c r="G89" i="55"/>
  <c r="AM50" i="83"/>
  <c r="AL26" i="83"/>
  <c r="AE103" i="75"/>
  <c r="AD102" i="75"/>
  <c r="Q41" i="75"/>
  <c r="W76" i="26"/>
  <c r="X28" i="26"/>
  <c r="W15" i="26"/>
  <c r="W20" i="26" s="1"/>
  <c r="W78" i="26" s="1"/>
  <c r="W27" i="26"/>
  <c r="I72" i="55"/>
  <c r="I107" i="55"/>
  <c r="AK33" i="82"/>
  <c r="AK13" i="82"/>
  <c r="AK14" i="82"/>
  <c r="AK35" i="82"/>
  <c r="AL66" i="59"/>
  <c r="Q33" i="83"/>
  <c r="S66" i="83"/>
  <c r="R31" i="83"/>
  <c r="R74" i="83"/>
  <c r="R29" i="83" s="1"/>
  <c r="I90" i="55"/>
  <c r="I125" i="55"/>
  <c r="AN51" i="59"/>
  <c r="AN26" i="59" s="1"/>
  <c r="AN66" i="59" s="1"/>
  <c r="AM26" i="59"/>
  <c r="AE67" i="83"/>
  <c r="AF68" i="83"/>
  <c r="AK64" i="83"/>
  <c r="I11" i="35" l="1"/>
  <c r="J15" i="55" s="1"/>
  <c r="AL37" i="82"/>
  <c r="P34" i="59"/>
  <c r="P33" i="59"/>
  <c r="Q32" i="59"/>
  <c r="R68" i="59"/>
  <c r="Q76" i="59"/>
  <c r="Q29" i="59" s="1"/>
  <c r="Q34" i="59" s="1"/>
  <c r="I83" i="55"/>
  <c r="AD69" i="59"/>
  <c r="AE70" i="59"/>
  <c r="I82" i="55"/>
  <c r="I117" i="55"/>
  <c r="J118" i="55"/>
  <c r="J83" i="55"/>
  <c r="AL34" i="49"/>
  <c r="I10" i="35"/>
  <c r="J14" i="55" s="1"/>
  <c r="AL10" i="26"/>
  <c r="AL9" i="26" s="1"/>
  <c r="AM37" i="82"/>
  <c r="AN30" i="49"/>
  <c r="AM38" i="59"/>
  <c r="J11" i="35"/>
  <c r="K15" i="55" s="1"/>
  <c r="AM33" i="49"/>
  <c r="AN65" i="20"/>
  <c r="AN66" i="20" s="1"/>
  <c r="K2" i="35"/>
  <c r="L4" i="55" s="1"/>
  <c r="AM66" i="59"/>
  <c r="J90" i="55"/>
  <c r="J125" i="55"/>
  <c r="AN38" i="82"/>
  <c r="K18" i="35" s="1"/>
  <c r="L22" i="55" s="1"/>
  <c r="J18" i="35"/>
  <c r="K22" i="55" s="1"/>
  <c r="AN64" i="82"/>
  <c r="AN31" i="82" s="1"/>
  <c r="AN12" i="82" s="1"/>
  <c r="AM31" i="82"/>
  <c r="AM12" i="82" s="1"/>
  <c r="T66" i="83"/>
  <c r="S31" i="83"/>
  <c r="S74" i="83"/>
  <c r="S29" i="83" s="1"/>
  <c r="AL64" i="83"/>
  <c r="AK34" i="82"/>
  <c r="H17" i="35"/>
  <c r="I21" i="55" s="1"/>
  <c r="AL33" i="82"/>
  <c r="AL13" i="82"/>
  <c r="AL14" i="82"/>
  <c r="AL35" i="82"/>
  <c r="AN50" i="83"/>
  <c r="AN26" i="83" s="1"/>
  <c r="AM26" i="83"/>
  <c r="AM65" i="20"/>
  <c r="AM66" i="20" s="1"/>
  <c r="J2" i="35"/>
  <c r="K4" i="55" s="1"/>
  <c r="H124" i="55"/>
  <c r="H89" i="55"/>
  <c r="R33" i="83"/>
  <c r="J72" i="55"/>
  <c r="J107" i="55"/>
  <c r="AE102" i="75"/>
  <c r="AF103" i="75"/>
  <c r="AF102" i="75" s="1"/>
  <c r="AD12" i="20"/>
  <c r="AD11" i="20" s="1"/>
  <c r="AD13" i="20" s="1"/>
  <c r="AE30" i="70"/>
  <c r="S39" i="75"/>
  <c r="T101" i="75"/>
  <c r="S109" i="75"/>
  <c r="S37" i="75" s="1"/>
  <c r="R41" i="75"/>
  <c r="AF67" i="83"/>
  <c r="AG68" i="83"/>
  <c r="X76" i="26"/>
  <c r="X15" i="26"/>
  <c r="X27" i="26"/>
  <c r="AO27" i="26" s="1"/>
  <c r="AO28" i="26"/>
  <c r="AP15" i="26" s="1"/>
  <c r="W73" i="26"/>
  <c r="W65" i="20" s="1"/>
  <c r="W66" i="20" s="1"/>
  <c r="AE69" i="59" l="1"/>
  <c r="AF70" i="59"/>
  <c r="Q33" i="59"/>
  <c r="R32" i="59"/>
  <c r="S68" i="59"/>
  <c r="R76" i="59"/>
  <c r="R29" i="59" s="1"/>
  <c r="R34" i="59" s="1"/>
  <c r="AM34" i="49"/>
  <c r="AM10" i="26"/>
  <c r="AM9" i="26" s="1"/>
  <c r="AJ37" i="49"/>
  <c r="J10" i="35"/>
  <c r="K14" i="55" s="1"/>
  <c r="K83" i="55"/>
  <c r="K118" i="55"/>
  <c r="K11" i="35"/>
  <c r="L15" i="55" s="1"/>
  <c r="AN33" i="49"/>
  <c r="AN34" i="49" s="1"/>
  <c r="AN38" i="59"/>
  <c r="AN37" i="82"/>
  <c r="J82" i="55"/>
  <c r="J117" i="55"/>
  <c r="AE12" i="20"/>
  <c r="AE11" i="20" s="1"/>
  <c r="AE13" i="20" s="1"/>
  <c r="AF30" i="70"/>
  <c r="AL34" i="82"/>
  <c r="I17" i="35"/>
  <c r="J21" i="55" s="1"/>
  <c r="I124" i="55"/>
  <c r="I89" i="55"/>
  <c r="S33" i="83"/>
  <c r="AG67" i="83"/>
  <c r="AH68" i="83"/>
  <c r="K90" i="55"/>
  <c r="K125" i="55"/>
  <c r="AM33" i="82"/>
  <c r="AM13" i="82"/>
  <c r="AM14" i="82"/>
  <c r="K107" i="55"/>
  <c r="K72" i="55"/>
  <c r="AM64" i="83"/>
  <c r="T39" i="75"/>
  <c r="U101" i="75"/>
  <c r="T109" i="75"/>
  <c r="T37" i="75" s="1"/>
  <c r="X20" i="26"/>
  <c r="X78" i="26" s="1"/>
  <c r="X73" i="26" s="1"/>
  <c r="X65" i="20" s="1"/>
  <c r="X66" i="20" s="1"/>
  <c r="AO15" i="26"/>
  <c r="U66" i="83"/>
  <c r="T31" i="83"/>
  <c r="T74" i="83"/>
  <c r="T29" i="83" s="1"/>
  <c r="AN14" i="82"/>
  <c r="AN33" i="82"/>
  <c r="AN13" i="82"/>
  <c r="W41" i="20"/>
  <c r="AN64" i="83"/>
  <c r="S41" i="75"/>
  <c r="E135" i="75"/>
  <c r="S32" i="59" l="1"/>
  <c r="T68" i="59"/>
  <c r="S76" i="59"/>
  <c r="S29" i="59" s="1"/>
  <c r="R33" i="59"/>
  <c r="AF69" i="59"/>
  <c r="AG70" i="59"/>
  <c r="AN34" i="82"/>
  <c r="K17" i="35"/>
  <c r="L21" i="55" s="1"/>
  <c r="T33" i="83"/>
  <c r="AN10" i="26"/>
  <c r="AN9" i="26" s="1"/>
  <c r="K10" i="35"/>
  <c r="L14" i="55" s="1"/>
  <c r="K117" i="55"/>
  <c r="K82" i="55"/>
  <c r="X41" i="20"/>
  <c r="T41" i="75"/>
  <c r="V66" i="83"/>
  <c r="U31" i="83"/>
  <c r="U74" i="83"/>
  <c r="U29" i="83" s="1"/>
  <c r="V101" i="75"/>
  <c r="U39" i="75"/>
  <c r="U109" i="75"/>
  <c r="U37" i="75" s="1"/>
  <c r="AM34" i="82"/>
  <c r="J17" i="35"/>
  <c r="K21" i="55" s="1"/>
  <c r="AF12" i="20"/>
  <c r="AF11" i="20" s="1"/>
  <c r="AH67" i="83"/>
  <c r="AI68" i="83"/>
  <c r="J124" i="55"/>
  <c r="J89" i="55"/>
  <c r="D7" i="55" l="1"/>
  <c r="AF13" i="20"/>
  <c r="S34" i="59"/>
  <c r="U41" i="75"/>
  <c r="AG69" i="59"/>
  <c r="AH70" i="59"/>
  <c r="T32" i="59"/>
  <c r="U68" i="59"/>
  <c r="T76" i="59"/>
  <c r="T29" i="59" s="1"/>
  <c r="T34" i="59" s="1"/>
  <c r="S33" i="59"/>
  <c r="D110" i="55"/>
  <c r="D75" i="55"/>
  <c r="W66" i="83"/>
  <c r="V31" i="83"/>
  <c r="V74" i="83"/>
  <c r="V29" i="83" s="1"/>
  <c r="AJ68" i="83"/>
  <c r="AI67" i="83"/>
  <c r="K124" i="55"/>
  <c r="K89" i="55"/>
  <c r="V39" i="75"/>
  <c r="W101" i="75"/>
  <c r="V109" i="75"/>
  <c r="U33" i="83"/>
  <c r="U32" i="59" l="1"/>
  <c r="V68" i="59"/>
  <c r="U76" i="59"/>
  <c r="U29" i="59" s="1"/>
  <c r="U34" i="59" s="1"/>
  <c r="T33" i="59"/>
  <c r="AI70" i="59"/>
  <c r="AH69" i="59"/>
  <c r="W39" i="75"/>
  <c r="X101" i="75"/>
  <c r="V33" i="83"/>
  <c r="V37" i="75"/>
  <c r="V43" i="75" s="1"/>
  <c r="W109" i="75"/>
  <c r="AK68" i="83"/>
  <c r="AJ67" i="83"/>
  <c r="X66" i="83"/>
  <c r="W31" i="83"/>
  <c r="W74" i="83"/>
  <c r="W29" i="83" s="1"/>
  <c r="AI69" i="59" l="1"/>
  <c r="AJ70" i="59"/>
  <c r="V32" i="59"/>
  <c r="W68" i="59"/>
  <c r="V76" i="59"/>
  <c r="V29" i="59" s="1"/>
  <c r="V34" i="59" s="1"/>
  <c r="U33" i="59"/>
  <c r="W33" i="83"/>
  <c r="V41" i="75"/>
  <c r="AL68" i="83"/>
  <c r="AK67" i="83"/>
  <c r="V52" i="75"/>
  <c r="X109" i="75"/>
  <c r="W37" i="75"/>
  <c r="W12" i="75" s="1"/>
  <c r="F133" i="75" s="1"/>
  <c r="F137" i="75" s="1"/>
  <c r="Y66" i="83"/>
  <c r="X31" i="83"/>
  <c r="X74" i="83"/>
  <c r="X29" i="83" s="1"/>
  <c r="Y101" i="75"/>
  <c r="X39" i="75"/>
  <c r="F135" i="75"/>
  <c r="AK70" i="59" l="1"/>
  <c r="AJ69" i="59"/>
  <c r="X68" i="59"/>
  <c r="W32" i="59"/>
  <c r="W76" i="59"/>
  <c r="W29" i="59" s="1"/>
  <c r="W34" i="59" s="1"/>
  <c r="V33" i="59"/>
  <c r="Z101" i="75"/>
  <c r="Y39" i="75"/>
  <c r="X33" i="83"/>
  <c r="Y31" i="83"/>
  <c r="Z66" i="83"/>
  <c r="Y74" i="83"/>
  <c r="Y29" i="83" s="1"/>
  <c r="X37" i="75"/>
  <c r="X12" i="75" s="1"/>
  <c r="Y109" i="75"/>
  <c r="AM68" i="83"/>
  <c r="AL67" i="83"/>
  <c r="W41" i="75"/>
  <c r="W33" i="59" l="1"/>
  <c r="Y68" i="59"/>
  <c r="X32" i="59"/>
  <c r="X76" i="59"/>
  <c r="X29" i="59" s="1"/>
  <c r="X34" i="59" s="1"/>
  <c r="AK69" i="59"/>
  <c r="AL70" i="59"/>
  <c r="AA66" i="83"/>
  <c r="Z31" i="83"/>
  <c r="Z74" i="83"/>
  <c r="Z29" i="83" s="1"/>
  <c r="Y33" i="83"/>
  <c r="Y41" i="75"/>
  <c r="AN68" i="83"/>
  <c r="AN67" i="83" s="1"/>
  <c r="AM67" i="83"/>
  <c r="AA101" i="75"/>
  <c r="Z39" i="75"/>
  <c r="X41" i="75"/>
  <c r="Y37" i="75"/>
  <c r="Y12" i="75" s="1"/>
  <c r="Z109" i="75"/>
  <c r="AL69" i="59" l="1"/>
  <c r="AM70" i="59"/>
  <c r="Y32" i="59"/>
  <c r="Y76" i="59"/>
  <c r="Y29" i="59" s="1"/>
  <c r="Y34" i="59" s="1"/>
  <c r="Z68" i="59"/>
  <c r="X33" i="59"/>
  <c r="Z33" i="83"/>
  <c r="AB66" i="83"/>
  <c r="AA31" i="83"/>
  <c r="AA74" i="83"/>
  <c r="AA29" i="83" s="1"/>
  <c r="Z37" i="75"/>
  <c r="Z41" i="75" s="1"/>
  <c r="AA109" i="75"/>
  <c r="AB101" i="75"/>
  <c r="AA39" i="75"/>
  <c r="G135" i="75"/>
  <c r="Z32" i="59" l="1"/>
  <c r="AA68" i="59"/>
  <c r="Z76" i="59"/>
  <c r="Z29" i="59" s="1"/>
  <c r="Z34" i="59" s="1"/>
  <c r="Y33" i="59"/>
  <c r="AN70" i="59"/>
  <c r="AN69" i="59" s="1"/>
  <c r="AM69" i="59"/>
  <c r="AC101" i="75"/>
  <c r="AB39" i="75"/>
  <c r="AA37" i="75"/>
  <c r="AA12" i="75" s="1"/>
  <c r="AB109" i="75"/>
  <c r="AA33" i="83"/>
  <c r="AC66" i="83"/>
  <c r="AB31" i="83"/>
  <c r="AB74" i="83"/>
  <c r="AB29" i="83" s="1"/>
  <c r="Z12" i="75"/>
  <c r="G133" i="75" l="1"/>
  <c r="G137" i="75" s="1"/>
  <c r="AA32" i="59"/>
  <c r="AB68" i="59"/>
  <c r="AA76" i="59"/>
  <c r="AA29" i="59" s="1"/>
  <c r="AA34" i="59" s="1"/>
  <c r="AA41" i="75"/>
  <c r="Z33" i="59"/>
  <c r="AB33" i="83"/>
  <c r="AC31" i="83"/>
  <c r="AD66" i="83"/>
  <c r="AC74" i="83"/>
  <c r="AC109" i="75"/>
  <c r="AB37" i="75"/>
  <c r="AB12" i="75" s="1"/>
  <c r="AD101" i="75"/>
  <c r="AE101" i="75" s="1"/>
  <c r="AF101" i="75" s="1"/>
  <c r="AC39" i="75"/>
  <c r="AA33" i="59" l="1"/>
  <c r="AB32" i="59"/>
  <c r="AC68" i="59"/>
  <c r="AB76" i="59"/>
  <c r="AB29" i="59" s="1"/>
  <c r="AB34" i="59" s="1"/>
  <c r="AB41" i="75"/>
  <c r="AD109" i="75"/>
  <c r="AE109" i="75" s="1"/>
  <c r="AF109" i="75" s="1"/>
  <c r="AC37" i="75"/>
  <c r="AC12" i="75" s="1"/>
  <c r="AD74" i="83"/>
  <c r="AC29" i="83"/>
  <c r="AC33" i="83" s="1"/>
  <c r="AD31" i="83"/>
  <c r="AE66" i="83"/>
  <c r="AD68" i="59" l="1"/>
  <c r="AC32" i="59"/>
  <c r="AC76" i="59"/>
  <c r="AC29" i="59" s="1"/>
  <c r="AC34" i="59" s="1"/>
  <c r="AB33" i="59"/>
  <c r="AE74" i="83"/>
  <c r="AD29" i="83"/>
  <c r="AD12" i="83" s="1"/>
  <c r="B3" i="84" s="1"/>
  <c r="AE31" i="83"/>
  <c r="AF66" i="83"/>
  <c r="AC41" i="75"/>
  <c r="AC33" i="59" l="1"/>
  <c r="AE68" i="59"/>
  <c r="AD76" i="59"/>
  <c r="AD32" i="59"/>
  <c r="AF31" i="83"/>
  <c r="AG66" i="83"/>
  <c r="AD34" i="83"/>
  <c r="B6" i="84" s="1"/>
  <c r="K3" i="84"/>
  <c r="AF74" i="83"/>
  <c r="AE29" i="83"/>
  <c r="AE12" i="83" s="1"/>
  <c r="C3" i="84" s="1"/>
  <c r="AD33" i="83"/>
  <c r="B4" i="84" s="1"/>
  <c r="AD29" i="59" l="1"/>
  <c r="AD34" i="59" s="1"/>
  <c r="AE76" i="59"/>
  <c r="AE32" i="59"/>
  <c r="AF68" i="59"/>
  <c r="K4" i="84"/>
  <c r="D3" i="84"/>
  <c r="L3" i="84"/>
  <c r="AG74" i="83"/>
  <c r="AF29" i="83"/>
  <c r="AF12" i="83" s="1"/>
  <c r="B10" i="84"/>
  <c r="B11" i="84" s="1"/>
  <c r="B8" i="84"/>
  <c r="B9" i="84" s="1"/>
  <c r="K6" i="84"/>
  <c r="AE33" i="83"/>
  <c r="C4" i="84" s="1"/>
  <c r="AE34" i="83"/>
  <c r="C6" i="84" s="1"/>
  <c r="AG31" i="83"/>
  <c r="AH66" i="83"/>
  <c r="AG68" i="59" l="1"/>
  <c r="AF32" i="59"/>
  <c r="AF76" i="59"/>
  <c r="AE29" i="59"/>
  <c r="AD33" i="59"/>
  <c r="AF33" i="83"/>
  <c r="D6" i="84"/>
  <c r="C10" i="84"/>
  <c r="C11" i="84" s="1"/>
  <c r="C8" i="84"/>
  <c r="C9" i="84" s="1"/>
  <c r="L6" i="84"/>
  <c r="AI66" i="83"/>
  <c r="AH31" i="83"/>
  <c r="I3" i="84"/>
  <c r="D4" i="84"/>
  <c r="L4" i="84"/>
  <c r="AF34" i="83"/>
  <c r="AG29" i="83"/>
  <c r="AG12" i="83" s="1"/>
  <c r="AH74" i="83"/>
  <c r="AE34" i="59" l="1"/>
  <c r="AE12" i="59"/>
  <c r="AG76" i="59"/>
  <c r="AF29" i="59"/>
  <c r="AE33" i="59"/>
  <c r="AH68" i="59"/>
  <c r="AG32" i="59"/>
  <c r="I4" i="84"/>
  <c r="AI74" i="83"/>
  <c r="AH29" i="83"/>
  <c r="AH12" i="83" s="1"/>
  <c r="AJ66" i="83"/>
  <c r="AI31" i="83"/>
  <c r="D10" i="84"/>
  <c r="D11" i="84" s="1"/>
  <c r="D8" i="84"/>
  <c r="D9" i="84" s="1"/>
  <c r="I6" i="84"/>
  <c r="I8" i="84" s="1"/>
  <c r="I9" i="84" s="1"/>
  <c r="AG33" i="83"/>
  <c r="AG34" i="83"/>
  <c r="AI68" i="59" l="1"/>
  <c r="AH32" i="59"/>
  <c r="AF34" i="59"/>
  <c r="AF33" i="59"/>
  <c r="AF12" i="59"/>
  <c r="AH76" i="59"/>
  <c r="AG29" i="59"/>
  <c r="AH34" i="83"/>
  <c r="AK66" i="83"/>
  <c r="AJ31" i="83"/>
  <c r="AH33" i="83"/>
  <c r="AJ74" i="83"/>
  <c r="AI29" i="83"/>
  <c r="AI12" i="83" s="1"/>
  <c r="AG34" i="59" l="1"/>
  <c r="AG12" i="59"/>
  <c r="AG33" i="59"/>
  <c r="AH29" i="59"/>
  <c r="AI76" i="59"/>
  <c r="AI32" i="59"/>
  <c r="AJ68" i="59"/>
  <c r="AK74" i="83"/>
  <c r="AJ29" i="83"/>
  <c r="AJ12" i="83" s="1"/>
  <c r="AJ33" i="83"/>
  <c r="AJ34" i="83"/>
  <c r="AL66" i="83"/>
  <c r="AK31" i="83"/>
  <c r="AI34" i="83"/>
  <c r="AI33" i="83"/>
  <c r="AK68" i="59" l="1"/>
  <c r="AJ32" i="59"/>
  <c r="AI29" i="59"/>
  <c r="AJ76" i="59"/>
  <c r="AH34" i="59"/>
  <c r="AH33" i="59"/>
  <c r="AH12" i="59"/>
  <c r="AM66" i="83"/>
  <c r="AL31" i="83"/>
  <c r="AL74" i="83"/>
  <c r="AK29" i="83"/>
  <c r="AK12" i="83" s="1"/>
  <c r="AK76" i="59" l="1"/>
  <c r="AJ29" i="59"/>
  <c r="AI34" i="59"/>
  <c r="AI12" i="59"/>
  <c r="AI33" i="59"/>
  <c r="AJ33" i="59"/>
  <c r="AL68" i="59"/>
  <c r="AK32" i="59"/>
  <c r="AM74" i="83"/>
  <c r="AL29" i="83"/>
  <c r="AL12" i="83" s="1"/>
  <c r="AK33" i="83"/>
  <c r="AK34" i="83"/>
  <c r="AL34" i="83"/>
  <c r="AL33" i="83"/>
  <c r="AN66" i="83"/>
  <c r="AN31" i="83" s="1"/>
  <c r="AM31" i="83"/>
  <c r="AJ34" i="59" l="1"/>
  <c r="AJ12" i="59"/>
  <c r="AL76" i="59"/>
  <c r="AK29" i="59"/>
  <c r="AM68" i="59"/>
  <c r="AL32" i="59"/>
  <c r="AN74" i="83"/>
  <c r="AN29" i="83" s="1"/>
  <c r="AN12" i="83" s="1"/>
  <c r="AM29" i="83"/>
  <c r="AM12" i="83" s="1"/>
  <c r="AM34" i="83"/>
  <c r="AM33" i="83"/>
  <c r="AN68" i="59" l="1"/>
  <c r="AN32" i="59" s="1"/>
  <c r="AM32" i="59"/>
  <c r="AK34" i="59"/>
  <c r="AK12" i="59"/>
  <c r="AK33" i="59"/>
  <c r="AM76" i="59"/>
  <c r="AL29" i="59"/>
  <c r="AN33" i="83"/>
  <c r="AN34" i="83"/>
  <c r="AL34" i="59" l="1"/>
  <c r="AL12" i="59"/>
  <c r="AN76" i="59"/>
  <c r="AN29" i="59" s="1"/>
  <c r="AM29" i="59"/>
  <c r="AL33" i="59"/>
  <c r="AN34" i="59" l="1"/>
  <c r="AN12" i="59"/>
  <c r="AN33" i="59"/>
  <c r="AM34" i="59"/>
  <c r="AM12" i="59"/>
  <c r="AM33" i="59"/>
  <c r="AG14" i="70"/>
  <c r="E31" i="55" s="1"/>
  <c r="AG24" i="70" l="1"/>
  <c r="C3" i="71" s="1"/>
  <c r="AG30" i="70"/>
  <c r="AG12" i="20" s="1"/>
  <c r="AG11" i="20" s="1"/>
  <c r="E100" i="55"/>
  <c r="E134" i="55"/>
  <c r="E7" i="55" l="1"/>
  <c r="E110" i="55" s="1"/>
  <c r="AG13" i="20"/>
  <c r="AH30" i="70"/>
  <c r="AI30" i="70" s="1"/>
  <c r="E75" i="55" l="1"/>
  <c r="AH12" i="20"/>
  <c r="AH11" i="20" s="1"/>
  <c r="AJ30" i="70"/>
  <c r="AI12" i="20"/>
  <c r="AI11" i="20" s="1"/>
  <c r="G7" i="55" l="1"/>
  <c r="G75" i="55" s="1"/>
  <c r="AI13" i="20"/>
  <c r="F7" i="55"/>
  <c r="F110" i="55" s="1"/>
  <c r="AH13" i="20"/>
  <c r="AK30" i="70"/>
  <c r="AJ12" i="20"/>
  <c r="AJ11" i="20" s="1"/>
  <c r="G110" i="55" l="1"/>
  <c r="F75" i="55"/>
  <c r="H7" i="55"/>
  <c r="H110" i="55" s="1"/>
  <c r="AJ13" i="20"/>
  <c r="AL30" i="70"/>
  <c r="AK12" i="20"/>
  <c r="AK11" i="20" s="1"/>
  <c r="H75" i="55" l="1"/>
  <c r="I7" i="55"/>
  <c r="I75" i="55" s="1"/>
  <c r="AK13" i="20"/>
  <c r="I110" i="55"/>
  <c r="AM30" i="70"/>
  <c r="AL12" i="20"/>
  <c r="AL11" i="20" s="1"/>
  <c r="J7" i="55" l="1"/>
  <c r="J75" i="55" s="1"/>
  <c r="AL13" i="20"/>
  <c r="AN30" i="70"/>
  <c r="AN12" i="20" s="1"/>
  <c r="AN11" i="20" s="1"/>
  <c r="AM12" i="20"/>
  <c r="AM11" i="20" s="1"/>
  <c r="J110" i="55" l="1"/>
  <c r="K7" i="55"/>
  <c r="K75" i="55" s="1"/>
  <c r="AM13" i="20"/>
  <c r="L7" i="55"/>
  <c r="AN13" i="20"/>
  <c r="K1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tc={56AF975A-1B19-4BAA-853D-6283C499CC9A}</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G15" authorId="0" shapeId="0" xr:uid="{56AF975A-1B19-4BAA-853D-6283C499CC9A}">
      <text>
        <t>[Threaded comment]
Your version of Excel allows you to read this threaded comment; however, any edits to it will get removed if the file is opened in a newer version of Excel. Learn more: https://go.microsoft.com/fwlink/?linkid=870924
Comment:
    Negative add factor from BEA to account for larger shutdown effects in employment Q4
Reply:
    See: “Calculating Shutdown” sheet</t>
      </text>
    </comment>
    <comment ref="B56"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8"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
Reply:
    January 2026 CBO Economic Projections, Quarterly Table, Line 134 from 2023 Q1 onward</t>
      </text>
    </comment>
    <comment ref="B59"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
Reply:
    January 2026 CBO Economic Projections, Quarterly Table, Line 145 from 2023 Q1 onward</t>
      </text>
    </comment>
    <comment ref="B60"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
Reply:
    January 2026 CBO Economic Projections, Quarterly Table, Line 147 from 2023 Q1 onward</t>
      </text>
    </comment>
    <comment ref="B61"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
Reply:
    January 2026 CBO Economic Projections, Quarterly Table, Line 157 from 2023 Q1 onward</t>
      </text>
    </comment>
    <comment ref="B62"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
Reply:
    January 2026 CBO Economic Projections, Quarterly Table, Line 168 from 2023 Q1 onward</t>
      </text>
    </comment>
    <comment ref="B63"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
Reply:
    January 2026 CBO Economic Projections, Quarterly Table, Line 170 from 2023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
Reply:
    This is now January 2026, CBO Economic Projections, Quarterly table, Row 94 from 2023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
Reply:
    Disregard</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tc={C0E0B112-9599-4C1E-BB7B-106081C4A7DC}</author>
    <author>tc={A64B8CF3-C2A5-4BA4-B620-14F203317F6C}</author>
    <author>tc={976B723C-4211-4969-882A-4B89C4902055}</author>
    <author>tc={395BD461-6A21-423E-BC63-1D85793EE006}</author>
    <author>tc={3D5BBFAC-4E76-4F2A-B34F-264D54111B07}</author>
    <author>tc={E7D459C7-D63C-4E4A-AE4E-B08D7B79CF4D}</author>
    <author>tc={C146291D-B06B-4D46-A30C-B289BA81D51C}</author>
    <author>tc={E1C9AF30-BF45-4D00-96AA-FA1C22743FA1}</author>
  </authors>
  <commentList>
    <comment ref="AG10" authorId="0" shapeId="0" xr:uid="{C0E0B112-9599-4C1E-BB7B-106081C4A7DC}">
      <text>
        <t xml:space="preserve">[Threaded comment]
Your version of Excel allows you to read this threaded comment; however, any edits to it will get removed if the file is opened in a newer version of Excel. Learn more: https://go.microsoft.com/fwlink/?linkid=870924
Comment:
    Assume higher spending because CBO had not seen 2025 Q3 </t>
      </text>
    </comment>
    <comment ref="AH10" authorId="1" shapeId="0" xr:uid="{A64B8CF3-C2A5-4BA4-B620-14F203317F6C}">
      <text>
        <t>[Threaded comment]
Your version of Excel allows you to read this threaded comment; however, any edits to it will get removed if the file is opened in a newer version of Excel. Learn more: https://go.microsoft.com/fwlink/?linkid=870924
Comment:
    Matching our shutdown effects instead of CBO</t>
      </text>
    </comment>
    <comment ref="B16" authorId="2"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18" authorId="3" shapeId="0" xr:uid="{395BD461-6A21-423E-BC63-1D85793EE006}">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35" authorId="4" shapeId="0" xr:uid="{00000000-0006-0000-1000-000003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Reply:
    These data are from January 2026 CBO Economic Projections Quarterly table, raw 147 from 2022 Q1 onward. </t>
      </text>
    </comment>
    <comment ref="B36" authorId="5"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Reply:
    These data are from January 2026 CBO Economic Projections Quarterly table, raw 148 from 2022 Q1 onward. </t>
      </text>
    </comment>
    <comment ref="B43" authorId="6"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49" authorId="7"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tc={866674FD-C643-4C79-82A2-C984EC84E5F2}</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AH13" authorId="1" shapeId="0" xr:uid="{866674FD-C643-4C79-82A2-C984EC84E5F2}">
      <text>
        <t>[Threaded comment]
Your version of Excel allows you to read this threaded comment; however, any edits to it will get removed if the file is opened in a newer version of Excel. Learn more: https://go.microsoft.com/fwlink/?linkid=870924
Comment:
    Check once we have data for 2026 Q1 -&gt; the add factor should go away</t>
      </text>
    </comment>
    <comment ref="R20" authorId="2"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1" authorId="3"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3" authorId="4"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6" authorId="5"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7" authorId="6"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6" authorId="7"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6" authorId="8"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7" authorId="9" shapeId="0" xr:uid="{00000000-0006-0000-12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tc={86EE7B25-37C7-46C5-A877-2F8929979611}</author>
    <author>tc={2F0D2920-F0F1-40FD-B319-7B4020276F9E}</author>
    <author>tc={92EEE46B-DE2B-4EF1-A3C2-1030520ACB88}</author>
    <author>tc={09188FF2-A127-4014-A01D-03DD2BF0FA2E}</author>
    <author>tc={6A9D0C8A-F9C2-4EE0-B3A9-3E7911CC1731}</author>
    <author>tc={5E6012FC-E5EC-49B2-9F3E-FF9BACB20939}</author>
    <author>tc={DDAB7CB7-ECA7-4B19-8FA6-19E2C3431BF9}</author>
  </authors>
  <commentList>
    <comment ref="V13"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3"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AG14" authorId="2" shapeId="0" xr:uid="{86EE7B25-37C7-46C5-A877-2F8929979611}">
      <text>
        <t>[Threaded comment]
Your version of Excel allows you to read this threaded comment; however, any edits to it will get removed if the file is opened in a newer version of Excel. Learn more: https://go.microsoft.com/fwlink/?linkid=870924
Comment:
    Make 0 when we get in new data + account for smaller fraction due to rolling average</t>
      </text>
    </comment>
    <comment ref="B19" authorId="3"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
Reply:
    This is now January 2026 CBO Budget Projections Table 3-2 Mandatory Outlays Adjusted to Exclude Effects of Timing Shifts, row 16, starting from 2025</t>
      </text>
    </comment>
    <comment ref="K21" authorId="4" shapeId="0" xr:uid="{92EEE46B-DE2B-4EF1-A3C2-1030520ACB88}">
      <text>
        <t>[Threaded comment]
Your version of Excel allows you to read this threaded comment; however, any edits to it will get removed if the file is opened in a newer version of Excel. Learn more: https://go.microsoft.com/fwlink/?linkid=870924
Comment:
    Hardcoded to reflect decrease in annual FMAP</t>
      </text>
    </comment>
    <comment ref="W30" authorId="5" shapeId="0" xr:uid="{00000000-0006-0000-13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30" authorId="6" shapeId="0" xr:uid="{00000000-0006-0000-13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31" authorId="7" shapeId="0" xr:uid="{00000000-0006-0000-13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31" authorId="8" shapeId="0" xr:uid="{00000000-0006-0000-13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4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
Reply:
    This is now January 2026 CBO 10-year budget projections Table 3-2 Mandatory Outlays Adjusted to Exclude Effects of Timing Shifts, row 15, from 2025 onward</t>
      </text>
    </comment>
    <comment ref="H26"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tc={8FB47374-4848-494C-9611-08DEDB6C3345}</author>
    <author>tc={65CA9285-C6F9-4D00-A5F0-56CF0CE5A87C}</author>
    <author>tc={DA19FCEB-89EA-41CF-9291-62EA28E34EB3}</author>
    <author>tc={8BBEDEB9-D195-4695-A605-390DFBBB88E0}</author>
    <author>tc={64664D4F-919E-4CE2-B6AD-802770EBCAE7}</author>
    <author>tc={51F03C7E-34E2-4A7A-8F08-C042D450DF19}</author>
    <author>tc={55B2518C-B502-422D-9766-9585E121F99A}</author>
    <author>tc={6FCB5A21-C57A-4A12-8E90-17C5D6395D0A}</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AG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T2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Still not sure what happened here</t>
      </text>
    </comment>
    <comment ref="U27"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B30"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8"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AF6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Revised down 9 following Oct/Nov MPI </t>
      </text>
    </comment>
    <comment ref="B82"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Reply:
    This is now January 2026 CBO budget projections Table 3-2 Adjusted to Exclude Effects of Timing Shifts, row 12 Social Security Subtotal from 2025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tc={CC0CA2FF-9B6B-4D44-A126-EE40603437D5}</author>
    <author>tc={E29308D5-32BD-4C8D-A510-8963668B7349}</author>
    <author>tc={8CF24AF3-65B1-4E66-BFF2-4EEAE166C517}</author>
    <author>tc={458453D1-4287-4FED-90D5-7B2C5821F1FC}</author>
    <author>tc={9F68A36B-BADF-42E9-8897-412F98B5BF1D}</author>
    <author>tc={B5160EA3-E650-441A-B09E-3876F50C0768}</author>
    <author>tc={D81DFBB7-86CD-4EFB-AB9A-397620A1BB73}</author>
    <author>tc={24F94836-2C70-4D99-A431-04968E6EED39}</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tc={097006B6-67FE-456D-98C0-EEDBBF620524}</author>
    <author>tc={75116B21-85F0-41FF-8761-1C32F5413CDC}</author>
    <author>tc={EBDB931A-D867-4379-AEC4-D01DA7FE1ACD}</author>
    <author>tc={2C4BAD88-B40B-4A01-A5F2-F84C2536C03E}</author>
    <author>tc={90E87782-0AE8-4B86-831F-856790231CB4}</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F12"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Added 25 to revise up following Oct/Nov MPI</t>
      </text>
    </comment>
    <comment ref="AG12"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Matching Jan 2026 CBO FY growth rates (-15)
Reply:
    And weaker taxes from Advance Estimate of Q4 data (-30)</t>
      </text>
    </comment>
    <comment ref="AK12"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Matching Jan 2026 CBO Growth Rates</t>
      </text>
    </comment>
    <comment ref="AF14"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Revised down 6 following oct/nov MPI</t>
      </text>
    </comment>
    <comment ref="AD16" authorId="5" shapeId="0" xr:uid="{00000000-0006-0000-1C00-000006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F16" authorId="6" shapeId="0" xr:uid="{00000000-0006-0000-1C00-000007000000}">
      <text>
        <t>[Threaded comment]
Your version of Excel allows you to read this threaded comment; however, any edits to it will get removed if the file is opened in a newer version of Excel. Learn more: https://go.microsoft.com/fwlink/?linkid=870924
Comment:
    Add factor for the growth of FY averages to match Jan 2026 CBO growth rates</t>
      </text>
    </comment>
    <comment ref="AP16" authorId="7" shapeId="0" xr:uid="{00000000-0006-0000-1C00-000008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H18" authorId="8" shapeId="0" xr:uid="{24F94836-2C70-4D99-A431-04968E6EED39}">
      <text>
        <t>[Threaded comment]
Your version of Excel allows you to read this threaded comment; however, any edits to it will get removed if the file is opened in a newer version of Excel. Learn more: https://go.microsoft.com/fwlink/?linkid=870924
Comment:
    5% decrease (half of 10% of IEEPA tariffs, which is 50% of total tariffs) - following the SC decision</t>
      </text>
    </comment>
    <comment ref="V19" authorId="9"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10"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11"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12" shapeId="0" xr:uid="{00000000-0006-0000-1C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13" shapeId="0" xr:uid="{00000000-0006-0000-1C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14"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15" shapeId="0" xr:uid="{00000000-0006-0000-1C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6" shapeId="0" xr:uid="{00000000-0006-0000-1C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7" shapeId="0" xr:uid="{00000000-0006-0000-1C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19" authorId="18"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Override this in the code
Reply:
    79</t>
      </text>
    </comment>
    <comment ref="AC26" authorId="19"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6" authorId="20"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30" authorId="21"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30" authorId="22"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30" authorId="23" shapeId="0" xr:uid="{00000000-0006-0000-1C00-00001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30" authorId="24" shapeId="0" xr:uid="{00000000-0006-0000-1C00-000018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30" authorId="25" shapeId="0" xr:uid="{00000000-0006-0000-1C00-000019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30" authorId="26" shapeId="0" xr:uid="{00000000-0006-0000-1C00-00001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30" authorId="27" shapeId="0" xr:uid="{00000000-0006-0000-1C00-00001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30" authorId="28" shapeId="0" xr:uid="{00000000-0006-0000-1C00-00001C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30" authorId="29" shapeId="0" xr:uid="{00000000-0006-0000-1C00-00001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1" authorId="30" shapeId="0" xr:uid="{00000000-0006-0000-1C00-00001E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5" authorId="31" shapeId="0" xr:uid="{00000000-0006-0000-1C00-00001F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5" authorId="32" shapeId="0" xr:uid="{00000000-0006-0000-1C00-000020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5" authorId="33" shapeId="0" xr:uid="{00000000-0006-0000-1C00-000021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1" authorId="34" shapeId="0" xr:uid="{00000000-0006-0000-1C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
Reply:
    January 2026 CBO Budget Projections Table 1-1 Row 12 from 2025 onward</t>
      </text>
    </comment>
    <comment ref="D63" authorId="35" shapeId="0" xr:uid="{00000000-0006-0000-1C00-000023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
Reply:
    January 2026 CBO Budget Projections Table 1-1 Row 13 from 2025 onward</t>
      </text>
    </comment>
    <comment ref="D66" authorId="36" shapeId="0" xr:uid="{00000000-0006-0000-1C00-000024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8" authorId="37" shapeId="0" xr:uid="{00000000-0006-0000-1C00-000025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70" authorId="38" shapeId="0" xr:uid="{00000000-0006-0000-1C00-000026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71" authorId="39" shapeId="0" xr:uid="{00000000-0006-0000-1C00-00002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89" authorId="40" shapeId="0" xr:uid="{00000000-0006-0000-1C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
Reply:
    January 2026 Economic Projections 3. Fiscal Year row 110 from 2023 onward</t>
      </text>
    </comment>
    <comment ref="D90" authorId="41" shapeId="0" xr:uid="{00000000-0006-0000-1C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
Reply:
    January 2026 Economic Projections 3. Fiscal Year row 114 from 2023 onward</t>
      </text>
    </comment>
    <comment ref="D91" authorId="42" shapeId="0" xr:uid="{00000000-0006-0000-1C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
Reply:
    January 2026 CBO Economic Projections, Fiscal Year Table, Row 134 from 2023 onward</t>
      </text>
    </comment>
    <comment ref="D92" authorId="43" shapeId="0" xr:uid="{00000000-0006-0000-1C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
Reply:
    January 2026 CBO Economic Projections  Fiscal Year Table, row 31 from 2025 onward</t>
      </text>
    </comment>
    <comment ref="D113" authorId="44" shapeId="0" xr:uid="{00000000-0006-0000-1C00-00002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
Reply:
    January 2026 Economic Projections Quarterly Table, Row 114 from 2023 Q1 onward</t>
      </text>
    </comment>
    <comment ref="D114" authorId="45" shapeId="0" xr:uid="{00000000-0006-0000-1C00-00002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
Reply:
    January 2026 CBO Economic Projections Quarterly Table, Row 116 from 2023 Q1 onward</t>
      </text>
    </comment>
    <comment ref="D115" authorId="46" shapeId="0" xr:uid="{00000000-0006-0000-1C00-00002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
Reply:
    January 2026 CBO Economic Projections Quarterly Table, Row 134 from 2023 Q1 onward</t>
      </text>
    </comment>
    <comment ref="D116" authorId="47" shapeId="0" xr:uid="{00000000-0006-0000-1C00-00002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
Reply:
    January 2026 CBO Economic Projections Quarterly Table, Row 130 Profits, corporate, domestic, with IVA &amp; CCAdj from 2023 Q1 onward</t>
      </text>
    </comment>
    <comment ref="U139" authorId="48" shapeId="0" xr:uid="{00000000-0006-0000-1C00-000030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2" authorId="49" shapeId="0" xr:uid="{00000000-0006-0000-1C00-000031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2" authorId="50" shapeId="0" xr:uid="{00000000-0006-0000-1C00-000032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2" authorId="51" shapeId="0" xr:uid="{00000000-0006-0000-1C00-000033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2" authorId="52" shapeId="0" xr:uid="{00000000-0006-0000-1C00-000034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2" authorId="53" shapeId="0" xr:uid="{00000000-0006-0000-1C00-00003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2" authorId="54" shapeId="0" xr:uid="{00000000-0006-0000-1C00-00003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2" authorId="55" shapeId="0" xr:uid="{00000000-0006-0000-1C00-000037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2" authorId="56" shapeId="0" xr:uid="{00000000-0006-0000-1C00-00003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D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D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D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D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D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D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D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D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D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D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D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D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D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D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D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D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D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D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D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D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D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D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5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5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<sst xmlns="http://schemas.openxmlformats.org/spreadsheetml/2006/main" count="5677" uniqueCount="2413">
  <si>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</si>
  <si>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</si>
  <si>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</si>
  <si>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</si>
  <si>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</si>
  <si>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</si>
  <si>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</si>
  <si>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</si>
  <si>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</si>
  <si>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</si>
  <si>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</si>
  <si>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</si>
  <si>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</si>
  <si>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</si>
  <si>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</si>
  <si>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</si>
  <si>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</si>
  <si>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</si>
  <si>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</si>
  <si>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</si>
  <si>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</si>
  <si>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</si>
  <si>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</si>
  <si>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</si>
  <si>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</si>
  <si>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</si>
  <si>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</si>
  <si>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</si>
  <si>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</si>
  <si>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</si>
  <si>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</si>
  <si>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</si>
  <si>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</si>
  <si>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</si>
  <si>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</si>
  <si>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</si>
  <si>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</si>
  <si>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</si>
  <si>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</si>
  <si>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</si>
  <si>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</si>
  <si>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</si>
  <si>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</si>
  <si>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</si>
  <si>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</si>
  <si>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</si>
  <si>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</si>
  <si>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</si>
  <si>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</si>
  <si>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</si>
  <si>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</si>
  <si>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</si>
  <si>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</si>
  <si>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</si>
  <si>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</si>
  <si>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</si>
  <si>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</si>
  <si>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</si>
  <si>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</si>
  <si>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</si>
  <si>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</si>
  <si>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</si>
  <si>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</si>
  <si>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</si>
  <si>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</si>
  <si>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</si>
  <si>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</si>
  <si>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</si>
  <si>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</si>
  <si>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</si>
  <si>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</si>
  <si>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</si>
  <si>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</si>
  <si>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</si>
  <si>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</si>
  <si>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</si>
  <si>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</si>
  <si>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</si>
  <si>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</si>
  <si>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</si>
  <si>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</si>
  <si>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</si>
  <si>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</si>
  <si>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</si>
  <si>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</si>
  <si>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</si>
  <si>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</si>
  <si>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</si>
  <si>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</si>
  <si>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</si>
  <si>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</si>
  <si>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</si>
  <si>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</si>
  <si>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</si>
  <si>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</si>
  <si>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</si>
  <si>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</si>
  <si>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</si>
  <si>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</si>
  <si>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</si>
  <si>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</si>
  <si>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</si>
  <si>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</si>
  <si>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</si>
  <si>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</si>
  <si>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</si>
  <si>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</si>
  <si>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</si>
  <si>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</si>
  <si>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</si>
  <si>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</si>
  <si>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</si>
  <si>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</si>
  <si>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</si>
  <si>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</si>
  <si>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</si>
  <si>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</si>
  <si>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</si>
  <si>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</si>
  <si>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</si>
  <si>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</si>
  <si>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</si>
  <si>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</si>
  <si>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</si>
  <si>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</si>
  <si>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</si>
  <si>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</si>
  <si>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</si>
  <si>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</si>
  <si>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</si>
  <si>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</si>
  <si>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</si>
  <si>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</si>
  <si>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</si>
  <si>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</si>
  <si>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</si>
  <si>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</si>
  <si>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</si>
  <si>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</si>
  <si>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</si>
  <si>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</si>
  <si>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</si>
  <si>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</si>
  <si>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</si>
  <si>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</si>
  <si>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</si>
  <si>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</si>
  <si>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</si>
  <si>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</si>
  <si>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</si>
  <si>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</si>
  <si>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</si>
  <si>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</si>
  <si>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</si>
  <si>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</si>
  <si>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</si>
  <si>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</si>
  <si>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</si>
  <si>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</si>
  <si>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</si>
  <si>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</si>
  <si>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</si>
  <si>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</si>
  <si>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</si>
  <si>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</si>
  <si>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</si>
  <si>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</si>
  <si>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</si>
  <si>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</si>
  <si>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</si>
  <si>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</si>
  <si>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</si>
  <si>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</si>
  <si>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</si>
  <si>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</si>
  <si>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</si>
  <si>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</si>
  <si>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</si>
  <si>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</si>
  <si>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</si>
  <si>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</si>
  <si>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</si>
  <si>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</si>
  <si>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</si>
  <si>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</si>
  <si>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</si>
  <si>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</si>
  <si>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</si>
  <si>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</si>
  <si>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</si>
  <si>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</si>
  <si>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</si>
  <si>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</si>
  <si>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</si>
  <si>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</si>
  <si>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</si>
  <si>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</si>
  <si>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</si>
  <si>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</si>
  <si>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</si>
  <si>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</si>
  <si>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</si>
  <si>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</si>
  <si>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</si>
  <si>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</si>
  <si>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</si>
  <si>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</si>
  <si>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</si>
  <si>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</si>
  <si>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</si>
  <si>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</si>
  <si>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</si>
  <si>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</si>
  <si>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</si>
  <si>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</si>
  <si>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</si>
  <si>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</si>
  <si>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</si>
  <si>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</si>
  <si>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</si>
  <si>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</si>
  <si>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</si>
  <si>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</si>
  <si>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</si>
  <si>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</si>
  <si>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</si>
  <si>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</si>
  <si>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</si>
  <si>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</si>
  <si>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</si>
  <si>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</si>
  <si>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</si>
  <si>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</si>
  <si>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</si>
  <si>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</si>
  <si>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</si>
  <si>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</si>
  <si>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</si>
  <si>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</si>
  <si>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</si>
  <si>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</si>
  <si>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</si>
  <si>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</si>
  <si>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</si>
  <si>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</si>
  <si>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</si>
  <si>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</si>
  <si>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</si>
  <si>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</si>
  <si>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</si>
  <si>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</si>
  <si>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</si>
  <si>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</si>
  <si>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</si>
  <si>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</si>
  <si>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</si>
  <si>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</si>
  <si>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</si>
  <si>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</si>
  <si>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</si>
  <si>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</si>
  <si>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</si>
  <si>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</si>
  <si>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</si>
  <si>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</si>
  <si>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</si>
  <si>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</si>
  <si>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</si>
  <si>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</si>
  <si>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</si>
  <si>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</si>
  <si>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</si>
  <si>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</si>
  <si>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</si>
  <si>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</si>
  <si>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</si>
  <si>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</si>
  <si>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</si>
  <si>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</si>
  <si>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</si>
  <si>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</si>
  <si>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</si>
  <si>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</si>
  <si>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</si>
  <si>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</si>
  <si>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</si>
  <si>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</si>
  <si>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</si>
  <si>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</si>
  <si>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</si>
  <si>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</si>
  <si>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</si>
  <si>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</si>
  <si>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</si>
  <si>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</si>
  <si>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</si>
  <si>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</si>
  <si>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</si>
  <si>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</si>
  <si>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</si>
  <si>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</si>
  <si>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</si>
  <si>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</si>
  <si>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</si>
  <si>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</si>
  <si>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</si>
  <si>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</si>
  <si>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</si>
  <si>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</si>
  <si>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</si>
  <si>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</si>
  <si>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</si>
  <si>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</si>
  <si>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</si>
  <si>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</si>
  <si>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</si>
  <si>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</si>
  <si>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</si>
  <si>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</si>
  <si>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</si>
  <si>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</si>
  <si>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</si>
  <si>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</si>
  <si>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</si>
  <si>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</si>
  <si>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</si>
  <si>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</si>
  <si>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</si>
  <si>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</si>
  <si>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</si>
  <si>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</si>
  <si>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</si>
  <si>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</si>
  <si>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</si>
  <si>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</si>
  <si>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</si>
  <si>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</si>
  <si>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</si>
  <si>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</si>
  <si>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</si>
  <si>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</si>
  <si>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</si>
  <si>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</si>
  <si>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</si>
  <si>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</si>
  <si>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</si>
  <si>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</si>
  <si>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</si>
  <si>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</si>
  <si>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</si>
  <si>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</si>
  <si>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</si>
  <si>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</si>
  <si>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</si>
  <si>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</si>
  <si>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</si>
  <si>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</si>
  <si>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</si>
  <si>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</si>
  <si>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</si>
  <si>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</si>
  <si>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</si>
  <si>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</si>
  <si>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</si>
  <si>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</si>
  <si>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</si>
  <si>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</si>
  <si>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</si>
  <si>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</si>
  <si>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</si>
  <si>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</si>
  <si>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</si>
  <si>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</si>
  <si>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</si>
  <si>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</si>
  <si>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</si>
  <si>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</si>
  <si>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</si>
  <si>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</si>
  <si>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</si>
  <si>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</si>
  <si>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</si>
  <si>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</si>
  <si>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</si>
  <si>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</si>
  <si>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</si>
  <si>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</si>
  <si>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</si>
  <si>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</si>
  <si>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</si>
  <si>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</si>
  <si>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</si>
  <si>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</si>
  <si>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</si>
  <si>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</si>
  <si>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</si>
  <si>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</si>
  <si>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</si>
  <si>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</si>
  <si>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</si>
  <si>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</si>
  <si>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</si>
  <si>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</si>
  <si>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</si>
  <si>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</si>
  <si>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</si>
  <si>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</si>
  <si>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</si>
  <si>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</si>
  <si>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</si>
  <si>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</si>
  <si>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</si>
  <si>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</si>
  <si>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</si>
  <si>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</si>
  <si>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</si>
  <si>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</si>
  <si>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</si>
  <si>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</si>
  <si>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</si>
  <si>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</si>
  <si>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</si>
  <si>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</si>
  <si>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</si>
  <si>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</si>
  <si>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</si>
  <si>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</si>
  <si>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</si>
  <si>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</si>
  <si>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</si>
  <si>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</si>
  <si>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</si>
  <si>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</si>
  <si>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</si>
  <si>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</si>
  <si>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</si>
  <si>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</si>
  <si>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</si>
  <si>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</si>
  <si>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</si>
  <si>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</si>
  <si>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</si>
  <si>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</si>
  <si>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</si>
  <si>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</si>
  <si>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</si>
  <si>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</si>
  <si>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</si>
  <si>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</si>
  <si>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</si>
  <si>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</si>
  <si>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</si>
  <si>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</si>
  <si>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</si>
  <si>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</si>
  <si>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</si>
  <si>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</si>
  <si>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</si>
  <si>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</si>
  <si>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</si>
  <si>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</si>
  <si>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</si>
  <si>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</si>
  <si>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</si>
  <si>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</si>
  <si>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</si>
  <si>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</si>
  <si>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</si>
  <si>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</si>
  <si>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</si>
  <si>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</si>
  <si>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</si>
  <si>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</si>
  <si>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</si>
  <si>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</si>
  <si>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</si>
  <si>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</si>
  <si>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</si>
  <si>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</si>
  <si>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</si>
  <si>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</si>
  <si>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</si>
  <si>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</si>
  <si>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</si>
  <si>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</si>
  <si>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</si>
  <si>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</si>
  <si>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</si>
  <si>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</si>
  <si>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</si>
  <si>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</si>
  <si>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</si>
  <si>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</si>
  <si>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</si>
  <si>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</si>
  <si>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</si>
  <si>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</si>
  <si>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</si>
  <si>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</si>
  <si>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</si>
  <si>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</si>
  <si>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</si>
  <si>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</si>
  <si>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</si>
  <si>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</si>
  <si>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</si>
  <si>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</si>
  <si>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</si>
  <si>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</si>
  <si>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</si>
  <si>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</si>
  <si>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</si>
  <si>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</si>
  <si>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</si>
  <si>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</si>
  <si>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</si>
  <si>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</si>
  <si>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</si>
  <si>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</si>
  <si>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</si>
  <si>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</si>
  <si>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</si>
  <si>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</si>
  <si>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</si>
  <si>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</si>
  <si>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</si>
  <si>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</si>
  <si>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</si>
  <si>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</si>
  <si>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</si>
  <si>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</si>
  <si>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</si>
  <si>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</si>
  <si>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</si>
  <si>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</si>
  <si>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</si>
  <si>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</si>
  <si>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</si>
  <si>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</si>
  <si>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</si>
  <si>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</si>
  <si>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</si>
  <si>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</si>
  <si>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</si>
  <si>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</si>
  <si>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</si>
  <si>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</si>
  <si>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</si>
  <si>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</si>
  <si>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</si>
  <si>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</si>
  <si>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</si>
  <si>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</si>
  <si>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</si>
  <si>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</si>
  <si>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</si>
  <si>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</si>
  <si>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</si>
  <si>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</si>
  <si>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</si>
  <si>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</si>
  <si>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</si>
  <si>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</si>
  <si>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</si>
  <si>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</si>
  <si>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</si>
  <si>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</si>
  <si>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</si>
  <si>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</si>
  <si>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</si>
  <si>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</si>
  <si>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</si>
  <si>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</si>
  <si>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</si>
  <si>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</si>
  <si>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</si>
  <si>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</si>
  <si>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</si>
  <si>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</si>
  <si>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</si>
  <si>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</si>
  <si>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</si>
  <si>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</si>
  <si>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</si>
  <si>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</si>
  <si>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</si>
  <si>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</si>
  <si>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</si>
  <si>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</si>
  <si>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</si>
  <si>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</si>
  <si>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</si>
  <si>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</si>
  <si>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</si>
  <si>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</si>
  <si>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</si>
  <si>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</si>
  <si>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</si>
  <si>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</si>
  <si>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</si>
  <si>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</si>
  <si>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</si>
  <si>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</si>
  <si>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</si>
  <si>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</si>
  <si>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</si>
  <si>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</si>
  <si>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</si>
  <si>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</si>
  <si>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</si>
  <si>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</si>
  <si>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</si>
  <si>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</si>
  <si>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</si>
  <si>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</si>
  <si>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</si>
  <si>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</si>
  <si>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</si>
  <si>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</si>
  <si>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</si>
  <si>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</si>
  <si>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</si>
  <si>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</si>
  <si>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</si>
  <si>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</si>
  <si>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</si>
  <si>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</si>
  <si>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</si>
  <si>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</si>
  <si>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</si>
  <si>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</si>
  <si>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</si>
  <si>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</si>
  <si>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</si>
  <si>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</si>
  <si>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</si>
  <si>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</si>
  <si>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</si>
  <si>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</si>
  <si>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</si>
  <si>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</si>
  <si>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</si>
  <si>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</si>
  <si>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</si>
  <si>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</si>
  <si>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</si>
  <si>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</si>
  <si>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</si>
  <si>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</si>
  <si>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</si>
  <si>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</si>
  <si>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</si>
  <si>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</si>
  <si>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</si>
  <si>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</si>
  <si>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</si>
  <si>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</si>
  <si>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</si>
  <si>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</si>
  <si>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</si>
  <si>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</si>
  <si>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</si>
  <si>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</si>
  <si>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</si>
  <si>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</si>
  <si>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</si>
  <si>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</si>
  <si>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</si>
  <si>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</si>
  <si>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</si>
  <si>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</si>
  <si>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</si>
  <si>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</si>
  <si>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</si>
  <si>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</si>
  <si>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</si>
  <si>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</si>
  <si>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</si>
  <si>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</si>
  <si>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</si>
  <si>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</si>
  <si>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</si>
  <si>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</si>
  <si>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</si>
  <si>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</si>
  <si>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</si>
  <si>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</si>
  <si>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</si>
  <si>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</si>
  <si>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</si>
  <si>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</si>
  <si>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</si>
  <si>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</si>
  <si>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</si>
  <si>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</si>
  <si>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</si>
  <si>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</si>
  <si>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</si>
  <si>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</si>
  <si>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</si>
  <si>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</si>
  <si>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</si>
  <si>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</si>
  <si>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</si>
  <si>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</si>
  <si>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</si>
  <si>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</si>
  <si>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</si>
  <si>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</si>
  <si>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</si>
  <si>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</si>
  <si>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</si>
  <si>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</si>
  <si>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</si>
  <si>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</si>
  <si>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</si>
  <si>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</si>
  <si>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</si>
  <si>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</si>
  <si>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</si>
  <si>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</si>
  <si>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</si>
  <si>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</si>
  <si>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</si>
  <si>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</si>
  <si>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</si>
  <si>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</si>
  <si>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</si>
  <si>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</si>
  <si>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</si>
  <si>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</si>
  <si>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</si>
  <si>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</si>
  <si>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</si>
  <si>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</si>
  <si>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</si>
  <si>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</si>
  <si>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</si>
  <si>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</si>
  <si>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</si>
  <si>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</si>
  <si>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</si>
  <si>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</si>
  <si>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</si>
  <si>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</si>
  <si>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</si>
  <si>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</si>
  <si>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</si>
  <si>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</si>
  <si>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</si>
  <si>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</si>
  <si>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</si>
  <si>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</si>
  <si>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</si>
  <si>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</si>
  <si>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</si>
  <si>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</si>
  <si>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</si>
  <si>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</si>
  <si>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</si>
  <si>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</si>
  <si>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</si>
  <si>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</si>
  <si>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</si>
  <si>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</si>
  <si>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</si>
  <si>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</si>
  <si>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</si>
  <si>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</si>
  <si>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</si>
  <si>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</si>
  <si>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</si>
  <si>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</si>
  <si>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</si>
  <si>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</si>
  <si>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</si>
  <si>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</si>
  <si>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</si>
  <si>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</si>
  <si>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</si>
  <si>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</si>
  <si>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</si>
  <si>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</si>
  <si>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</si>
  <si>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</si>
  <si>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</si>
  <si>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</si>
  <si>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</si>
  <si>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</si>
  <si>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</si>
  <si>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</si>
  <si>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</si>
  <si>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</si>
  <si>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</si>
  <si>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</si>
  <si>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</si>
  <si>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</si>
  <si>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</si>
  <si>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</si>
  <si>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</si>
  <si>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</si>
  <si>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</si>
  <si>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</si>
  <si>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</si>
  <si>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</si>
  <si>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</si>
  <si>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</si>
  <si>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</si>
  <si>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</si>
  <si>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</si>
  <si>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</si>
  <si>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</si>
  <si>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</si>
  <si>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</si>
  <si>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</si>
  <si>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</si>
  <si>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</si>
  <si>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</si>
  <si>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</si>
  <si>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</si>
  <si>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</si>
  <si>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</si>
  <si>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</si>
  <si>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</si>
  <si>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</si>
  <si>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</si>
  <si>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</si>
  <si>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</si>
  <si>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</si>
  <si>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</si>
  <si>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</si>
  <si>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</si>
  <si>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</si>
  <si>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</si>
  <si>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</si>
  <si>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</si>
  <si>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</si>
  <si>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</si>
  <si>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</si>
  <si>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</si>
  <si>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</si>
  <si>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</si>
  <si>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</si>
  <si>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</si>
  <si>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</si>
  <si>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</si>
  <si>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</si>
  <si>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</si>
  <si>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</si>
  <si>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</si>
  <si>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</si>
  <si>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</si>
  <si>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</si>
  <si>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</si>
  <si>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</si>
  <si>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</si>
  <si>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</si>
  <si>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</si>
  <si>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</si>
  <si>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</si>
  <si>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</si>
  <si>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</si>
  <si>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</si>
  <si>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</si>
  <si>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</si>
  <si>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</si>
  <si>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</si>
  <si>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</si>
  <si>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</si>
  <si>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</si>
  <si>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</si>
  <si>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</si>
  <si>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</si>
  <si>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</si>
  <si>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</si>
  <si>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</si>
  <si>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</si>
  <si>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</si>
  <si>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</si>
  <si>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</si>
  <si>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</si>
  <si>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</si>
  <si>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</si>
  <si>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</si>
  <si>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</si>
  <si>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</si>
  <si>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</si>
  <si>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</si>
  <si>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</si>
  <si>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</si>
  <si>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</si>
  <si>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</si>
  <si>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</si>
  <si>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</si>
  <si>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</si>
  <si>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</si>
  <si>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</si>
  <si>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</si>
  <si>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</si>
  <si>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</si>
  <si>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</si>
  <si>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</si>
  <si>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</si>
  <si>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</si>
  <si>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</si>
  <si>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</si>
  <si>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</si>
  <si>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</si>
  <si>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</si>
  <si>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</si>
  <si>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</si>
  <si>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</si>
  <si>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</si>
  <si>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</si>
  <si>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</si>
  <si>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</si>
  <si>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</si>
  <si>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</si>
  <si>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</si>
  <si>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</si>
  <si>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</si>
  <si>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</si>
  <si>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</si>
  <si>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</si>
  <si>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</si>
  <si>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</si>
  <si>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</si>
  <si>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</si>
  <si>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</si>
  <si>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</si>
  <si>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</si>
  <si>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</si>
  <si>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</si>
  <si>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</si>
  <si>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</si>
  <si>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</si>
  <si>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</si>
  <si>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</si>
  <si>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</si>
  <si>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</si>
  <si>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</si>
  <si>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</si>
  <si>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</si>
  <si>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</si>
  <si>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</si>
  <si>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</si>
  <si>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</si>
  <si>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</si>
  <si>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</si>
  <si>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</si>
  <si>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</si>
  <si>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</si>
  <si>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</si>
  <si>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</si>
  <si>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</si>
  <si>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</si>
  <si>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</si>
  <si>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</si>
  <si>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</si>
  <si>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</si>
  <si>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</si>
  <si>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</si>
  <si>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</si>
  <si>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</si>
  <si>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</si>
  <si>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</si>
  <si>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</si>
  <si>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</si>
  <si>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</si>
  <si>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</si>
  <si>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</si>
  <si>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</si>
  <si>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</si>
  <si>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</si>
  <si>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</si>
  <si>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</si>
  <si>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</si>
  <si>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</si>
  <si>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</si>
  <si>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</si>
  <si>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</si>
  <si>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</si>
  <si>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</si>
  <si>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</si>
  <si>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</si>
  <si>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</si>
  <si>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</si>
  <si>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</si>
  <si>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</si>
  <si>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</si>
  <si>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</si>
  <si>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</si>
  <si>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</si>
  <si>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</si>
  <si>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</si>
  <si>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</si>
  <si>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</si>
  <si>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</si>
  <si>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</si>
  <si>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</si>
  <si>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</si>
  <si>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</si>
  <si>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</si>
  <si>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</si>
  <si>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</si>
  <si>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</si>
  <si>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</si>
  <si>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</si>
  <si>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</si>
  <si>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</si>
  <si>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</si>
  <si>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</si>
  <si>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</si>
  <si>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</si>
  <si>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</si>
  <si>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</si>
  <si>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</si>
  <si>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</si>
  <si>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</si>
  <si>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</si>
  <si>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</si>
  <si>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</si>
  <si>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</si>
  <si>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</si>
  <si>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</si>
  <si>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</si>
  <si>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</si>
  <si>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</si>
  <si>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</si>
  <si>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</si>
  <si>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</si>
  <si>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</si>
  <si>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</si>
  <si>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</si>
  <si>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</si>
  <si>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</si>
  <si>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</si>
  <si>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</si>
  <si>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</si>
  <si>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</si>
  <si>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</si>
  <si>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</si>
  <si>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</si>
  <si>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</si>
  <si>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</si>
  <si>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</si>
  <si>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</si>
  <si>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</si>
  <si>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</si>
  <si>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</si>
  <si>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</si>
  <si>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</si>
  <si>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</si>
  <si>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</si>
  <si>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</si>
  <si>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</si>
  <si>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</si>
  <si>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</si>
  <si>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</si>
  <si>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</si>
  <si>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</si>
  <si>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</si>
  <si>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</si>
  <si>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</si>
  <si>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</si>
  <si>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</si>
  <si>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</si>
  <si>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</si>
  <si>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</si>
  <si>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</si>
  <si>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</si>
  <si>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</si>
  <si>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</si>
  <si>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</si>
  <si>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</si>
  <si>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</si>
  <si>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</si>
  <si>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</si>
  <si>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</si>
  <si>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</si>
  <si>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</si>
  <si>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</si>
  <si>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</si>
  <si>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</si>
  <si>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</si>
  <si>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</si>
  <si>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</si>
  <si>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</si>
  <si>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</si>
  <si>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</si>
  <si>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</si>
  <si>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</si>
  <si>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</si>
  <si>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</si>
  <si>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</si>
  <si>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</si>
  <si>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</si>
  <si>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</si>
  <si>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</si>
  <si>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</si>
  <si>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</si>
  <si>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</si>
  <si>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</si>
  <si>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</si>
  <si>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</si>
  <si>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</si>
  <si>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</si>
  <si>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</si>
  <si>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</si>
  <si>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</si>
  <si>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</si>
  <si>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</si>
  <si>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</si>
  <si>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</si>
  <si>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</si>
  <si>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</si>
  <si>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</si>
  <si>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</si>
  <si>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</si>
  <si>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</si>
  <si>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</si>
  <si>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</si>
  <si>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</si>
  <si>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</si>
  <si>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</si>
  <si>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</si>
  <si>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</si>
  <si>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</si>
  <si>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</si>
  <si>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</si>
  <si>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</si>
  <si>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</si>
  <si>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</si>
  <si>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</si>
  <si>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</si>
  <si>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</si>
  <si>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</si>
  <si>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</si>
  <si>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</si>
  <si>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</si>
  <si>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</si>
  <si>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</si>
  <si>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</si>
  <si>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</si>
  <si>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</si>
  <si>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</si>
  <si>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</si>
  <si>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</si>
  <si>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</si>
  <si>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</si>
  <si>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</si>
  <si>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</si>
  <si>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</si>
  <si>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</si>
  <si>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</si>
  <si>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</si>
  <si>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</si>
  <si>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</si>
  <si>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</si>
  <si>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</si>
  <si>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</si>
  <si>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</si>
  <si>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</si>
  <si>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</si>
  <si>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</si>
  <si>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</si>
  <si>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</si>
  <si>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</si>
  <si>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</si>
  <si>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</si>
  <si>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</si>
  <si>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</si>
  <si>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</si>
  <si>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</si>
  <si>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</si>
  <si>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</si>
  <si>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</si>
  <si>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</si>
  <si>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</si>
  <si>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</si>
  <si>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</si>
  <si>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</si>
  <si>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</si>
  <si>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</si>
  <si>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</si>
  <si>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</si>
  <si>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</si>
  <si>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</si>
  <si>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</si>
  <si>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</si>
  <si>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</si>
  <si>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</si>
  <si>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</si>
  <si>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</si>
  <si>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</si>
  <si>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</si>
  <si>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</si>
  <si>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</si>
  <si>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</si>
  <si>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</si>
  <si>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</si>
  <si>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</si>
  <si>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</si>
  <si>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</si>
  <si>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</si>
  <si>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</si>
  <si>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</si>
  <si>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</si>
  <si>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</si>
  <si>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</si>
  <si>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</si>
  <si>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</si>
  <si>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</si>
  <si>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</si>
  <si>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</si>
  <si>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</si>
  <si>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</si>
  <si>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</si>
  <si>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</si>
  <si>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</si>
  <si>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</si>
  <si>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</si>
  <si>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</si>
  <si>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</si>
  <si>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</si>
  <si>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</si>
  <si>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</si>
  <si>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</si>
  <si>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</si>
  <si>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</si>
  <si>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</si>
  <si>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</si>
  <si>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</si>
  <si>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</si>
  <si>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</si>
  <si>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</si>
  <si>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</si>
  <si>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</si>
  <si>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</si>
  <si>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</si>
  <si>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</si>
  <si>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</si>
  <si>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</si>
  <si>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</si>
  <si>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</si>
  <si>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</si>
  <si>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</si>
  <si>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</si>
  <si>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</si>
  <si>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</si>
  <si>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</si>
  <si>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</si>
  <si>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</si>
  <si>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</si>
  <si>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</si>
  <si>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</si>
  <si>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</si>
  <si>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</si>
  <si>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</si>
  <si>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</si>
  <si>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</si>
  <si>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</si>
  <si>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</si>
  <si>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</si>
  <si>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</si>
  <si>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</si>
  <si>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</si>
  <si>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</si>
  <si>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</si>
  <si>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</si>
  <si>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</si>
  <si>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</si>
  <si>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</si>
  <si>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</si>
  <si>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</si>
  <si>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</si>
  <si>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</si>
  <si>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</si>
  <si>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</si>
  <si>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</si>
  <si>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</si>
  <si>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</si>
  <si>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</si>
  <si>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</si>
  <si>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</si>
  <si>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</si>
  <si>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</si>
  <si>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</si>
  <si>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</si>
  <si>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</si>
  <si>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</si>
  <si>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</si>
  <si>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</si>
  <si>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</si>
  <si>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</si>
  <si>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</si>
  <si>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</si>
  <si>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</si>
  <si>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</si>
  <si>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</si>
  <si>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</si>
  <si>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</si>
  <si>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</si>
  <si>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</si>
  <si>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</si>
  <si>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</si>
  <si>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</si>
  <si>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</si>
  <si>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</si>
  <si>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</si>
  <si>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</si>
  <si>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</si>
  <si>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</si>
  <si>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</si>
  <si>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</si>
  <si>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</si>
  <si>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</si>
  <si>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</si>
  <si>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</si>
  <si>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</si>
  <si>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</si>
  <si>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</si>
  <si>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</si>
  <si>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</si>
  <si>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</si>
  <si>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</si>
  <si>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</si>
  <si>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</si>
  <si>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</si>
  <si>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</si>
  <si>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</si>
  <si>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</si>
  <si>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</si>
  <si>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</si>
  <si>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</si>
  <si>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</si>
  <si>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</si>
  <si>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</si>
  <si>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</si>
  <si>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</si>
  <si>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</si>
  <si>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</si>
  <si>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</si>
  <si>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</si>
  <si>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</si>
  <si>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</si>
  <si>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</si>
  <si>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</si>
  <si>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</si>
  <si>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</si>
  <si>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</si>
  <si>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</si>
  <si>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</si>
  <si>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</si>
  <si>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</si>
  <si>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</si>
  <si>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</si>
  <si>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</si>
  <si>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</si>
  <si>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</si>
  <si>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</si>
  <si>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</si>
  <si>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</si>
  <si>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</si>
  <si>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</si>
  <si>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</si>
  <si>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</si>
  <si>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</si>
  <si>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</si>
  <si>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</si>
  <si>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</si>
  <si>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</si>
  <si>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</si>
  <si>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</si>
  <si>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</si>
  <si>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</si>
  <si>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</si>
  <si>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</si>
  <si>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</si>
  <si>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</si>
  <si>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</si>
  <si>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</si>
  <si>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</si>
  <si>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</si>
  <si>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</si>
  <si>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</si>
  <si>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</si>
  <si>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</si>
  <si>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</si>
  <si>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</si>
  <si>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</si>
  <si>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</si>
  <si>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</si>
  <si>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</si>
  <si>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</si>
  <si>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</si>
  <si>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</si>
  <si>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</si>
  <si>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</si>
  <si>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</si>
  <si>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</si>
  <si>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</si>
  <si>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</si>
  <si>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</si>
  <si>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</si>
  <si>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</si>
  <si>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</si>
  <si>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</si>
  <si>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</si>
  <si>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</si>
  <si>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</si>
  <si>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</si>
  <si>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</si>
  <si>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</si>
  <si>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</si>
  <si>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</si>
  <si>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</si>
  <si>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</si>
  <si>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</si>
  <si>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</si>
  <si>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</si>
  <si>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</si>
  <si>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</si>
  <si>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</si>
  <si>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</si>
  <si>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</si>
  <si>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</si>
  <si>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</si>
  <si>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</si>
  <si>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</si>
  <si>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</si>
  <si>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</si>
  <si>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</si>
  <si>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</si>
  <si>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</si>
  <si>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</si>
  <si>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</si>
  <si>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</si>
  <si>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</si>
  <si>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</si>
  <si>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</si>
  <si>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</si>
  <si>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</si>
  <si>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</si>
  <si>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</si>
  <si>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</si>
  <si>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</si>
  <si>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</si>
  <si>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</si>
  <si>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</si>
  <si>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</si>
  <si>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</si>
  <si>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</si>
  <si>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</si>
  <si>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</si>
  <si>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</si>
  <si>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</si>
  <si>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</si>
  <si>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</si>
  <si>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</si>
  <si>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</si>
  <si>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</si>
  <si>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</si>
  <si>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</si>
  <si>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</si>
  <si>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</si>
  <si>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</si>
  <si>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</si>
  <si>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</si>
  <si>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</si>
  <si>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</si>
  <si>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</si>
  <si>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</si>
  <si>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</si>
  <si>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</si>
  <si>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</si>
  <si>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</si>
  <si>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</si>
  <si>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</si>
  <si>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</si>
  <si>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</si>
  <si>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</si>
  <si>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</si>
  <si>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</si>
  <si>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</si>
  <si>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</si>
  <si>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</si>
  <si>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</si>
  <si>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</si>
  <si>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</si>
  <si>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</si>
  <si>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</si>
  <si>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</si>
  <si>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</si>
  <si>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</si>
  <si>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</si>
  <si>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</si>
  <si>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</si>
  <si>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</si>
  <si>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</si>
  <si>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</si>
  <si>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</si>
  <si>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</si>
  <si>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</si>
  <si>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</si>
  <si>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</si>
  <si>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</si>
  <si>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</si>
  <si>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</si>
  <si>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</si>
  <si>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</si>
  <si>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</si>
  <si>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</si>
  <si>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</si>
  <si>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</si>
  <si>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</si>
  <si>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</si>
  <si>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</si>
  <si>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</si>
  <si>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</si>
  <si>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</si>
  <si>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</si>
  <si>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</si>
  <si>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</si>
  <si>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</si>
  <si>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</si>
  <si>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</si>
  <si>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</si>
  <si>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</si>
  <si>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</si>
  <si>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</si>
  <si>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</si>
  <si>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</si>
  <si>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</si>
  <si>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</si>
  <si>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</si>
  <si>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</si>
  <si>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</si>
  <si>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</si>
  <si>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</si>
  <si>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</si>
  <si>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</si>
  <si>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</si>
  <si>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</si>
  <si>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</si>
  <si>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</si>
  <si>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</si>
  <si>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</si>
  <si>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</si>
  <si>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</si>
  <si>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</si>
  <si>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</si>
  <si>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</si>
  <si>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</si>
  <si>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</si>
  <si>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</si>
  <si>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</si>
  <si>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</si>
  <si>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</si>
  <si>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</si>
  <si>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</si>
  <si>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</si>
  <si>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</si>
  <si>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</si>
  <si>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</si>
  <si>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</si>
  <si>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</si>
  <si>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</si>
  <si>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</si>
  <si>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</si>
  <si>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</si>
  <si>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</si>
  <si>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</si>
  <si>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</si>
  <si>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</si>
  <si>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</si>
  <si>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</si>
  <si>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</si>
  <si>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</si>
  <si>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</si>
  <si>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</si>
  <si>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</si>
  <si>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</si>
  <si>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</si>
  <si>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</si>
  <si>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</si>
  <si>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</si>
  <si>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</si>
  <si>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</si>
  <si>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</si>
  <si>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</si>
  <si>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</si>
  <si>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</si>
  <si>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</si>
  <si>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</si>
  <si>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</si>
  <si>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</si>
  <si>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</si>
  <si>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</si>
  <si>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</si>
  <si>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</si>
  <si>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</si>
  <si>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</si>
  <si>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</si>
  <si>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</si>
  <si>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</si>
  <si>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</si>
  <si>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</si>
  <si>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</si>
  <si>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</si>
  <si>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</si>
  <si>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</si>
  <si>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</si>
  <si>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</si>
  <si>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</si>
  <si>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</si>
  <si>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</si>
  <si>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</si>
  <si>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</si>
  <si>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</si>
  <si>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</si>
  <si>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</si>
  <si>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</si>
  <si>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</si>
  <si>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</si>
  <si>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</si>
  <si>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</si>
  <si>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</si>
  <si>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</si>
  <si>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</si>
  <si>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</si>
  <si>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</si>
  <si>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</si>
  <si>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</si>
  <si>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</si>
  <si>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</si>
  <si>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</si>
  <si>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</si>
  <si>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</si>
  <si>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</si>
  <si>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</si>
  <si>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</si>
  <si>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</si>
  <si>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</si>
  <si>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</si>
  <si>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</si>
  <si>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</si>
  <si>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</si>
  <si>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</si>
  <si>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</si>
  <si>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</si>
  <si>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</si>
  <si>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</si>
  <si>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</si>
  <si>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</si>
  <si>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</si>
  <si>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</si>
  <si>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</si>
  <si>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</si>
  <si>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</si>
  <si>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</si>
  <si>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</si>
  <si>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</si>
  <si>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</si>
  <si>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</si>
  <si>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</si>
  <si>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</si>
  <si>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</si>
  <si>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</si>
  <si>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</si>
  <si>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</si>
  <si>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</si>
  <si>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</si>
  <si>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</si>
  <si>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</si>
  <si>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</si>
  <si>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</si>
  <si>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</si>
  <si>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</si>
  <si>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</si>
  <si>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</si>
  <si>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</si>
  <si>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</si>
  <si>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</si>
  <si>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</si>
  <si>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</si>
  <si>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</si>
  <si>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</si>
  <si>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</si>
  <si>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</si>
  <si>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</si>
  <si>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</si>
  <si>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</si>
  <si>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</si>
  <si>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</si>
  <si>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</si>
  <si>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</si>
  <si>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</si>
  <si>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</si>
  <si>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</si>
  <si>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</si>
  <si>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</si>
  <si>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</si>
  <si>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</si>
  <si>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</si>
  <si>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</si>
  <si>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</si>
  <si>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</si>
  <si>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</si>
  <si>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</si>
  <si>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</si>
  <si>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</si>
  <si>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</si>
  <si>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</si>
  <si>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</si>
  <si>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</si>
  <si>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</si>
  <si>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</si>
  <si>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</si>
  <si>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</si>
  <si>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</si>
  <si>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</si>
  <si>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</si>
  <si>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</si>
  <si>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</si>
  <si>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</si>
  <si>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</si>
  <si>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</si>
  <si>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</si>
  <si>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</si>
  <si>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</si>
  <si>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</si>
  <si>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</si>
  <si>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</si>
  <si>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</si>
  <si>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</si>
  <si>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</si>
  <si>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</si>
  <si>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</si>
  <si>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</si>
  <si>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</si>
  <si>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</si>
  <si>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</si>
  <si>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</si>
  <si>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</si>
  <si>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</si>
  <si>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</si>
  <si>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</si>
  <si>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</si>
  <si>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</si>
  <si>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</si>
  <si>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</si>
  <si>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</si>
  <si>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</si>
  <si>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</si>
  <si>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</si>
  <si>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</si>
  <si>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</si>
  <si>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</si>
  <si>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</si>
  <si>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</si>
  <si>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</si>
  <si>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</si>
  <si>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</si>
  <si>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</si>
  <si>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</si>
  <si>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</si>
  <si>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</si>
  <si>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</si>
  <si>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</si>
  <si>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</si>
  <si>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</si>
  <si>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</si>
  <si>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</si>
  <si>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</si>
  <si>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</si>
  <si>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</si>
  <si>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</si>
  <si>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</si>
  <si>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</si>
  <si>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</si>
  <si>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</si>
  <si>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</si>
  <si>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</si>
  <si>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</si>
  <si>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</si>
  <si>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</si>
  <si>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</si>
  <si>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</si>
  <si>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</si>
  <si>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</si>
  <si>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</si>
  <si>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</si>
  <si>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</si>
  <si>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</si>
  <si>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</si>
  <si>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</si>
  <si>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</si>
  <si>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</si>
  <si>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</si>
  <si>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</si>
  <si>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</si>
  <si>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</si>
  <si>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</si>
  <si>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</si>
  <si>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</si>
  <si>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</si>
  <si>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</si>
  <si>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</si>
  <si>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</si>
  <si>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</si>
  <si>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</si>
  <si>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</si>
  <si>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</si>
  <si>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</si>
  <si>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</si>
  <si>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</si>
  <si>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</si>
  <si>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</si>
  <si>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</si>
  <si>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</si>
  <si>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</si>
  <si>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</si>
  <si>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</si>
  <si>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</si>
  <si>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</si>
  <si>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</si>
  <si>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</si>
  <si>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</si>
  <si>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</si>
  <si>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</si>
  <si>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</si>
  <si>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</si>
  <si>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</si>
  <si>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</si>
  <si>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</si>
  <si>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</si>
  <si>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</si>
  <si>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</si>
  <si>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</si>
  <si>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</si>
  <si>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</si>
  <si>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</si>
  <si>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</si>
  <si>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</si>
  <si>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</si>
  <si>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</si>
  <si>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</si>
  <si>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</si>
  <si>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</si>
  <si>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</si>
  <si>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</si>
  <si>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</si>
  <si>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</si>
  <si>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</si>
  <si>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</si>
  <si>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</si>
  <si>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</si>
  <si>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</si>
  <si>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</si>
  <si>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</si>
  <si>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</si>
  <si>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</si>
  <si>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</si>
  <si>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</si>
  <si>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</si>
  <si>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</si>
  <si>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</si>
  <si>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</si>
  <si>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</si>
  <si>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</si>
  <si>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</si>
  <si>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</si>
  <si>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</si>
  <si>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</si>
  <si>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</si>
  <si>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</si>
  <si>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</si>
  <si>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</si>
  <si>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</si>
  <si>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</si>
  <si>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</si>
  <si>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</si>
  <si>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</si>
  <si>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</si>
  <si>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</si>
  <si>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</si>
  <si>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</si>
  <si>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</si>
  <si>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</si>
  <si>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</si>
  <si>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</si>
  <si>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</si>
  <si>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</si>
  <si>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</si>
  <si>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</si>
  <si>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</si>
  <si>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</si>
  <si>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</si>
  <si>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</si>
  <si>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</si>
  <si>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</si>
  <si>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</si>
  <si>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</si>
  <si>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</si>
  <si>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</si>
  <si>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</si>
  <si>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</si>
  <si>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</si>
  <si>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</si>
  <si>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</si>
  <si>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</si>
  <si>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</si>
  <si>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</si>
  <si>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</si>
  <si>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</si>
  <si>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</si>
  <si>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</si>
  <si>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</si>
  <si>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</si>
  <si>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</si>
  <si>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</si>
  <si>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</si>
  <si>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</si>
  <si>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</si>
  <si>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</si>
  <si>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</si>
  <si>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</si>
  <si>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</si>
  <si>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</si>
  <si>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</si>
  <si>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</si>
  <si>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</si>
  <si>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</si>
  <si>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</si>
  <si>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</si>
  <si>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</si>
  <si>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</si>
  <si>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</si>
  <si>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</si>
  <si>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</si>
  <si>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</si>
  <si>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</si>
  <si>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</si>
  <si>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</si>
  <si>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</si>
  <si>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</si>
  <si>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</si>
  <si>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</si>
  <si>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</si>
  <si>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</si>
  <si>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</si>
  <si>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</si>
  <si>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</si>
  <si>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</si>
  <si>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</si>
  <si>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</si>
  <si>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</si>
  <si>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</si>
  <si>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</si>
  <si>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</si>
  <si>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</si>
  <si>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</si>
  <si>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</si>
  <si>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</si>
  <si>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</si>
  <si>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</si>
  <si>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</si>
  <si>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</si>
  <si>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</si>
  <si>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</si>
  <si>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</si>
  <si>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</si>
  <si>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</si>
  <si>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</si>
  <si>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</si>
  <si>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</si>
  <si>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</si>
  <si>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</si>
  <si>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</si>
  <si>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</si>
  <si>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</si>
  <si>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</si>
  <si>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</si>
  <si>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</si>
  <si>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</si>
  <si>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</si>
  <si>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</si>
  <si>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</si>
  <si>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</si>
  <si>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</si>
  <si>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</si>
  <si>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</si>
  <si>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</si>
  <si>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</si>
  <si>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</si>
  <si>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</si>
  <si>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</si>
  <si>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</si>
  <si>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</si>
  <si>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</si>
  <si>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</si>
  <si>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</si>
  <si>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</si>
  <si>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</si>
  <si>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</si>
  <si>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</si>
  <si>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</si>
  <si>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</si>
  <si>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Nominal Federal Purchases (NIPA Consistent)</t>
  </si>
  <si>
    <t>Supply Side OBBBA</t>
  </si>
  <si>
    <t xml:space="preserve">   Corporate taxes add factor </t>
  </si>
  <si>
    <t xml:space="preserve">    growth</t>
  </si>
  <si>
    <t>OBBBA Add Factor</t>
  </si>
  <si>
    <t>State Plus Local (Thousands)</t>
  </si>
  <si>
    <t>Quarterly State and Local Employment, for Reference</t>
  </si>
  <si>
    <t>necessary text</t>
  </si>
  <si>
    <t>Tariff Uncertainty</t>
  </si>
  <si>
    <t>structures before Trump recissions</t>
  </si>
  <si>
    <t>yes</t>
  </si>
  <si>
    <t>If this table has been released, go to sheet called "Month" MPI and create a new column.</t>
  </si>
  <si>
    <t>July r</t>
  </si>
  <si>
    <t>Aug. r</t>
  </si>
  <si>
    <t>State purchases deflator add factor</t>
  </si>
  <si>
    <t>Copy paste the forecast table from the most recent update (Paste Values Only) into the "Previous Forecast" table. Keep the formulas in the first table so the data from Haver can be pulled in.</t>
  </si>
  <si>
    <t>Sept. r</t>
  </si>
  <si>
    <t>Quarterly Average of PCE</t>
  </si>
  <si>
    <t>Quarter to Quarter Difference</t>
  </si>
  <si>
    <t>Annualized Quarter over Quarter Difference</t>
  </si>
  <si>
    <t>Annualized month over month change</t>
  </si>
  <si>
    <r>
      <t>Social Security linear growth factor</t>
    </r>
    <r>
      <rPr>
        <i/>
        <sz val="11"/>
        <color theme="1"/>
        <rFont val="Arial"/>
        <family val="2"/>
      </rPr>
      <t xml:space="preserve"> (hardcoded-judgemental add factor)</t>
    </r>
  </si>
  <si>
    <t>January 2026 CBO economic release</t>
  </si>
  <si>
    <t>IN FORECAST</t>
  </si>
  <si>
    <t>January 2026 CBO Projection of State and Local purchases</t>
  </si>
  <si>
    <t>January 2026 CBO State and Local Purchases Growth</t>
  </si>
  <si>
    <t>Unified and January 2026 CBO Projection of Social Security</t>
  </si>
  <si>
    <t>January 2026 CBO Projections of Federal Taxes (Fiscal Years)</t>
  </si>
  <si>
    <t>January 2026 CBO Unemployment Rate Projection</t>
  </si>
  <si>
    <t>January 2026 CBO Projection of Federal Medicaid Outlays</t>
  </si>
  <si>
    <t>January 2026 CBO Annual Medicare Spending</t>
  </si>
  <si>
    <t xml:space="preserve">Corporate Taxes </t>
  </si>
  <si>
    <t>Payroll growth rate (calculated)</t>
  </si>
  <si>
    <t>Corporate Taxes (calculated)</t>
  </si>
  <si>
    <t>Excise growth rate (calculated)</t>
  </si>
  <si>
    <t xml:space="preserve">Customs growth rate (calculated) </t>
  </si>
  <si>
    <t>NIPA consistent corporate taxes - OLD w/OBBBA</t>
  </si>
  <si>
    <t>January 2026 CBO projection of the annual tax base</t>
  </si>
  <si>
    <t>January 2026 CBO Tax Base Quarterly Projections</t>
  </si>
  <si>
    <t>NIPA consistent corporate taxes - with earlier timing of retroactive corporate tax cut</t>
  </si>
  <si>
    <t>FY Average - fed</t>
  </si>
  <si>
    <t>Federal Share (FMAP) OBBBA Effect</t>
  </si>
  <si>
    <t>Federal Share (FMAP) Rolling Average</t>
  </si>
  <si>
    <t>FY Average - total</t>
  </si>
  <si>
    <t>FY Average - total GROWTH</t>
  </si>
  <si>
    <t>deflator</t>
  </si>
  <si>
    <t>Social Security plus COVID PROGRAMS: rebate checks (ARP and non-ARP) + ARP other direct aid + SNAP + PPP to NPISH + IRA</t>
  </si>
  <si>
    <t xml:space="preserve">    YoY growth rate</t>
  </si>
  <si>
    <t xml:space="preserve">    Level Change from last quarter</t>
  </si>
  <si>
    <r>
      <t>Portion of Social Benefits we've accounted for:</t>
    </r>
    <r>
      <rPr>
        <sz val="11"/>
        <color rgb="FF7030A0"/>
        <rFont val="Arial"/>
        <family val="2"/>
      </rPr>
      <t xml:space="preserve"> CTC + UI + medicare pre-pandemic</t>
    </r>
    <r>
      <rPr>
        <sz val="11"/>
        <color theme="1"/>
        <rFont val="Arial"/>
        <family val="2"/>
      </rPr>
      <t xml:space="preserve"> +</t>
    </r>
    <r>
      <rPr>
        <sz val="11"/>
        <color rgb="FFFF0000"/>
        <rFont val="Arial"/>
        <family val="2"/>
      </rPr>
      <t xml:space="preserve"> all other pandemic stuff we've accounted for</t>
    </r>
  </si>
  <si>
    <t>Total Rebate Checks (ARP + non-ARP)</t>
  </si>
  <si>
    <t>Federal Purchases (Real, NIPA Consistent)</t>
  </si>
  <si>
    <t>State Purchases (Real, NIPA Consistent)</t>
  </si>
  <si>
    <t>NIPA Consistent Projected State Purchases, Real</t>
  </si>
  <si>
    <t>Overrides (the table we edit in the forecast period)</t>
  </si>
  <si>
    <t>CBO &amp; Haver (Historical)</t>
  </si>
  <si>
    <t>we never do this</t>
  </si>
  <si>
    <t>2026 Q1 Inital Estimate (February)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</si>
  <si>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</si>
  <si>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</si>
  <si>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</si>
  <si>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</si>
  <si>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</si>
  <si>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</si>
  <si>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</si>
  <si>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</si>
  <si>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</si>
  <si>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</si>
  <si>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</si>
  <si>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</si>
  <si>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</si>
  <si>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</si>
  <si>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</si>
  <si>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</si>
  <si>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</si>
  <si>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</si>
  <si>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</si>
  <si>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</si>
  <si>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</si>
  <si>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</si>
  <si>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</si>
  <si>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</si>
  <si>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</si>
  <si>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</si>
  <si>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</si>
  <si>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</si>
  <si>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</si>
  <si>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</si>
  <si>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</si>
  <si>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</si>
  <si>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</si>
  <si>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</si>
  <si>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</si>
  <si>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</si>
  <si>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</si>
  <si>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</si>
  <si>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</si>
  <si>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</si>
  <si>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</si>
  <si>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</si>
  <si>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</si>
  <si>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</si>
  <si>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</si>
  <si>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</si>
  <si>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</si>
  <si>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</si>
  <si>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</si>
  <si>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</si>
  <si>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</si>
  <si>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</si>
  <si>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</si>
  <si>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</si>
  <si>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</si>
  <si>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</si>
  <si>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</si>
  <si>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</si>
  <si>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</si>
  <si>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</si>
  <si>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</si>
  <si>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</si>
  <si>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</si>
  <si>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</si>
  <si>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</si>
  <si>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</si>
  <si>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</si>
  <si>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</si>
  <si>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</si>
  <si>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</si>
  <si>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</si>
  <si>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</si>
  <si>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</si>
  <si>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</si>
  <si>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</si>
  <si>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</si>
  <si>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</si>
  <si>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</si>
  <si>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</si>
  <si>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</si>
  <si>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</si>
  <si>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</si>
  <si>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</si>
  <si>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</si>
  <si>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</si>
  <si>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</si>
  <si>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</si>
  <si>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</si>
  <si>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</si>
  <si>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</si>
  <si>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</si>
  <si>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</si>
  <si>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</si>
  <si>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</si>
  <si>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</si>
  <si>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</si>
  <si>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</si>
  <si>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</si>
  <si>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</si>
  <si>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</si>
  <si>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</si>
  <si>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</si>
  <si>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</si>
  <si>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</si>
  <si>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</si>
  <si>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</si>
  <si>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</si>
  <si>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</si>
  <si>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</si>
  <si>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</si>
  <si>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</si>
  <si>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</si>
  <si>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</si>
  <si>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</si>
  <si>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</si>
  <si>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</si>
  <si>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</si>
  <si>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</si>
  <si>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</si>
  <si>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</si>
  <si>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</si>
  <si>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</si>
  <si>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</si>
  <si>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</si>
  <si>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</si>
  <si>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</si>
  <si>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</si>
  <si>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</si>
  <si>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</si>
  <si>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</si>
  <si>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</si>
  <si>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</si>
  <si>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</si>
  <si>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</si>
  <si>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</si>
  <si>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</si>
  <si>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</si>
  <si>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</si>
  <si>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</si>
  <si>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</si>
  <si>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</si>
  <si>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</si>
  <si>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</si>
  <si>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</si>
  <si>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</si>
  <si>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</si>
  <si>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</si>
  <si>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</si>
  <si>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</si>
  <si>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</si>
  <si>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</si>
  <si>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</si>
  <si>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</si>
  <si>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</si>
  <si>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</si>
  <si>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</si>
  <si>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</si>
  <si>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</si>
  <si>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</si>
  <si>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</si>
  <si>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</si>
  <si>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</si>
  <si>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</si>
  <si>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</si>
  <si>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</si>
  <si>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</si>
  <si>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</si>
  <si>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</si>
  <si>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</si>
  <si>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</si>
  <si>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</si>
  <si>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</si>
  <si>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</si>
  <si>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</si>
  <si>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</si>
  <si>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</si>
  <si>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</si>
  <si>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</si>
  <si>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</si>
  <si>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</si>
  <si>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</si>
  <si>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</si>
  <si>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</si>
  <si>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</si>
  <si>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</si>
  <si>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</si>
  <si>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</si>
  <si>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</si>
  <si>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</si>
  <si>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</si>
  <si>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</si>
  <si>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</si>
  <si>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</si>
  <si>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</si>
  <si>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</si>
  <si>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</si>
  <si>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</si>
  <si>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</si>
  <si>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</si>
  <si>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</si>
  <si>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</si>
  <si>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</si>
  <si>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</si>
  <si>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</si>
  <si>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</si>
  <si>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</si>
  <si>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</si>
  <si>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</si>
  <si>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</si>
  <si>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</si>
  <si>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</si>
  <si>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</si>
  <si>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</si>
  <si>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</si>
  <si>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</si>
  <si>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</si>
  <si>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</si>
  <si>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</si>
  <si>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</si>
  <si>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</si>
  <si>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</si>
  <si>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</si>
  <si>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</si>
  <si>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</si>
  <si>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</si>
  <si>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</si>
  <si>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</si>
  <si>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</si>
  <si>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</si>
  <si>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</si>
  <si>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</si>
  <si>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</si>
  <si>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</si>
  <si>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</si>
  <si>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</si>
  <si>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</si>
  <si>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</si>
  <si>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</si>
  <si>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</si>
  <si>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</si>
  <si>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</si>
  <si>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</si>
  <si>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</si>
  <si>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</si>
  <si>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</si>
  <si>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</si>
  <si>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</si>
  <si>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</si>
  <si>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</si>
  <si>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</si>
  <si>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</si>
  <si>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</si>
  <si>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</si>
  <si>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</si>
  <si>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</si>
  <si>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</si>
  <si>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</si>
  <si>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</si>
  <si>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</si>
  <si>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</si>
  <si>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</si>
  <si>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</si>
  <si>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</si>
  <si>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</si>
  <si>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</si>
  <si>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</si>
  <si>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</si>
  <si>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</si>
  <si>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</si>
  <si>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</si>
  <si>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</si>
  <si>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</si>
  <si>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</si>
  <si>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</si>
  <si>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</si>
  <si>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</si>
  <si>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</si>
  <si>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</si>
  <si>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</si>
  <si>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</si>
  <si>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</si>
  <si>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</si>
  <si>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</si>
  <si>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</si>
  <si>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</si>
  <si>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</si>
  <si>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</si>
  <si>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</si>
  <si>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</si>
  <si>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</si>
  <si>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</si>
  <si>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</si>
  <si>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</si>
  <si>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</si>
  <si>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</si>
  <si>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</si>
  <si>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</si>
  <si>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</si>
  <si>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</si>
  <si>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</si>
  <si>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</si>
  <si>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</si>
  <si>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</si>
  <si>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</si>
  <si>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</si>
  <si>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</si>
  <si>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</si>
  <si>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</si>
  <si>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</si>
  <si>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</si>
  <si>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</si>
  <si>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</si>
  <si>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</si>
  <si>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</si>
  <si>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</si>
  <si>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</si>
  <si>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Dec. p</t>
  </si>
  <si>
    <t>2026 Q1 Forecast</t>
  </si>
  <si>
    <t>2026 Using CBO's New Estimates - this morning</t>
  </si>
  <si>
    <t>Assume shutdown</t>
  </si>
  <si>
    <t>Add factor for total medicaid (to account for CBO - FY)</t>
  </si>
  <si>
    <t>CBO</t>
  </si>
  <si>
    <t>Federal Share (FMAP) = Total / Federal</t>
  </si>
  <si>
    <t>OBBBA FMAP Implementation Add Factor (as data rolls in)</t>
  </si>
  <si>
    <t>in forecast comparison</t>
  </si>
  <si>
    <t>real comp no shutdown</t>
  </si>
  <si>
    <t>real comp</t>
  </si>
  <si>
    <t xml:space="preserve">nominal compensation </t>
  </si>
  <si>
    <t>effect on real GDP growth</t>
  </si>
  <si>
    <t>translate other into nominal using deflators</t>
  </si>
  <si>
    <t>other real purchases</t>
  </si>
  <si>
    <t>employment</t>
  </si>
  <si>
    <t>effect on real federal purchases</t>
  </si>
  <si>
    <t>So purchases must be $21.7 lower</t>
  </si>
  <si>
    <t>To get to 1% of GDP need $60 billion</t>
  </si>
  <si>
    <t>So that is $415*.26= $107.9 billion,  6 weeks = 6/52*107.9 = $12.45 in the quarter.  At an annual rate that is about $50 billion, or about $38.3 real</t>
  </si>
  <si>
    <t>BEA says 1% shutdown effect. Byron et al: total comp is $415 billion, about 26% employees furloughed</t>
  </si>
  <si>
    <t>counterfactual with 3% inflation</t>
  </si>
  <si>
    <t>Real Federal Purchases (NIPA Consistent)</t>
  </si>
  <si>
    <t>January 2026 CBO Federal Nominal</t>
  </si>
  <si>
    <t>January 2026 CBO Federal Real</t>
  </si>
  <si>
    <t>Nominal Federal Purchases Add Factor</t>
  </si>
  <si>
    <t>January 2026 CBO Nominal Federal Growth</t>
  </si>
  <si>
    <t>January 2026 CBO Real Federal Growth</t>
  </si>
  <si>
    <t>Difference between us and CBO Real Federal</t>
  </si>
  <si>
    <t>level real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</si>
</sst>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4"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sz val="11"/>
      <color rgb="FFFF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sz val="10"/>
      <color theme="1"/>
      <name val="Arial"/>
      <family val="2"/>
    </font>
    <font>
      <b/>
      <sz val="16"/>
      <color theme="1"/>
      <name val="Calibri"/>
      <family val="2"/>
    </font>
    <font>
      <u/>
      <sz val="11"/>
      <color theme="10"/>
      <name val="Calibri"/>
      <family val="2"/>
      <scheme val="minor"/>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ptos Narrow"/>
      <family val="2"/>
    </font>
    <font>
      <b/>
      <sz val="11"/>
      <color rgb="FF000000"/>
      <name val="Aptos Narrow"/>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rgb="FF7030A0"/>
      <name val="Arial"/>
      <family val="2"/>
    </font>
    <font>
      <sz val="11"/>
      <color theme="8" tint="-0.249977111117893"/>
      <name val="Arial"/>
      <family val="2"/>
    </font>
    <font>
      <b/>
      <sz val="11"/>
      <color rgb="FF000000"/>
      <name val="Arial"/>
      <family val="2"/>
    </font>
    <font>
      <i/>
      <sz val="11"/>
      <color rgb="FF000000"/>
      <name val="Arial"/>
      <family val="2"/>
    </font>
    <font>
      <sz val="11"/>
      <color rgb="FF242424"/>
      <name val="Arial"/>
      <family val="2"/>
    </font>
    <font>
      <b/>
      <sz val="11"/>
      <color theme="0"/>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9"/>
      <color indexed="81"/>
      <name val="Tahoma"/>
      <family val="2"/>
    </font>
    <font>
      <sz val="11"/>
      <color theme="1"/>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theme="5" tint="-0.249977111117893"/>
        <bgColor indexed="64"/>
      </patternFill>
    </fill>
  </fills>
  <borders count="5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ashed">
        <color indexed="64"/>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style="hair">
        <color auto="1"/>
      </left>
      <right/>
      <top style="hair">
        <color auto="1"/>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style="thin">
        <color auto="1"/>
      </right>
      <top/>
      <bottom/>
      <diagonal/>
    </border>
    <border>
      <left/>
      <right/>
      <top/>
      <bottom style="dashed">
        <color indexed="64"/>
      </bottom>
      <diagonal/>
    </border>
    <border>
      <left style="thin">
        <color indexed="64"/>
      </left>
      <right/>
      <top/>
      <bottom style="dashed">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73" fillId="0" borderId="0" applyFont="0" applyFill="0" applyBorder="0" applyAlignment="0" applyProtection="0"/>
  </cellStyleXfs>
  <cellXfs count="1587">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3"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0" xfId="0" applyFont="1" applyFill="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6" xfId="0" applyFont="1" applyFill="1" applyBorder="1" applyAlignment="1">
      <alignment vertical="top"/>
    </xf>
    <xf numFmtId="0" fontId="1" fillId="2" borderId="0" xfId="0" applyFont="1" applyFill="1" applyAlignment="1">
      <alignment vertical="center"/>
    </xf>
    <xf numFmtId="0" fontId="5" fillId="0" borderId="0" xfId="0" applyFont="1"/>
    <xf numFmtId="0" fontId="1" fillId="2" borderId="1" xfId="0" applyFont="1" applyFill="1" applyBorder="1" applyAlignment="1">
      <alignment horizontal="left" vertical="center"/>
    </xf>
    <xf numFmtId="0" fontId="1" fillId="2" borderId="5" xfId="0" applyFont="1" applyFill="1" applyBorder="1" applyAlignment="1">
      <alignment vertical="top"/>
    </xf>
    <xf numFmtId="0" fontId="1" fillId="2" borderId="2"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9" fillId="0" borderId="0" xfId="0" applyFont="1" applyAlignment="1">
      <alignment wrapText="1"/>
    </xf>
    <xf numFmtId="0" fontId="1" fillId="0" borderId="0" xfId="0" applyFont="1" applyAlignment="1">
      <alignment wrapText="1"/>
    </xf>
    <xf numFmtId="0" fontId="1" fillId="0" borderId="12" xfId="0" applyFont="1" applyBorder="1" applyAlignment="1">
      <alignment wrapText="1"/>
    </xf>
    <xf numFmtId="0" fontId="10" fillId="0" borderId="0" xfId="0" applyFont="1" applyAlignment="1">
      <alignment wrapText="1"/>
    </xf>
    <xf numFmtId="0" fontId="10" fillId="5" borderId="9" xfId="0" applyFont="1" applyFill="1" applyBorder="1" applyAlignment="1">
      <alignment horizontal="center" wrapText="1"/>
    </xf>
    <xf numFmtId="0" fontId="10" fillId="5" borderId="10" xfId="0" applyFont="1" applyFill="1" applyBorder="1" applyAlignment="1">
      <alignment horizontal="center" wrapText="1"/>
    </xf>
    <xf numFmtId="0" fontId="10"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3"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1" fillId="0" borderId="0" xfId="0" applyFont="1" applyAlignment="1">
      <alignment wrapText="1"/>
    </xf>
    <xf numFmtId="0" fontId="12" fillId="0" borderId="0" xfId="0" applyFont="1" applyAlignment="1">
      <alignment vertical="center" wrapText="1"/>
    </xf>
    <xf numFmtId="0" fontId="13"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4" fillId="0" borderId="0" xfId="0" applyFont="1" applyAlignment="1">
      <alignment horizontal="center" vertical="top" wrapText="1"/>
    </xf>
    <xf numFmtId="0" fontId="1" fillId="7" borderId="0" xfId="0" applyFont="1" applyFill="1"/>
    <xf numFmtId="2" fontId="1" fillId="0" borderId="0" xfId="0" applyNumberFormat="1" applyFont="1"/>
    <xf numFmtId="3" fontId="1" fillId="8" borderId="0" xfId="0" applyNumberFormat="1" applyFont="1" applyFill="1"/>
    <xf numFmtId="1" fontId="1" fillId="8" borderId="0" xfId="0" applyNumberFormat="1" applyFont="1" applyFill="1"/>
    <xf numFmtId="0" fontId="1" fillId="8" borderId="0" xfId="0"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8" borderId="0" xfId="0" applyNumberFormat="1" applyFont="1" applyFill="1" applyAlignment="1">
      <alignment horizontal="center"/>
    </xf>
    <xf numFmtId="10" fontId="1" fillId="0" borderId="1" xfId="0" applyNumberFormat="1" applyFont="1" applyBorder="1"/>
    <xf numFmtId="0" fontId="2" fillId="9" borderId="0" xfId="0" applyFont="1" applyFill="1" applyAlignment="1">
      <alignment horizontal="center"/>
    </xf>
    <xf numFmtId="1" fontId="15" fillId="0" borderId="0" xfId="0" applyNumberFormat="1" applyFont="1"/>
    <xf numFmtId="1" fontId="15" fillId="0" borderId="0" xfId="0" applyNumberFormat="1" applyFont="1" applyAlignment="1">
      <alignment horizontal="center" vertical="center"/>
    </xf>
    <xf numFmtId="10" fontId="16" fillId="0" borderId="19" xfId="0" applyNumberFormat="1" applyFont="1" applyBorder="1" applyAlignment="1">
      <alignment horizontal="center"/>
    </xf>
    <xf numFmtId="10" fontId="16" fillId="0" borderId="0" xfId="0" applyNumberFormat="1" applyFont="1" applyAlignment="1">
      <alignment horizontal="center"/>
    </xf>
    <xf numFmtId="10" fontId="16" fillId="0" borderId="15" xfId="0" applyNumberFormat="1" applyFont="1" applyBorder="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1" fillId="10" borderId="0" xfId="0" applyFont="1" applyFill="1"/>
    <xf numFmtId="165" fontId="2" fillId="0" borderId="20" xfId="0" applyNumberFormat="1" applyFont="1" applyBorder="1" applyAlignment="1">
      <alignment horizontal="right"/>
    </xf>
    <xf numFmtId="165" fontId="2" fillId="0" borderId="21" xfId="0" applyNumberFormat="1" applyFont="1" applyBorder="1" applyAlignment="1">
      <alignment horizontal="right"/>
    </xf>
    <xf numFmtId="165" fontId="2" fillId="0" borderId="0" xfId="0" applyNumberFormat="1" applyFont="1" applyAlignment="1">
      <alignment horizontal="right"/>
    </xf>
    <xf numFmtId="165" fontId="1" fillId="0" borderId="21" xfId="0" applyNumberFormat="1" applyFont="1" applyBorder="1" applyAlignment="1">
      <alignment horizontal="right"/>
    </xf>
    <xf numFmtId="165" fontId="1" fillId="0" borderId="0" xfId="0" applyNumberFormat="1" applyFont="1" applyAlignment="1">
      <alignment horizontal="right"/>
    </xf>
    <xf numFmtId="3" fontId="1" fillId="0" borderId="21" xfId="0" applyNumberFormat="1" applyFont="1" applyBorder="1" applyAlignment="1">
      <alignment horizontal="right"/>
    </xf>
    <xf numFmtId="3" fontId="1" fillId="0" borderId="0" xfId="0" applyNumberFormat="1" applyFont="1" applyAlignment="1">
      <alignment horizontal="right"/>
    </xf>
    <xf numFmtId="3" fontId="1" fillId="0" borderId="22" xfId="0" applyNumberFormat="1" applyFont="1" applyBorder="1" applyAlignment="1">
      <alignment horizontal="right"/>
    </xf>
    <xf numFmtId="3" fontId="1" fillId="0" borderId="23" xfId="0" applyNumberFormat="1" applyFont="1" applyBorder="1" applyAlignment="1">
      <alignment horizontal="right"/>
    </xf>
    <xf numFmtId="1" fontId="1" fillId="7" borderId="0" xfId="0" applyNumberFormat="1" applyFont="1" applyFill="1"/>
    <xf numFmtId="4" fontId="2" fillId="11" borderId="0" xfId="0" applyNumberFormat="1" applyFont="1" applyFill="1"/>
    <xf numFmtId="4" fontId="2" fillId="10" borderId="0" xfId="0" applyNumberFormat="1" applyFont="1" applyFill="1"/>
    <xf numFmtId="4" fontId="2" fillId="12" borderId="0" xfId="0" applyNumberFormat="1" applyFont="1" applyFill="1"/>
    <xf numFmtId="4" fontId="1" fillId="11" borderId="0" xfId="0" applyNumberFormat="1" applyFont="1" applyFill="1"/>
    <xf numFmtId="4" fontId="1" fillId="10" borderId="0" xfId="0" applyNumberFormat="1" applyFont="1" applyFill="1"/>
    <xf numFmtId="4" fontId="1" fillId="12" borderId="0" xfId="0" applyNumberFormat="1" applyFont="1" applyFill="1"/>
    <xf numFmtId="1" fontId="1" fillId="7" borderId="24" xfId="0" applyNumberFormat="1" applyFont="1" applyFill="1" applyBorder="1" applyAlignment="1">
      <alignment horizontal="center"/>
    </xf>
    <xf numFmtId="3" fontId="1" fillId="11" borderId="0" xfId="0" applyNumberFormat="1" applyFont="1" applyFill="1"/>
    <xf numFmtId="3" fontId="1" fillId="10" borderId="0" xfId="0" applyNumberFormat="1" applyFont="1" applyFill="1"/>
    <xf numFmtId="3" fontId="1" fillId="12" borderId="0" xfId="0" applyNumberFormat="1" applyFont="1" applyFill="1"/>
    <xf numFmtId="10" fontId="1" fillId="0" borderId="0" xfId="0" applyNumberFormat="1" applyFont="1"/>
    <xf numFmtId="0" fontId="13" fillId="0" borderId="0" xfId="0" applyFont="1"/>
    <xf numFmtId="0" fontId="1" fillId="7" borderId="0" xfId="0" applyFont="1" applyFill="1" applyAlignment="1">
      <alignment horizontal="left" indent="3"/>
    </xf>
    <xf numFmtId="165" fontId="1" fillId="7" borderId="21" xfId="0" applyNumberFormat="1" applyFont="1" applyFill="1" applyBorder="1" applyAlignment="1">
      <alignment horizontal="right"/>
    </xf>
    <xf numFmtId="49" fontId="1" fillId="0" borderId="0" xfId="0" applyNumberFormat="1" applyFont="1" applyAlignment="1">
      <alignment horizontal="left" wrapText="1" indent="1"/>
    </xf>
    <xf numFmtId="168" fontId="17" fillId="0" borderId="0" xfId="0" applyNumberFormat="1" applyFont="1" applyAlignment="1">
      <alignment horizontal="center"/>
    </xf>
    <xf numFmtId="165" fontId="1" fillId="7" borderId="0" xfId="0" applyNumberFormat="1" applyFont="1" applyFill="1" applyAlignment="1">
      <alignment horizontal="right"/>
    </xf>
    <xf numFmtId="168" fontId="1" fillId="0" borderId="0" xfId="0" applyNumberFormat="1" applyFont="1" applyAlignment="1">
      <alignment horizontal="left" wrapText="1" indent="1"/>
    </xf>
    <xf numFmtId="4" fontId="1" fillId="11" borderId="2" xfId="0" applyNumberFormat="1" applyFont="1" applyFill="1" applyBorder="1"/>
    <xf numFmtId="4" fontId="1" fillId="10" borderId="2" xfId="0" applyNumberFormat="1" applyFont="1" applyFill="1" applyBorder="1"/>
    <xf numFmtId="4" fontId="1" fillId="12" borderId="2" xfId="0" applyNumberFormat="1" applyFont="1" applyFill="1" applyBorder="1"/>
    <xf numFmtId="4" fontId="1" fillId="11" borderId="25" xfId="0" applyNumberFormat="1" applyFont="1" applyFill="1" applyBorder="1"/>
    <xf numFmtId="4" fontId="1" fillId="10" borderId="25" xfId="0" applyNumberFormat="1" applyFont="1" applyFill="1" applyBorder="1"/>
    <xf numFmtId="4" fontId="1" fillId="12" borderId="25" xfId="0" applyNumberFormat="1" applyFont="1" applyFill="1" applyBorder="1"/>
    <xf numFmtId="169" fontId="15" fillId="0" borderId="0" xfId="0" applyNumberFormat="1" applyFont="1"/>
    <xf numFmtId="2" fontId="15" fillId="0" borderId="0" xfId="0" applyNumberFormat="1" applyFont="1"/>
    <xf numFmtId="165" fontId="2" fillId="12" borderId="26" xfId="0" applyNumberFormat="1" applyFont="1" applyFill="1" applyBorder="1" applyAlignment="1">
      <alignment horizontal="right"/>
    </xf>
    <xf numFmtId="0" fontId="18" fillId="0" borderId="0" xfId="0" applyFont="1"/>
    <xf numFmtId="10" fontId="15" fillId="7" borderId="0" xfId="0" applyNumberFormat="1" applyFont="1" applyFill="1"/>
    <xf numFmtId="2" fontId="1" fillId="7" borderId="0" xfId="0" applyNumberFormat="1" applyFont="1" applyFill="1"/>
    <xf numFmtId="0" fontId="1" fillId="0" borderId="0" xfId="0" applyFont="1" applyAlignment="1">
      <alignment horizontal="left" indent="1"/>
    </xf>
    <xf numFmtId="165" fontId="2" fillId="12" borderId="21" xfId="0" applyNumberFormat="1" applyFont="1" applyFill="1" applyBorder="1" applyAlignment="1">
      <alignment horizontal="right"/>
    </xf>
    <xf numFmtId="0" fontId="19" fillId="0" borderId="0" xfId="0" applyFont="1" applyAlignment="1">
      <alignment vertical="center" wrapText="1"/>
    </xf>
    <xf numFmtId="2" fontId="1" fillId="12" borderId="0" xfId="0" applyNumberFormat="1" applyFont="1" applyFill="1"/>
    <xf numFmtId="165" fontId="1" fillId="12" borderId="21" xfId="0" applyNumberFormat="1" applyFont="1" applyFill="1" applyBorder="1" applyAlignment="1">
      <alignment horizontal="right"/>
    </xf>
    <xf numFmtId="3" fontId="1" fillId="12" borderId="21" xfId="0" applyNumberFormat="1" applyFont="1" applyFill="1" applyBorder="1" applyAlignment="1">
      <alignment horizontal="right"/>
    </xf>
    <xf numFmtId="3" fontId="1" fillId="12" borderId="22" xfId="0" applyNumberFormat="1" applyFont="1" applyFill="1" applyBorder="1" applyAlignment="1">
      <alignment horizontal="right"/>
    </xf>
    <xf numFmtId="0" fontId="2" fillId="7" borderId="0" xfId="0" applyFont="1" applyFill="1" applyAlignment="1">
      <alignment horizontal="left" wrapText="1" indent="1"/>
    </xf>
    <xf numFmtId="165" fontId="2" fillId="7" borderId="21" xfId="0" applyNumberFormat="1" applyFont="1" applyFill="1" applyBorder="1" applyAlignment="1">
      <alignment horizontal="right"/>
    </xf>
    <xf numFmtId="168" fontId="1" fillId="0" borderId="31" xfId="0" applyNumberFormat="1" applyFont="1" applyBorder="1" applyAlignment="1">
      <alignment horizontal="center"/>
    </xf>
    <xf numFmtId="165" fontId="2" fillId="7" borderId="0" xfId="0" applyNumberFormat="1" applyFont="1" applyFill="1" applyAlignment="1">
      <alignment horizontal="right"/>
    </xf>
    <xf numFmtId="0" fontId="2" fillId="7"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7" fillId="12" borderId="0" xfId="0" applyNumberFormat="1" applyFont="1" applyFill="1" applyAlignment="1">
      <alignment horizontal="center"/>
    </xf>
    <xf numFmtId="0" fontId="1" fillId="0" borderId="0" xfId="0" applyFont="1" applyAlignment="1">
      <alignment horizontal="left" indent="3"/>
    </xf>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4" fillId="12" borderId="11" xfId="0" applyNumberFormat="1" applyFont="1" applyFill="1" applyBorder="1" applyAlignment="1">
      <alignment horizontal="left" wrapText="1"/>
    </xf>
    <xf numFmtId="0" fontId="1" fillId="0" borderId="0" xfId="0" applyFont="1" applyAlignment="1">
      <alignment horizontal="left" indent="5"/>
    </xf>
    <xf numFmtId="168" fontId="17" fillId="11" borderId="0" xfId="0" applyNumberFormat="1" applyFont="1" applyFill="1" applyAlignment="1">
      <alignment horizontal="center"/>
    </xf>
    <xf numFmtId="0" fontId="2" fillId="11" borderId="0" xfId="0" applyFont="1" applyFill="1"/>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4" fillId="11" borderId="11" xfId="0" applyNumberFormat="1" applyFont="1" applyFill="1" applyBorder="1" applyAlignment="1">
      <alignment horizontal="left" wrapText="1"/>
    </xf>
    <xf numFmtId="168" fontId="17" fillId="10" borderId="0" xfId="0" applyNumberFormat="1" applyFont="1" applyFill="1" applyAlignment="1">
      <alignment horizontal="center"/>
    </xf>
    <xf numFmtId="0" fontId="2" fillId="10" borderId="0" xfId="0" applyFont="1" applyFill="1"/>
    <xf numFmtId="165" fontId="2" fillId="12" borderId="20" xfId="0" applyNumberFormat="1" applyFont="1" applyFill="1" applyBorder="1" applyAlignment="1">
      <alignment horizontal="right"/>
    </xf>
    <xf numFmtId="165" fontId="2" fillId="12" borderId="0" xfId="0" applyNumberFormat="1" applyFont="1" applyFill="1" applyAlignment="1">
      <alignment horizontal="right"/>
    </xf>
    <xf numFmtId="0" fontId="2" fillId="10" borderId="0" xfId="0" applyFont="1" applyFill="1" applyAlignment="1">
      <alignment horizontal="center"/>
    </xf>
    <xf numFmtId="2" fontId="1" fillId="12" borderId="36" xfId="0" applyNumberFormat="1" applyFont="1" applyFill="1" applyBorder="1"/>
    <xf numFmtId="2" fontId="2" fillId="12" borderId="0" xfId="0" applyNumberFormat="1" applyFont="1" applyFill="1"/>
    <xf numFmtId="0" fontId="20" fillId="12" borderId="0" xfId="0" applyFont="1" applyFill="1"/>
    <xf numFmtId="0" fontId="2" fillId="12" borderId="0" xfId="0" applyFont="1" applyFill="1"/>
    <xf numFmtId="165" fontId="1" fillId="12" borderId="0" xfId="0" applyNumberFormat="1" applyFont="1" applyFill="1" applyAlignment="1">
      <alignment horizontal="right"/>
    </xf>
    <xf numFmtId="0" fontId="21" fillId="13" borderId="0" xfId="0" applyFont="1" applyFill="1" applyAlignment="1">
      <alignment horizontal="right" vertical="center"/>
    </xf>
    <xf numFmtId="2" fontId="1" fillId="11" borderId="0" xfId="0" applyNumberFormat="1" applyFont="1" applyFill="1"/>
    <xf numFmtId="2" fontId="2" fillId="11" borderId="0" xfId="0" applyNumberFormat="1" applyFont="1" applyFill="1"/>
    <xf numFmtId="2" fontId="2" fillId="10" borderId="0" xfId="0" applyNumberFormat="1" applyFont="1" applyFill="1"/>
    <xf numFmtId="3" fontId="1" fillId="12" borderId="0" xfId="0" applyNumberFormat="1" applyFont="1" applyFill="1" applyAlignment="1">
      <alignment horizontal="right"/>
    </xf>
    <xf numFmtId="3" fontId="1" fillId="12" borderId="23"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165" fontId="2" fillId="11" borderId="26" xfId="0" applyNumberFormat="1" applyFont="1" applyFill="1" applyBorder="1" applyAlignment="1">
      <alignment horizontal="right"/>
    </xf>
    <xf numFmtId="165" fontId="2" fillId="11" borderId="21" xfId="0" applyNumberFormat="1" applyFont="1" applyFill="1" applyBorder="1" applyAlignment="1">
      <alignment horizontal="right"/>
    </xf>
    <xf numFmtId="165" fontId="1" fillId="11" borderId="21" xfId="0" applyNumberFormat="1" applyFont="1" applyFill="1" applyBorder="1" applyAlignment="1">
      <alignment horizontal="right"/>
    </xf>
    <xf numFmtId="1" fontId="1" fillId="10" borderId="0" xfId="0" applyNumberFormat="1" applyFont="1" applyFill="1" applyAlignment="1">
      <alignment horizontal="center"/>
    </xf>
    <xf numFmtId="3" fontId="1" fillId="11" borderId="21" xfId="0" applyNumberFormat="1" applyFont="1" applyFill="1" applyBorder="1" applyAlignment="1">
      <alignment horizontal="right"/>
    </xf>
    <xf numFmtId="0" fontId="22" fillId="13" borderId="0" xfId="0" applyFont="1" applyFill="1" applyAlignment="1">
      <alignment horizontal="right" vertical="center"/>
    </xf>
    <xf numFmtId="3" fontId="1" fillId="11" borderId="22" xfId="0" applyNumberFormat="1" applyFont="1" applyFill="1" applyBorder="1" applyAlignment="1">
      <alignment horizontal="right"/>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11" borderId="37" xfId="0" applyNumberFormat="1" applyFont="1" applyFill="1" applyBorder="1" applyAlignment="1">
      <alignment horizontal="center"/>
    </xf>
    <xf numFmtId="165" fontId="2" fillId="11" borderId="20"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3" xfId="0" applyNumberFormat="1" applyFont="1" applyFill="1" applyBorder="1" applyAlignment="1">
      <alignment horizontal="right"/>
    </xf>
    <xf numFmtId="168" fontId="1" fillId="10" borderId="37"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3" xfId="0" applyNumberFormat="1" applyFont="1" applyFill="1" applyBorder="1" applyAlignment="1">
      <alignment horizontal="right"/>
    </xf>
    <xf numFmtId="168" fontId="1" fillId="12" borderId="37" xfId="0" applyNumberFormat="1" applyFont="1" applyFill="1" applyBorder="1" applyAlignment="1">
      <alignment horizontal="center"/>
    </xf>
    <xf numFmtId="165" fontId="2" fillId="12" borderId="28" xfId="0" applyNumberFormat="1" applyFont="1" applyFill="1" applyBorder="1" applyAlignment="1">
      <alignment horizontal="right"/>
    </xf>
    <xf numFmtId="165" fontId="2" fillId="12" borderId="24" xfId="0" applyNumberFormat="1" applyFont="1" applyFill="1" applyBorder="1" applyAlignment="1">
      <alignment horizontal="right"/>
    </xf>
    <xf numFmtId="165" fontId="1" fillId="12" borderId="24" xfId="0" applyNumberFormat="1" applyFont="1" applyFill="1" applyBorder="1" applyAlignment="1">
      <alignment horizontal="right"/>
    </xf>
    <xf numFmtId="3" fontId="1" fillId="12" borderId="24" xfId="0" applyNumberFormat="1" applyFont="1" applyFill="1" applyBorder="1" applyAlignment="1">
      <alignment horizontal="right"/>
    </xf>
    <xf numFmtId="3" fontId="1" fillId="12" borderId="29"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4" fillId="10" borderId="11" xfId="0" applyNumberFormat="1" applyFont="1" applyFill="1" applyBorder="1" applyAlignment="1">
      <alignment horizontal="left" wrapText="1"/>
    </xf>
    <xf numFmtId="1" fontId="1" fillId="0" borderId="28" xfId="0" applyNumberFormat="1" applyFont="1" applyBorder="1" applyAlignment="1">
      <alignment horizontal="center"/>
    </xf>
    <xf numFmtId="1" fontId="1" fillId="0" borderId="24" xfId="0" applyNumberFormat="1" applyFont="1" applyBorder="1" applyAlignment="1">
      <alignment horizontal="center"/>
    </xf>
    <xf numFmtId="1" fontId="1" fillId="0" borderId="24" xfId="0" applyNumberFormat="1" applyFont="1" applyBorder="1" applyAlignment="1">
      <alignment horizontal="center" vertical="top"/>
    </xf>
    <xf numFmtId="1" fontId="1" fillId="0" borderId="29" xfId="0" applyNumberFormat="1" applyFont="1" applyBorder="1" applyAlignment="1">
      <alignment horizontal="center"/>
    </xf>
    <xf numFmtId="168" fontId="1" fillId="0" borderId="0" xfId="0" applyNumberFormat="1" applyFont="1" applyAlignment="1">
      <alignment horizontal="center"/>
    </xf>
    <xf numFmtId="17" fontId="14"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7" xfId="0" applyNumberFormat="1" applyFont="1" applyBorder="1" applyAlignment="1">
      <alignment horizontal="center"/>
    </xf>
    <xf numFmtId="0" fontId="1" fillId="11" borderId="0" xfId="0" applyFont="1" applyFill="1"/>
    <xf numFmtId="165" fontId="2" fillId="0" borderId="26" xfId="0" applyNumberFormat="1" applyFont="1" applyBorder="1" applyAlignment="1">
      <alignment horizontal="right"/>
    </xf>
    <xf numFmtId="0" fontId="1" fillId="12" borderId="0" xfId="0" applyFont="1" applyFill="1"/>
    <xf numFmtId="0" fontId="15" fillId="0" borderId="0" xfId="0" applyFont="1" applyAlignment="1">
      <alignment horizontal="center"/>
    </xf>
    <xf numFmtId="0" fontId="14" fillId="0" borderId="0" xfId="0" applyFont="1" applyAlignment="1">
      <alignment vertical="top"/>
    </xf>
    <xf numFmtId="0" fontId="14" fillId="3" borderId="0" xfId="0" applyFont="1" applyFill="1" applyAlignment="1">
      <alignment horizontal="center"/>
    </xf>
    <xf numFmtId="0" fontId="3" fillId="0" borderId="0" xfId="0" applyFont="1" applyAlignment="1">
      <alignment horizontal="left" vertical="top" wrapText="1"/>
    </xf>
    <xf numFmtId="0" fontId="14" fillId="8" borderId="1"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0" xfId="0" applyFont="1" applyAlignment="1">
      <alignment horizontal="left" vertical="top" wrapText="1"/>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3" fillId="9" borderId="15" xfId="0" applyFont="1" applyFill="1" applyBorder="1" applyAlignment="1">
      <alignment horizontal="center"/>
    </xf>
    <xf numFmtId="0" fontId="3" fillId="8" borderId="15" xfId="0" applyFont="1" applyFill="1" applyBorder="1" applyAlignment="1">
      <alignment horizontal="center"/>
    </xf>
    <xf numFmtId="0" fontId="14" fillId="8" borderId="9" xfId="0" applyFont="1" applyFill="1" applyBorder="1"/>
    <xf numFmtId="0" fontId="14" fillId="8" borderId="10" xfId="0" applyFont="1" applyFill="1" applyBorder="1"/>
    <xf numFmtId="0" fontId="15" fillId="8" borderId="0" xfId="0" applyFont="1" applyFill="1"/>
    <xf numFmtId="10" fontId="16" fillId="0" borderId="38" xfId="0" applyNumberFormat="1" applyFont="1" applyBorder="1" applyAlignment="1">
      <alignment horizontal="center"/>
    </xf>
    <xf numFmtId="9" fontId="16" fillId="0" borderId="0" xfId="0" applyNumberFormat="1" applyFont="1" applyAlignment="1">
      <alignment horizontal="center"/>
    </xf>
    <xf numFmtId="2" fontId="16" fillId="0" borderId="39" xfId="0" applyNumberFormat="1" applyFont="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9" borderId="7" xfId="0" applyNumberFormat="1" applyFont="1" applyFill="1" applyBorder="1" applyAlignment="1">
      <alignment horizontal="center"/>
    </xf>
    <xf numFmtId="0" fontId="3" fillId="9" borderId="7" xfId="0" applyFont="1" applyFill="1" applyBorder="1" applyAlignment="1">
      <alignment horizontal="center"/>
    </xf>
    <xf numFmtId="0" fontId="3" fillId="8" borderId="8" xfId="0" applyFont="1" applyFill="1" applyBorder="1" applyAlignment="1">
      <alignment horizontal="center"/>
    </xf>
    <xf numFmtId="0" fontId="3" fillId="8" borderId="3" xfId="0" applyFont="1" applyFill="1" applyBorder="1" applyAlignment="1">
      <alignment horizontal="center"/>
    </xf>
    <xf numFmtId="0" fontId="3" fillId="8" borderId="7" xfId="0" applyFont="1" applyFill="1" applyBorder="1" applyAlignment="1">
      <alignment horizontal="center"/>
    </xf>
    <xf numFmtId="3" fontId="3" fillId="8" borderId="7" xfId="0" applyNumberFormat="1" applyFont="1" applyFill="1" applyBorder="1" applyAlignment="1">
      <alignment horizontal="center"/>
    </xf>
    <xf numFmtId="0" fontId="3" fillId="9" borderId="3" xfId="0" applyFont="1" applyFill="1" applyBorder="1" applyAlignment="1">
      <alignment horizontal="center"/>
    </xf>
    <xf numFmtId="0" fontId="3" fillId="9" borderId="8" xfId="0" applyFont="1" applyFill="1" applyBorder="1" applyAlignment="1">
      <alignment horizontal="center"/>
    </xf>
    <xf numFmtId="0" fontId="3" fillId="8" borderId="5" xfId="0" applyFont="1" applyFill="1" applyBorder="1"/>
    <xf numFmtId="3" fontId="3" fillId="8" borderId="0" xfId="0" applyNumberFormat="1" applyFont="1" applyFill="1" applyAlignment="1">
      <alignment horizontal="center"/>
    </xf>
    <xf numFmtId="0" fontId="3" fillId="8" borderId="6" xfId="0" applyFont="1" applyFill="1" applyBorder="1"/>
    <xf numFmtId="0" fontId="1" fillId="0" borderId="3" xfId="0" applyFont="1" applyBorder="1"/>
    <xf numFmtId="0" fontId="3" fillId="0" borderId="10" xfId="0" applyFont="1" applyBorder="1"/>
    <xf numFmtId="0" fontId="3" fillId="8" borderId="15" xfId="0" applyFont="1" applyFill="1" applyBorder="1"/>
    <xf numFmtId="0" fontId="3" fillId="8" borderId="4" xfId="0" applyFont="1" applyFill="1" applyBorder="1"/>
    <xf numFmtId="0" fontId="16" fillId="0" borderId="0" xfId="0" applyFont="1" applyAlignment="1">
      <alignment horizontal="center"/>
    </xf>
    <xf numFmtId="0" fontId="1" fillId="0" borderId="6" xfId="0" applyFont="1" applyBorder="1"/>
    <xf numFmtId="0" fontId="1" fillId="0" borderId="4" xfId="0" applyFont="1" applyBorder="1"/>
    <xf numFmtId="10" fontId="16" fillId="0" borderId="2" xfId="0" applyNumberFormat="1" applyFont="1" applyBorder="1" applyAlignment="1">
      <alignment horizontal="center"/>
    </xf>
    <xf numFmtId="0" fontId="16" fillId="0" borderId="0" xfId="0" applyFont="1"/>
    <xf numFmtId="0" fontId="3" fillId="8" borderId="14" xfId="0" applyFont="1" applyFill="1" applyBorder="1" applyAlignment="1">
      <alignment horizontal="center"/>
    </xf>
    <xf numFmtId="0" fontId="3" fillId="8" borderId="12" xfId="0" applyFont="1" applyFill="1" applyBorder="1" applyAlignment="1">
      <alignment horizontal="center"/>
    </xf>
    <xf numFmtId="0" fontId="1" fillId="8" borderId="9" xfId="0" applyFont="1" applyFill="1" applyBorder="1"/>
    <xf numFmtId="1" fontId="16" fillId="0" borderId="0" xfId="0" applyNumberFormat="1" applyFont="1"/>
    <xf numFmtId="1" fontId="16" fillId="0" borderId="7" xfId="0" applyNumberFormat="1" applyFont="1" applyBorder="1"/>
    <xf numFmtId="0" fontId="16" fillId="0" borderId="7" xfId="0" applyFont="1" applyBorder="1"/>
    <xf numFmtId="0" fontId="25" fillId="0" borderId="1" xfId="0" applyFont="1" applyBorder="1" applyAlignment="1">
      <alignment wrapText="1"/>
    </xf>
    <xf numFmtId="0" fontId="1" fillId="0" borderId="15" xfId="0" applyFont="1" applyBorder="1"/>
    <xf numFmtId="0" fontId="1" fillId="14" borderId="1" xfId="0" applyFont="1" applyFill="1" applyBorder="1"/>
    <xf numFmtId="0" fontId="1" fillId="14" borderId="3" xfId="0" applyFont="1" applyFill="1" applyBorder="1"/>
    <xf numFmtId="10" fontId="16" fillId="0" borderId="3" xfId="0" applyNumberFormat="1" applyFont="1" applyBorder="1" applyAlignment="1">
      <alignment horizontal="center"/>
    </xf>
    <xf numFmtId="10" fontId="16" fillId="0" borderId="7" xfId="0" applyNumberFormat="1" applyFont="1" applyBorder="1" applyAlignment="1">
      <alignment horizontal="center"/>
    </xf>
    <xf numFmtId="10" fontId="16" fillId="0" borderId="8" xfId="0" applyNumberFormat="1" applyFont="1" applyBorder="1" applyAlignment="1">
      <alignment horizontal="center"/>
    </xf>
    <xf numFmtId="0" fontId="16" fillId="0" borderId="1" xfId="0" applyFont="1" applyBorder="1" applyAlignment="1">
      <alignment wrapText="1"/>
    </xf>
    <xf numFmtId="2" fontId="16" fillId="0" borderId="0" xfId="0" applyNumberFormat="1" applyFont="1" applyAlignment="1">
      <alignment horizontal="center"/>
    </xf>
    <xf numFmtId="2" fontId="26" fillId="0" borderId="0" xfId="0" applyNumberFormat="1" applyFont="1" applyAlignment="1">
      <alignment horizontal="center"/>
    </xf>
    <xf numFmtId="0" fontId="26" fillId="0" borderId="0" xfId="0" applyFont="1" applyAlignment="1">
      <alignment horizontal="center"/>
    </xf>
    <xf numFmtId="2" fontId="16" fillId="0" borderId="7" xfId="0" applyNumberFormat="1" applyFont="1" applyBorder="1" applyAlignment="1">
      <alignment horizontal="center"/>
    </xf>
    <xf numFmtId="2" fontId="16" fillId="0" borderId="15" xfId="0" applyNumberFormat="1" applyFont="1" applyBorder="1" applyAlignment="1">
      <alignment horizontal="center"/>
    </xf>
    <xf numFmtId="0" fontId="14" fillId="0" borderId="4" xfId="0" applyFont="1" applyBorder="1" applyAlignment="1">
      <alignment vertical="center" wrapText="1"/>
    </xf>
    <xf numFmtId="0" fontId="27" fillId="0" borderId="6" xfId="0" applyFont="1" applyBorder="1" applyAlignment="1">
      <alignment wrapText="1"/>
    </xf>
    <xf numFmtId="0" fontId="27" fillId="0" borderId="10" xfId="0" applyFont="1" applyBorder="1" applyAlignment="1">
      <alignment wrapText="1"/>
    </xf>
    <xf numFmtId="10" fontId="16" fillId="14" borderId="0" xfId="0" applyNumberFormat="1" applyFont="1" applyFill="1" applyAlignment="1">
      <alignment horizontal="center"/>
    </xf>
    <xf numFmtId="10" fontId="16" fillId="14" borderId="2" xfId="0" applyNumberFormat="1" applyFont="1" applyFill="1" applyBorder="1" applyAlignment="1">
      <alignment horizontal="center"/>
    </xf>
    <xf numFmtId="10" fontId="1" fillId="14" borderId="1" xfId="0" applyNumberFormat="1" applyFont="1" applyFill="1" applyBorder="1"/>
    <xf numFmtId="10" fontId="16" fillId="7" borderId="0" xfId="0" applyNumberFormat="1" applyFont="1" applyFill="1" applyAlignment="1">
      <alignment horizontal="center"/>
    </xf>
    <xf numFmtId="0" fontId="4" fillId="0" borderId="0" xfId="0" applyFont="1" applyAlignment="1">
      <alignment horizontal="left"/>
    </xf>
    <xf numFmtId="10" fontId="16" fillId="8" borderId="0" xfId="0" applyNumberFormat="1" applyFont="1" applyFill="1" applyAlignment="1">
      <alignment horizontal="center"/>
    </xf>
    <xf numFmtId="0" fontId="3" fillId="0" borderId="0" xfId="0" applyFont="1" applyAlignment="1">
      <alignment vertical="top"/>
    </xf>
    <xf numFmtId="10" fontId="16" fillId="0" borderId="6" xfId="0" applyNumberFormat="1" applyFont="1" applyBorder="1" applyAlignment="1">
      <alignment horizontal="center"/>
    </xf>
    <xf numFmtId="10" fontId="16" fillId="8" borderId="15" xfId="0" applyNumberFormat="1" applyFont="1" applyFill="1" applyBorder="1" applyAlignment="1">
      <alignment horizontal="center"/>
    </xf>
    <xf numFmtId="10" fontId="16" fillId="0" borderId="5" xfId="0" applyNumberFormat="1" applyFon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16" fillId="14" borderId="7" xfId="0" applyNumberFormat="1" applyFont="1" applyFill="1" applyBorder="1" applyAlignment="1">
      <alignment horizontal="center"/>
    </xf>
    <xf numFmtId="10" fontId="16" fillId="14" borderId="8" xfId="0" applyNumberFormat="1" applyFont="1" applyFill="1" applyBorder="1" applyAlignment="1">
      <alignment horizontal="center"/>
    </xf>
    <xf numFmtId="10" fontId="1" fillId="0" borderId="4"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16" fillId="0" borderId="40" xfId="0" applyNumberFormat="1" applyFont="1" applyBorder="1" applyAlignment="1">
      <alignment horizontal="center"/>
    </xf>
    <xf numFmtId="10" fontId="16" fillId="0" borderId="39" xfId="0" applyNumberFormat="1" applyFont="1" applyBorder="1" applyAlignment="1">
      <alignment horizontal="center"/>
    </xf>
    <xf numFmtId="10" fontId="1" fillId="0" borderId="3" xfId="0" applyNumberFormat="1" applyFont="1" applyBorder="1"/>
    <xf numFmtId="0" fontId="14" fillId="0" borderId="5" xfId="0" applyFont="1" applyBorder="1" applyAlignment="1">
      <alignment vertical="center" wrapText="1"/>
    </xf>
    <xf numFmtId="10" fontId="16" fillId="8" borderId="7" xfId="0" applyNumberFormat="1" applyFont="1" applyFill="1" applyBorder="1" applyAlignment="1">
      <alignment horizontal="center"/>
    </xf>
    <xf numFmtId="10" fontId="16" fillId="0" borderId="4" xfId="0" applyNumberFormat="1" applyFont="1" applyBorder="1" applyAlignment="1">
      <alignment horizontal="center"/>
    </xf>
    <xf numFmtId="10" fontId="16" fillId="8" borderId="5" xfId="0" applyNumberFormat="1" applyFont="1" applyFill="1" applyBorder="1" applyAlignment="1">
      <alignment horizontal="center"/>
    </xf>
    <xf numFmtId="0" fontId="27" fillId="0" borderId="0" xfId="0" applyFont="1" applyAlignment="1">
      <alignment wrapText="1"/>
    </xf>
    <xf numFmtId="0" fontId="27"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70" fontId="1" fillId="0" borderId="0" xfId="0" applyNumberFormat="1" applyFont="1"/>
    <xf numFmtId="10" fontId="16" fillId="0" borderId="1" xfId="0" applyNumberFormat="1" applyFont="1" applyBorder="1" applyAlignment="1">
      <alignment horizontal="center"/>
    </xf>
    <xf numFmtId="0" fontId="28" fillId="0" borderId="0" xfId="0" applyFont="1" applyAlignment="1">
      <alignment horizontal="center"/>
    </xf>
    <xf numFmtId="0" fontId="28" fillId="8" borderId="0" xfId="0" applyFont="1" applyFill="1"/>
    <xf numFmtId="0" fontId="29" fillId="8" borderId="0" xfId="0" applyFont="1" applyFill="1" applyAlignment="1">
      <alignment horizontal="center"/>
    </xf>
    <xf numFmtId="0" fontId="28" fillId="0" borderId="0" xfId="0" applyFont="1" applyAlignment="1">
      <alignment horizontal="center" vertical="center"/>
    </xf>
    <xf numFmtId="0" fontId="28" fillId="0" borderId="0" xfId="0" applyFont="1" applyAlignment="1">
      <alignment horizontal="left" indent="1"/>
    </xf>
    <xf numFmtId="0" fontId="28" fillId="0" borderId="0" xfId="0" applyFont="1" applyAlignment="1">
      <alignment horizontal="left" wrapText="1" indent="1"/>
    </xf>
    <xf numFmtId="0" fontId="28" fillId="0" borderId="0" xfId="0" applyFont="1" applyAlignment="1">
      <alignment horizontal="center" wrapText="1"/>
    </xf>
    <xf numFmtId="9" fontId="28" fillId="0" borderId="0" xfId="0" applyNumberFormat="1" applyFont="1" applyAlignment="1">
      <alignment horizontal="center"/>
    </xf>
    <xf numFmtId="167" fontId="28" fillId="0" borderId="0" xfId="0" applyNumberFormat="1" applyFont="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 fillId="9" borderId="0" xfId="0" applyFont="1" applyFill="1"/>
    <xf numFmtId="0" fontId="3" fillId="8" borderId="38" xfId="0" applyFont="1" applyFill="1" applyBorder="1"/>
    <xf numFmtId="0" fontId="3" fillId="8" borderId="0" xfId="0" applyFont="1" applyFill="1"/>
    <xf numFmtId="0" fontId="3" fillId="0" borderId="0" xfId="0" applyFont="1" applyAlignment="1">
      <alignment horizontal="left"/>
    </xf>
    <xf numFmtId="165" fontId="3" fillId="9" borderId="0" xfId="0" applyNumberFormat="1" applyFont="1" applyFill="1" applyAlignment="1">
      <alignment horizontal="center"/>
    </xf>
    <xf numFmtId="3" fontId="3" fillId="9" borderId="3" xfId="0" applyNumberFormat="1" applyFont="1" applyFill="1" applyBorder="1" applyAlignment="1">
      <alignment horizontal="center"/>
    </xf>
    <xf numFmtId="168" fontId="3" fillId="9"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2" xfId="0" applyNumberFormat="1" applyFont="1" applyBorder="1" applyAlignment="1">
      <alignment horizontal="center"/>
    </xf>
    <xf numFmtId="165" fontId="23" fillId="0" borderId="0" xfId="0" applyNumberFormat="1" applyFont="1" applyAlignment="1">
      <alignment horizontal="center"/>
    </xf>
    <xf numFmtId="3" fontId="23"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8" borderId="0" xfId="0" applyFont="1" applyFill="1" applyAlignment="1">
      <alignment horizontal="center" wrapText="1"/>
    </xf>
    <xf numFmtId="165" fontId="23" fillId="9" borderId="0" xfId="0" applyNumberFormat="1" applyFont="1" applyFill="1" applyAlignment="1">
      <alignment horizontal="center"/>
    </xf>
    <xf numFmtId="168" fontId="3" fillId="7" borderId="0" xfId="0" applyNumberFormat="1" applyFont="1" applyFill="1"/>
    <xf numFmtId="2" fontId="1" fillId="3" borderId="4" xfId="0" applyNumberFormat="1" applyFont="1" applyFill="1" applyBorder="1"/>
    <xf numFmtId="0" fontId="3" fillId="3" borderId="5" xfId="0" applyFont="1" applyFill="1" applyBorder="1"/>
    <xf numFmtId="0" fontId="3" fillId="3" borderId="5"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xf>
    <xf numFmtId="4" fontId="3" fillId="0" borderId="0" xfId="0" applyNumberFormat="1" applyFont="1" applyAlignment="1">
      <alignment horizontal="center"/>
    </xf>
    <xf numFmtId="0" fontId="3" fillId="0" borderId="4" xfId="0" applyFont="1" applyBorder="1" applyAlignment="1">
      <alignment horizontal="center"/>
    </xf>
    <xf numFmtId="0" fontId="3" fillId="0" borderId="0" xfId="0" applyFont="1" applyAlignment="1">
      <alignment horizontal="left" vertical="top"/>
    </xf>
    <xf numFmtId="0" fontId="23" fillId="0" borderId="0" xfId="0" applyFont="1" applyAlignment="1">
      <alignment horizontal="left" wrapText="1"/>
    </xf>
    <xf numFmtId="0" fontId="1" fillId="3" borderId="3" xfId="0" applyFont="1" applyFill="1" applyBorder="1"/>
    <xf numFmtId="0" fontId="3" fillId="3" borderId="7" xfId="0" applyFont="1" applyFill="1" applyBorder="1"/>
    <xf numFmtId="0" fontId="3" fillId="3" borderId="7" xfId="0" applyFont="1" applyFill="1" applyBorder="1" applyAlignment="1">
      <alignment horizontal="center"/>
    </xf>
    <xf numFmtId="165" fontId="23" fillId="0" borderId="1" xfId="0" applyNumberFormat="1" applyFont="1" applyBorder="1" applyAlignment="1">
      <alignment horizontal="center"/>
    </xf>
    <xf numFmtId="0" fontId="23"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3"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0" fontId="2" fillId="0" borderId="0" xfId="0" applyFont="1" applyAlignment="1">
      <alignment horizontal="center" wrapText="1"/>
    </xf>
    <xf numFmtId="169" fontId="1" fillId="0" borderId="0" xfId="0" applyNumberFormat="1" applyFont="1"/>
    <xf numFmtId="0" fontId="2" fillId="3" borderId="4"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4" fillId="0" borderId="1" xfId="0" applyFont="1" applyBorder="1"/>
    <xf numFmtId="3" fontId="3" fillId="9" borderId="8" xfId="0" applyNumberFormat="1" applyFont="1" applyFill="1" applyBorder="1" applyAlignment="1">
      <alignment horizontal="center"/>
    </xf>
    <xf numFmtId="0" fontId="3" fillId="0" borderId="1" xfId="0" applyFont="1" applyBorder="1" applyAlignment="1">
      <alignment horizontal="left"/>
    </xf>
    <xf numFmtId="0" fontId="3" fillId="8" borderId="1" xfId="0" applyFont="1" applyFill="1" applyBorder="1"/>
    <xf numFmtId="0" fontId="3" fillId="9" borderId="0" xfId="0" applyFont="1" applyFill="1"/>
    <xf numFmtId="165" fontId="3" fillId="9" borderId="15" xfId="0" applyNumberFormat="1" applyFont="1" applyFill="1" applyBorder="1" applyAlignment="1">
      <alignment horizontal="center"/>
    </xf>
    <xf numFmtId="0" fontId="3" fillId="3" borderId="0" xfId="0" applyFont="1" applyFill="1" applyAlignment="1">
      <alignment horizontal="center"/>
    </xf>
    <xf numFmtId="0" fontId="3" fillId="9" borderId="14" xfId="0" applyFont="1" applyFill="1" applyBorder="1" applyAlignment="1">
      <alignment horizontal="center"/>
    </xf>
    <xf numFmtId="0" fontId="3" fillId="9" borderId="12" xfId="0" applyFont="1" applyFill="1" applyBorder="1" applyAlignment="1">
      <alignment horizontal="center"/>
    </xf>
    <xf numFmtId="3" fontId="23" fillId="8" borderId="0" xfId="0" applyNumberFormat="1" applyFont="1" applyFill="1" applyAlignment="1">
      <alignment horizontal="center"/>
    </xf>
    <xf numFmtId="165" fontId="3" fillId="9" borderId="6" xfId="0" applyNumberFormat="1" applyFont="1" applyFill="1" applyBorder="1" applyAlignment="1">
      <alignment horizontal="center"/>
    </xf>
    <xf numFmtId="0" fontId="3" fillId="3" borderId="0" xfId="0" applyFont="1" applyFill="1"/>
    <xf numFmtId="165" fontId="23" fillId="9" borderId="2" xfId="0" applyNumberFormat="1" applyFont="1" applyFill="1" applyBorder="1" applyAlignment="1">
      <alignment horizontal="center"/>
    </xf>
    <xf numFmtId="3" fontId="23" fillId="8" borderId="2" xfId="0" applyNumberFormat="1" applyFont="1" applyFill="1" applyBorder="1" applyAlignment="1">
      <alignment horizontal="center"/>
    </xf>
    <xf numFmtId="0" fontId="3" fillId="8" borderId="2" xfId="0" applyFont="1" applyFill="1" applyBorder="1" applyAlignment="1">
      <alignment horizontal="center" wrapText="1"/>
    </xf>
    <xf numFmtId="165" fontId="3" fillId="9" borderId="2" xfId="0" applyNumberFormat="1" applyFont="1" applyFill="1" applyBorder="1" applyAlignment="1">
      <alignment horizontal="center"/>
    </xf>
    <xf numFmtId="3" fontId="3" fillId="8" borderId="2"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5" xfId="0" applyFont="1" applyBorder="1" applyAlignment="1">
      <alignment horizontal="center"/>
    </xf>
    <xf numFmtId="2" fontId="1" fillId="3" borderId="0" xfId="0" applyNumberFormat="1" applyFont="1" applyFill="1"/>
    <xf numFmtId="0" fontId="1" fillId="3" borderId="0" xfId="0" applyFont="1" applyFill="1"/>
    <xf numFmtId="4" fontId="3" fillId="0" borderId="2" xfId="0" applyNumberFormat="1" applyFont="1" applyBorder="1" applyAlignment="1">
      <alignment horizontal="center"/>
    </xf>
    <xf numFmtId="168" fontId="3" fillId="9" borderId="42" xfId="0" applyNumberFormat="1" applyFont="1" applyFill="1" applyBorder="1"/>
    <xf numFmtId="168" fontId="3" fillId="9" borderId="44" xfId="0" applyNumberFormat="1" applyFont="1" applyFill="1" applyBorder="1"/>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9" borderId="1" xfId="0" applyFont="1" applyFill="1" applyBorder="1" applyAlignment="1">
      <alignment horizontal="center"/>
    </xf>
    <xf numFmtId="0" fontId="3" fillId="9" borderId="6" xfId="0" applyFont="1" applyFill="1" applyBorder="1"/>
    <xf numFmtId="0" fontId="3" fillId="8" borderId="1" xfId="0" applyFont="1" applyFill="1" applyBorder="1" applyAlignment="1">
      <alignment wrapText="1"/>
    </xf>
    <xf numFmtId="0" fontId="3" fillId="8" borderId="0" xfId="0" applyFont="1" applyFill="1" applyAlignment="1">
      <alignment wrapText="1"/>
    </xf>
    <xf numFmtId="0" fontId="3" fillId="8" borderId="38" xfId="0" applyFont="1" applyFill="1" applyBorder="1" applyAlignment="1">
      <alignment wrapText="1"/>
    </xf>
    <xf numFmtId="165" fontId="3" fillId="9" borderId="0" xfId="0" applyNumberFormat="1" applyFont="1" applyFill="1" applyAlignment="1">
      <alignment horizontal="center" vertical="top" wrapText="1"/>
    </xf>
    <xf numFmtId="3" fontId="3" fillId="9" borderId="2" xfId="0" applyNumberFormat="1" applyFont="1" applyFill="1" applyBorder="1" applyAlignment="1">
      <alignment horizontal="center"/>
    </xf>
    <xf numFmtId="0" fontId="3" fillId="9" borderId="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2"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4" fillId="0" borderId="0" xfId="0" applyNumberFormat="1" applyFont="1" applyAlignment="1">
      <alignment horizontal="center" vertical="top" wrapText="1"/>
    </xf>
    <xf numFmtId="165" fontId="23" fillId="0" borderId="5" xfId="0" applyNumberFormat="1" applyFont="1" applyBorder="1" applyAlignment="1">
      <alignment horizontal="center"/>
    </xf>
    <xf numFmtId="2" fontId="3" fillId="0" borderId="7" xfId="0" applyNumberFormat="1" applyFont="1" applyBorder="1"/>
    <xf numFmtId="165" fontId="3" fillId="9"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8" borderId="0" xfId="0" applyNumberFormat="1" applyFont="1" applyFill="1" applyAlignment="1">
      <alignment horizontal="center" wrapText="1"/>
    </xf>
    <xf numFmtId="1" fontId="3" fillId="8" borderId="0" xfId="0" applyNumberFormat="1" applyFont="1" applyFill="1" applyAlignment="1">
      <alignment horizontal="center"/>
    </xf>
    <xf numFmtId="3" fontId="3" fillId="7" borderId="0" xfId="0" applyNumberFormat="1" applyFont="1" applyFill="1" applyAlignment="1">
      <alignment horizontal="center" wrapText="1"/>
    </xf>
    <xf numFmtId="3" fontId="3" fillId="9" borderId="0" xfId="0" applyNumberFormat="1" applyFont="1" applyFill="1" applyAlignment="1">
      <alignment horizontal="center"/>
    </xf>
    <xf numFmtId="3" fontId="3" fillId="9" borderId="0" xfId="0" applyNumberFormat="1" applyFont="1" applyFill="1" applyAlignment="1">
      <alignment horizontal="center" wrapText="1"/>
    </xf>
    <xf numFmtId="165" fontId="23" fillId="0" borderId="0" xfId="0" applyNumberFormat="1" applyFont="1" applyAlignment="1">
      <alignment horizontal="center" wrapText="1"/>
    </xf>
    <xf numFmtId="0" fontId="3" fillId="0" borderId="0" xfId="0" applyFont="1" applyAlignment="1">
      <alignment horizontal="left" vertical="top" wrapText="1" indent="2"/>
    </xf>
    <xf numFmtId="165" fontId="14" fillId="9" borderId="0" xfId="0" applyNumberFormat="1" applyFont="1" applyFill="1" applyAlignment="1">
      <alignment horizontal="center" vertical="top" wrapText="1"/>
    </xf>
    <xf numFmtId="168" fontId="3" fillId="9"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7"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4" xfId="0" applyFont="1" applyBorder="1" applyAlignment="1">
      <alignment horizontal="left" wrapText="1"/>
    </xf>
    <xf numFmtId="0" fontId="3" fillId="0" borderId="4" xfId="0" applyFont="1" applyBorder="1" applyAlignment="1">
      <alignment horizontal="center" wrapText="1"/>
    </xf>
    <xf numFmtId="0" fontId="3" fillId="0" borderId="5" xfId="0" applyFont="1" applyBorder="1" applyAlignment="1">
      <alignment horizontal="center" wrapText="1"/>
    </xf>
    <xf numFmtId="165" fontId="3" fillId="0" borderId="5" xfId="0" applyNumberFormat="1" applyFont="1" applyBorder="1" applyAlignment="1">
      <alignment horizontal="center" wrapText="1"/>
    </xf>
    <xf numFmtId="3" fontId="3" fillId="0" borderId="2"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9" borderId="7" xfId="0" applyNumberFormat="1" applyFont="1" applyFill="1" applyBorder="1"/>
    <xf numFmtId="165" fontId="23" fillId="9" borderId="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2" xfId="0" applyNumberFormat="1" applyFont="1" applyBorder="1" applyAlignment="1">
      <alignment horizontal="center"/>
    </xf>
    <xf numFmtId="3" fontId="3" fillId="8" borderId="7" xfId="0" applyNumberFormat="1" applyFont="1" applyFill="1" applyBorder="1" applyAlignment="1">
      <alignment horizontal="center" vertical="top" wrapText="1"/>
    </xf>
    <xf numFmtId="1" fontId="3" fillId="0" borderId="4" xfId="0" applyNumberFormat="1" applyFont="1" applyBorder="1" applyAlignment="1">
      <alignment horizontal="center"/>
    </xf>
    <xf numFmtId="1" fontId="3" fillId="0" borderId="5" xfId="0" applyNumberFormat="1" applyFont="1" applyBorder="1" applyAlignment="1">
      <alignment horizontal="center"/>
    </xf>
    <xf numFmtId="1" fontId="3" fillId="8" borderId="5" xfId="0" applyNumberFormat="1" applyFont="1" applyFill="1" applyBorder="1" applyAlignment="1">
      <alignment horizontal="center"/>
    </xf>
    <xf numFmtId="0" fontId="23" fillId="0" borderId="0" xfId="0" applyFont="1" applyAlignment="1">
      <alignment horizontal="left"/>
    </xf>
    <xf numFmtId="0" fontId="23" fillId="0" borderId="4" xfId="0" applyFont="1" applyBorder="1" applyAlignment="1">
      <alignment horizontal="left"/>
    </xf>
    <xf numFmtId="0" fontId="23" fillId="0" borderId="5"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3" xfId="0" applyFont="1" applyBorder="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4"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3"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3" xfId="0" applyFont="1" applyBorder="1" applyAlignment="1">
      <alignment horizontal="left" wrapText="1" indent="4"/>
    </xf>
    <xf numFmtId="3" fontId="30"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3" xfId="0" applyNumberFormat="1" applyFont="1" applyBorder="1" applyAlignment="1">
      <alignment horizontal="center" wrapText="1"/>
    </xf>
    <xf numFmtId="0" fontId="31" fillId="0" borderId="0" xfId="0" applyFont="1"/>
    <xf numFmtId="165" fontId="3" fillId="9" borderId="7" xfId="0" applyNumberFormat="1" applyFont="1" applyFill="1" applyBorder="1" applyAlignment="1">
      <alignment horizontal="center" wrapText="1"/>
    </xf>
    <xf numFmtId="0" fontId="14"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4" fillId="0" borderId="1" xfId="0" applyFont="1" applyBorder="1" applyAlignment="1">
      <alignment horizontal="left" vertical="top" wrapText="1"/>
    </xf>
    <xf numFmtId="3" fontId="14"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4"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9" borderId="15" xfId="0" applyNumberFormat="1" applyFont="1" applyFill="1" applyBorder="1" applyAlignment="1">
      <alignment horizontal="center" wrapText="1"/>
    </xf>
    <xf numFmtId="0" fontId="14"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4" fillId="0" borderId="9" xfId="0" applyFont="1" applyBorder="1" applyAlignment="1">
      <alignment horizontal="center" wrapText="1"/>
    </xf>
    <xf numFmtId="0" fontId="14" fillId="0" borderId="9" xfId="0" applyFont="1" applyBorder="1" applyAlignment="1">
      <alignment wrapText="1"/>
    </xf>
    <xf numFmtId="3" fontId="14"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4" fillId="0" borderId="1" xfId="0" applyFont="1" applyBorder="1" applyAlignment="1">
      <alignment horizontal="left" wrapText="1"/>
    </xf>
    <xf numFmtId="3" fontId="3" fillId="0" borderId="1" xfId="0" applyNumberFormat="1" applyFont="1" applyBorder="1" applyAlignment="1">
      <alignment horizontal="center" wrapText="1"/>
    </xf>
    <xf numFmtId="0" fontId="23"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9" fontId="3" fillId="0" borderId="0" xfId="0" applyNumberFormat="1" applyFont="1"/>
    <xf numFmtId="1" fontId="3" fillId="9" borderId="0" xfId="0" applyNumberFormat="1" applyFont="1" applyFill="1" applyAlignment="1">
      <alignment horizontal="center"/>
    </xf>
    <xf numFmtId="0" fontId="3" fillId="8" borderId="1" xfId="0" applyFont="1" applyFill="1" applyBorder="1" applyAlignment="1">
      <alignment horizontal="center" vertical="center"/>
    </xf>
    <xf numFmtId="0" fontId="14" fillId="8" borderId="0" xfId="0" applyFont="1" applyFill="1" applyAlignment="1">
      <alignment horizontal="center"/>
    </xf>
    <xf numFmtId="0" fontId="14" fillId="8" borderId="7" xfId="0" applyFont="1" applyFill="1" applyBorder="1" applyAlignment="1">
      <alignment horizontal="center"/>
    </xf>
    <xf numFmtId="169" fontId="3" fillId="8" borderId="0" xfId="0" applyNumberFormat="1" applyFont="1" applyFill="1" applyAlignment="1">
      <alignment horizontal="center" vertical="center"/>
    </xf>
    <xf numFmtId="0" fontId="1" fillId="0" borderId="3" xfId="0" applyFont="1" applyBorder="1" applyAlignment="1">
      <alignment horizontal="left"/>
    </xf>
    <xf numFmtId="0" fontId="1" fillId="0" borderId="4" xfId="0" applyFont="1" applyBorder="1" applyAlignment="1">
      <alignment horizontal="left"/>
    </xf>
    <xf numFmtId="2" fontId="3" fillId="0" borderId="0" xfId="0" applyNumberFormat="1" applyFont="1"/>
    <xf numFmtId="169" fontId="3" fillId="9" borderId="0" xfId="0" applyNumberFormat="1" applyFont="1" applyFill="1" applyAlignment="1">
      <alignment horizontal="center" vertical="center"/>
    </xf>
    <xf numFmtId="17" fontId="14" fillId="3" borderId="6" xfId="0" applyNumberFormat="1" applyFont="1" applyFill="1" applyBorder="1" applyAlignment="1">
      <alignment horizontal="left" wrapText="1"/>
    </xf>
    <xf numFmtId="17" fontId="14"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6" xfId="0" applyFont="1" applyBorder="1" applyAlignment="1">
      <alignment horizontal="left"/>
    </xf>
    <xf numFmtId="0" fontId="1" fillId="0" borderId="38" xfId="0" applyFont="1" applyBorder="1" applyAlignment="1">
      <alignment horizontal="left"/>
    </xf>
    <xf numFmtId="0" fontId="8" fillId="0" borderId="1" xfId="0" applyFont="1" applyBorder="1" applyAlignment="1">
      <alignment horizontal="left" vertical="center" wrapText="1"/>
    </xf>
    <xf numFmtId="0" fontId="8" fillId="0" borderId="38" xfId="0" applyFont="1" applyBorder="1" applyAlignment="1">
      <alignment horizontal="left" vertical="center" wrapText="1"/>
    </xf>
    <xf numFmtId="0" fontId="1" fillId="0" borderId="8" xfId="0" applyFont="1" applyBorder="1" applyAlignment="1">
      <alignment horizontal="left"/>
    </xf>
    <xf numFmtId="17" fontId="14" fillId="0" borderId="0" xfId="0" applyNumberFormat="1" applyFont="1" applyAlignment="1">
      <alignment horizontal="left" wrapText="1"/>
    </xf>
    <xf numFmtId="0" fontId="14" fillId="3" borderId="41" xfId="0" applyFont="1" applyFill="1" applyBorder="1" applyAlignment="1">
      <alignment horizontal="left" wrapText="1"/>
    </xf>
    <xf numFmtId="17" fontId="14" fillId="3" borderId="16" xfId="0" applyNumberFormat="1" applyFont="1" applyFill="1" applyBorder="1" applyAlignment="1">
      <alignment horizontal="left" vertical="top" wrapText="1"/>
    </xf>
    <xf numFmtId="0" fontId="3" fillId="9" borderId="1" xfId="0" applyFont="1" applyFill="1" applyBorder="1" applyAlignment="1">
      <alignment horizontal="left" wrapText="1"/>
    </xf>
    <xf numFmtId="0" fontId="8" fillId="9" borderId="0" xfId="0" applyFont="1" applyFill="1" applyAlignment="1">
      <alignment horizontal="left" vertical="center" wrapText="1"/>
    </xf>
    <xf numFmtId="0" fontId="8" fillId="9" borderId="38" xfId="0" applyFont="1" applyFill="1" applyBorder="1" applyAlignment="1">
      <alignment horizontal="left" vertical="center" wrapText="1"/>
    </xf>
    <xf numFmtId="0" fontId="1" fillId="8" borderId="0" xfId="0" applyFont="1" applyFill="1" applyAlignment="1">
      <alignment horizontal="left"/>
    </xf>
    <xf numFmtId="0" fontId="1" fillId="8" borderId="7" xfId="0" applyFont="1" applyFill="1" applyBorder="1" applyAlignment="1">
      <alignment horizontal="left"/>
    </xf>
    <xf numFmtId="0" fontId="14" fillId="3" borderId="41" xfId="0" applyFont="1" applyFill="1" applyBorder="1" applyAlignment="1">
      <alignment horizontal="left" vertical="top" wrapText="1"/>
    </xf>
    <xf numFmtId="10" fontId="23" fillId="9" borderId="0" xfId="0" applyNumberFormat="1" applyFont="1" applyFill="1" applyAlignment="1">
      <alignment horizontal="center"/>
    </xf>
    <xf numFmtId="0" fontId="24" fillId="0" borderId="1" xfId="0" applyFont="1" applyBorder="1" applyAlignment="1">
      <alignment horizontal="center" vertical="center" wrapText="1"/>
    </xf>
    <xf numFmtId="168" fontId="3" fillId="9"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3" fillId="0" borderId="15" xfId="0" applyFont="1" applyBorder="1"/>
    <xf numFmtId="165" fontId="3" fillId="9" borderId="7" xfId="0" applyNumberFormat="1" applyFont="1" applyFill="1" applyBorder="1" applyAlignment="1">
      <alignment horizontal="center"/>
    </xf>
    <xf numFmtId="1" fontId="3" fillId="0" borderId="0" xfId="0" applyNumberFormat="1" applyFont="1"/>
    <xf numFmtId="165" fontId="3" fillId="8" borderId="0" xfId="0" applyNumberFormat="1" applyFont="1" applyFill="1" applyAlignment="1">
      <alignment horizontal="center"/>
    </xf>
    <xf numFmtId="0" fontId="14" fillId="3" borderId="4" xfId="0" applyFont="1" applyFill="1" applyBorder="1" applyAlignment="1">
      <alignment horizontal="left" wrapText="1"/>
    </xf>
    <xf numFmtId="17" fontId="14" fillId="3" borderId="15" xfId="0" applyNumberFormat="1" applyFont="1" applyFill="1" applyBorder="1" applyAlignment="1">
      <alignment horizontal="left" vertical="top" wrapText="1"/>
    </xf>
    <xf numFmtId="168" fontId="3" fillId="0" borderId="0" xfId="0" applyNumberFormat="1" applyFont="1" applyAlignment="1">
      <alignment horizontal="center" vertical="center"/>
    </xf>
    <xf numFmtId="1" fontId="23" fillId="9" borderId="0" xfId="0" applyNumberFormat="1" applyFont="1" applyFill="1" applyAlignment="1">
      <alignment horizontal="center" vertical="center"/>
    </xf>
    <xf numFmtId="165" fontId="3" fillId="7" borderId="0" xfId="0" applyNumberFormat="1" applyFont="1" applyFill="1" applyAlignment="1">
      <alignment horizontal="center"/>
    </xf>
    <xf numFmtId="3" fontId="23" fillId="9" borderId="0" xfId="0" applyNumberFormat="1" applyFont="1" applyFill="1" applyAlignment="1">
      <alignment horizontal="center"/>
    </xf>
    <xf numFmtId="3" fontId="3" fillId="0" borderId="5"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8" fontId="3" fillId="8" borderId="0" xfId="0" applyNumberFormat="1" applyFont="1" applyFill="1" applyAlignment="1">
      <alignment horizontal="center" vertical="center"/>
    </xf>
    <xf numFmtId="0" fontId="24" fillId="0" borderId="4" xfId="0" applyFont="1" applyBorder="1" applyAlignment="1">
      <alignment horizontal="center" vertical="center" wrapText="1"/>
    </xf>
    <xf numFmtId="3" fontId="3" fillId="8" borderId="5" xfId="0" applyNumberFormat="1" applyFont="1" applyFill="1" applyBorder="1" applyAlignment="1">
      <alignment horizontal="center"/>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xf>
    <xf numFmtId="165" fontId="3" fillId="2" borderId="5" xfId="0" applyNumberFormat="1" applyFont="1" applyFill="1" applyBorder="1" applyAlignment="1">
      <alignment horizontal="center"/>
    </xf>
    <xf numFmtId="168" fontId="14"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4" xfId="0" applyFont="1" applyBorder="1" applyAlignment="1">
      <alignment wrapText="1"/>
    </xf>
    <xf numFmtId="0" fontId="3" fillId="0" borderId="3" xfId="0" applyFont="1"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wrapText="1"/>
    </xf>
    <xf numFmtId="0" fontId="23"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8" borderId="0" xfId="0" applyFont="1" applyFill="1" applyAlignment="1">
      <alignment horizontal="center"/>
    </xf>
    <xf numFmtId="0" fontId="32" fillId="0" borderId="0" xfId="0" applyFont="1"/>
    <xf numFmtId="0" fontId="32" fillId="0" borderId="0" xfId="0" applyFont="1" applyAlignment="1">
      <alignment wrapText="1"/>
    </xf>
    <xf numFmtId="0" fontId="33" fillId="0" borderId="0" xfId="0" applyFont="1"/>
    <xf numFmtId="10" fontId="32" fillId="0" borderId="0" xfId="0" applyNumberFormat="1" applyFont="1"/>
    <xf numFmtId="0" fontId="14" fillId="0" borderId="4" xfId="0" applyFont="1" applyBorder="1" applyAlignment="1">
      <alignment horizontal="center" vertical="top" wrapText="1"/>
    </xf>
    <xf numFmtId="0" fontId="14" fillId="0" borderId="0" xfId="0" applyFont="1" applyAlignment="1">
      <alignment horizontal="center" wrapText="1"/>
    </xf>
    <xf numFmtId="3" fontId="3" fillId="0" borderId="15" xfId="0" applyNumberFormat="1" applyFont="1" applyBorder="1" applyAlignment="1">
      <alignment horizontal="center" wrapText="1"/>
    </xf>
    <xf numFmtId="168" fontId="14" fillId="0" borderId="0" xfId="0" applyNumberFormat="1" applyFont="1" applyAlignment="1">
      <alignment horizontal="center" wrapText="1"/>
    </xf>
    <xf numFmtId="168" fontId="14" fillId="0" borderId="7" xfId="0" applyNumberFormat="1" applyFont="1" applyBorder="1" applyAlignment="1">
      <alignment horizontal="center" wrapText="1"/>
    </xf>
    <xf numFmtId="0" fontId="4" fillId="0" borderId="0" xfId="0" applyFont="1"/>
    <xf numFmtId="0" fontId="1" fillId="0" borderId="5" xfId="0" applyFont="1" applyBorder="1"/>
    <xf numFmtId="3" fontId="14" fillId="0" borderId="0" xfId="0" applyNumberFormat="1" applyFont="1" applyAlignment="1">
      <alignment horizontal="center" wrapText="1"/>
    </xf>
    <xf numFmtId="3" fontId="14" fillId="0" borderId="7" xfId="0" applyNumberFormat="1" applyFont="1" applyBorder="1" applyAlignment="1">
      <alignment horizontal="center" wrapText="1"/>
    </xf>
    <xf numFmtId="0" fontId="1" fillId="18" borderId="0" xfId="0" applyFont="1" applyFill="1"/>
    <xf numFmtId="0" fontId="1" fillId="9" borderId="5" xfId="0" applyFont="1" applyFill="1" applyBorder="1"/>
    <xf numFmtId="3" fontId="23" fillId="9" borderId="0" xfId="0" applyNumberFormat="1" applyFont="1" applyFill="1" applyAlignment="1">
      <alignment horizontal="center" wrapText="1"/>
    </xf>
    <xf numFmtId="3" fontId="3" fillId="0" borderId="5" xfId="0" applyNumberFormat="1" applyFont="1" applyBorder="1" applyAlignment="1">
      <alignment horizontal="center" wrapText="1"/>
    </xf>
    <xf numFmtId="3" fontId="23" fillId="0" borderId="0" xfId="0" applyNumberFormat="1" applyFont="1" applyAlignment="1">
      <alignment horizontal="center" wrapText="1"/>
    </xf>
    <xf numFmtId="1" fontId="23" fillId="0" borderId="7" xfId="0" applyNumberFormat="1" applyFont="1" applyBorder="1" applyAlignment="1">
      <alignment horizontal="center"/>
    </xf>
    <xf numFmtId="1" fontId="3" fillId="9" borderId="0" xfId="0" applyNumberFormat="1" applyFont="1" applyFill="1" applyAlignment="1">
      <alignment horizontal="center" wrapText="1"/>
    </xf>
    <xf numFmtId="3" fontId="14" fillId="9" borderId="0" xfId="0" applyNumberFormat="1" applyFont="1" applyFill="1" applyAlignment="1">
      <alignment horizontal="center" wrapText="1"/>
    </xf>
    <xf numFmtId="1" fontId="1" fillId="9" borderId="0" xfId="0" applyNumberFormat="1" applyFont="1" applyFill="1"/>
    <xf numFmtId="0" fontId="14" fillId="0" borderId="0" xfId="0" applyFont="1"/>
    <xf numFmtId="1" fontId="14" fillId="0" borderId="0" xfId="0" applyNumberFormat="1" applyFont="1"/>
    <xf numFmtId="3" fontId="14" fillId="0" borderId="0" xfId="0" applyNumberFormat="1" applyFont="1"/>
    <xf numFmtId="168" fontId="1" fillId="0" borderId="0" xfId="0" applyNumberFormat="1" applyFont="1"/>
    <xf numFmtId="3" fontId="23" fillId="7" borderId="0" xfId="0" applyNumberFormat="1" applyFont="1" applyFill="1" applyAlignment="1">
      <alignment horizontal="center"/>
    </xf>
    <xf numFmtId="0" fontId="34" fillId="0" borderId="1" xfId="0" applyFont="1" applyBorder="1" applyAlignment="1">
      <alignment horizontal="left" indent="2"/>
    </xf>
    <xf numFmtId="3" fontId="14" fillId="9" borderId="7" xfId="0" applyNumberFormat="1" applyFont="1" applyFill="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top" wrapText="1"/>
    </xf>
    <xf numFmtId="0" fontId="3" fillId="0" borderId="3"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3" fillId="0" borderId="0" xfId="0" applyFont="1" applyAlignment="1">
      <alignment wrapText="1"/>
    </xf>
    <xf numFmtId="171" fontId="23" fillId="0" borderId="0" xfId="0" applyNumberFormat="1" applyFont="1" applyAlignment="1">
      <alignment wrapText="1"/>
    </xf>
    <xf numFmtId="0" fontId="14" fillId="0" borderId="5" xfId="0" applyFont="1" applyBorder="1" applyAlignment="1">
      <alignment horizontal="center" vertical="top" wrapText="1"/>
    </xf>
    <xf numFmtId="171" fontId="3" fillId="0" borderId="7" xfId="0" applyNumberFormat="1" applyFont="1" applyBorder="1" applyAlignment="1">
      <alignment horizontal="center" wrapText="1"/>
    </xf>
    <xf numFmtId="1" fontId="14" fillId="0" borderId="0" xfId="0" applyNumberFormat="1" applyFont="1" applyAlignment="1">
      <alignment horizontal="center" wrapText="1"/>
    </xf>
    <xf numFmtId="0" fontId="35" fillId="0" borderId="0" xfId="0" applyFont="1"/>
    <xf numFmtId="1" fontId="3" fillId="0" borderId="5" xfId="0" applyNumberFormat="1" applyFont="1" applyBorder="1" applyAlignment="1">
      <alignment horizontal="center" wrapText="1"/>
    </xf>
    <xf numFmtId="1" fontId="3" fillId="8" borderId="5" xfId="0" applyNumberFormat="1" applyFont="1" applyFill="1" applyBorder="1" applyAlignment="1">
      <alignment horizontal="center" wrapText="1"/>
    </xf>
    <xf numFmtId="0" fontId="23" fillId="0" borderId="3" xfId="0" applyFont="1" applyBorder="1"/>
    <xf numFmtId="0" fontId="23" fillId="0" borderId="7" xfId="0" applyFont="1" applyBorder="1"/>
    <xf numFmtId="1" fontId="23" fillId="0" borderId="0" xfId="0" applyNumberFormat="1" applyFont="1" applyAlignment="1">
      <alignment horizontal="center"/>
    </xf>
    <xf numFmtId="1" fontId="23" fillId="9" borderId="7" xfId="0" applyNumberFormat="1" applyFont="1" applyFill="1" applyBorder="1" applyAlignment="1">
      <alignment horizontal="center"/>
    </xf>
    <xf numFmtId="0" fontId="34" fillId="0" borderId="1" xfId="0" applyFont="1" applyBorder="1" applyAlignment="1">
      <alignment horizontal="left" indent="5"/>
    </xf>
    <xf numFmtId="0" fontId="3" fillId="0" borderId="1" xfId="0" applyFont="1" applyBorder="1" applyAlignment="1">
      <alignment horizontal="left" vertical="top" wrapText="1" indent="5"/>
    </xf>
    <xf numFmtId="168" fontId="3" fillId="8" borderId="0" xfId="0" applyNumberFormat="1" applyFont="1" applyFill="1" applyAlignment="1">
      <alignment horizontal="center" wrapText="1"/>
    </xf>
    <xf numFmtId="168" fontId="15" fillId="0" borderId="0" xfId="0" applyNumberFormat="1" applyFont="1"/>
    <xf numFmtId="169" fontId="3" fillId="8" borderId="0" xfId="0" applyNumberFormat="1" applyFont="1" applyFill="1" applyAlignment="1">
      <alignment horizontal="center"/>
    </xf>
    <xf numFmtId="169" fontId="3" fillId="9" borderId="0" xfId="0" applyNumberFormat="1" applyFont="1" applyFill="1" applyAlignment="1">
      <alignment horizontal="center"/>
    </xf>
    <xf numFmtId="0" fontId="3" fillId="20" borderId="0" xfId="0" applyFont="1" applyFill="1" applyAlignment="1">
      <alignment wrapText="1"/>
    </xf>
    <xf numFmtId="10" fontId="15" fillId="0" borderId="0" xfId="0" applyNumberFormat="1" applyFont="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23" fillId="0" borderId="4" xfId="0" applyFont="1" applyBorder="1"/>
    <xf numFmtId="0" fontId="23" fillId="2" borderId="4" xfId="0" applyFont="1" applyFill="1" applyBorder="1"/>
    <xf numFmtId="168" fontId="3" fillId="8" borderId="4" xfId="0" applyNumberFormat="1" applyFont="1" applyFill="1" applyBorder="1" applyAlignment="1">
      <alignment horizontal="center"/>
    </xf>
    <xf numFmtId="168" fontId="3" fillId="8" borderId="1" xfId="0" applyNumberFormat="1" applyFont="1" applyFill="1" applyBorder="1" applyAlignment="1">
      <alignment horizontal="center"/>
    </xf>
    <xf numFmtId="0" fontId="36" fillId="0" borderId="1" xfId="0" applyFont="1" applyBorder="1" applyAlignment="1">
      <alignment wrapText="1"/>
    </xf>
    <xf numFmtId="0" fontId="14" fillId="12" borderId="4" xfId="0" applyFont="1" applyFill="1" applyBorder="1"/>
    <xf numFmtId="168" fontId="23" fillId="17" borderId="5" xfId="0" applyNumberFormat="1" applyFont="1" applyFill="1" applyBorder="1" applyAlignment="1">
      <alignment horizontal="center"/>
    </xf>
    <xf numFmtId="0" fontId="1" fillId="17" borderId="0" xfId="0" applyFont="1" applyFill="1"/>
    <xf numFmtId="168" fontId="3" fillId="0" borderId="4" xfId="0" applyNumberFormat="1" applyFont="1" applyBorder="1" applyAlignment="1">
      <alignment horizontal="center"/>
    </xf>
    <xf numFmtId="169" fontId="3" fillId="8" borderId="7" xfId="0" applyNumberFormat="1" applyFont="1" applyFill="1" applyBorder="1" applyAlignment="1">
      <alignment horizontal="center"/>
    </xf>
    <xf numFmtId="0" fontId="23" fillId="21"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3" xfId="0" applyFont="1" applyBorder="1"/>
    <xf numFmtId="0" fontId="3" fillId="0" borderId="1" xfId="0" applyFont="1" applyBorder="1"/>
    <xf numFmtId="168" fontId="23" fillId="0" borderId="0" xfId="0" applyNumberFormat="1" applyFont="1" applyAlignment="1">
      <alignment horizontal="center"/>
    </xf>
    <xf numFmtId="168" fontId="3" fillId="0" borderId="7" xfId="0" applyNumberFormat="1" applyFont="1" applyBorder="1" applyAlignment="1">
      <alignment horizontal="center"/>
    </xf>
    <xf numFmtId="168" fontId="23" fillId="9" borderId="0" xfId="0" applyNumberFormat="1" applyFont="1" applyFill="1" applyAlignment="1">
      <alignment horizontal="center"/>
    </xf>
    <xf numFmtId="169" fontId="3" fillId="0" borderId="0" xfId="0" applyNumberFormat="1" applyFont="1" applyAlignment="1">
      <alignment horizontal="center"/>
    </xf>
    <xf numFmtId="168" fontId="23" fillId="8" borderId="15" xfId="0" applyNumberFormat="1" applyFont="1" applyFill="1" applyBorder="1" applyAlignment="1">
      <alignment horizontal="center"/>
    </xf>
    <xf numFmtId="0" fontId="3" fillId="0" borderId="4" xfId="0" applyFont="1" applyBorder="1"/>
    <xf numFmtId="0" fontId="3" fillId="12" borderId="5" xfId="0" applyFont="1" applyFill="1" applyBorder="1" applyAlignment="1">
      <alignment horizontal="center"/>
    </xf>
    <xf numFmtId="0" fontId="3" fillId="12" borderId="6" xfId="0" applyFont="1" applyFill="1" applyBorder="1" applyAlignment="1">
      <alignment horizontal="center"/>
    </xf>
    <xf numFmtId="0" fontId="3" fillId="0" borderId="8" xfId="0" applyFont="1" applyBorder="1" applyAlignment="1">
      <alignment horizontal="center"/>
    </xf>
    <xf numFmtId="168" fontId="3" fillId="0" borderId="5" xfId="0" applyNumberFormat="1" applyFont="1" applyBorder="1" applyAlignment="1">
      <alignment horizontal="center"/>
    </xf>
    <xf numFmtId="168" fontId="3" fillId="8" borderId="5" xfId="0" applyNumberFormat="1" applyFont="1" applyFill="1" applyBorder="1" applyAlignment="1">
      <alignment horizontal="center"/>
    </xf>
    <xf numFmtId="168" fontId="23" fillId="0" borderId="4" xfId="0" applyNumberFormat="1" applyFont="1" applyBorder="1" applyAlignment="1">
      <alignment horizontal="center"/>
    </xf>
    <xf numFmtId="168" fontId="23" fillId="0" borderId="5" xfId="0" applyNumberFormat="1" applyFont="1" applyBorder="1" applyAlignment="1">
      <alignment horizontal="center"/>
    </xf>
    <xf numFmtId="168" fontId="23" fillId="8" borderId="5" xfId="0" applyNumberFormat="1" applyFont="1" applyFill="1" applyBorder="1" applyAlignment="1">
      <alignment horizontal="center"/>
    </xf>
    <xf numFmtId="169" fontId="3" fillId="0" borderId="7" xfId="0" applyNumberFormat="1" applyFont="1" applyBorder="1" applyAlignment="1">
      <alignment horizontal="center"/>
    </xf>
    <xf numFmtId="0" fontId="23" fillId="0" borderId="1" xfId="0" applyFont="1" applyBorder="1"/>
    <xf numFmtId="172" fontId="3" fillId="0" borderId="0" xfId="0" applyNumberFormat="1" applyFont="1"/>
    <xf numFmtId="0" fontId="14" fillId="3" borderId="9" xfId="0" applyFont="1" applyFill="1" applyBorder="1"/>
    <xf numFmtId="0" fontId="14" fillId="3" borderId="10" xfId="0" applyFont="1" applyFill="1" applyBorder="1"/>
    <xf numFmtId="0" fontId="14" fillId="3" borderId="11" xfId="0" applyFont="1" applyFill="1" applyBorder="1"/>
    <xf numFmtId="0" fontId="14" fillId="3" borderId="10" xfId="0" applyFont="1" applyFill="1" applyBorder="1" applyAlignment="1">
      <alignment horizontal="center"/>
    </xf>
    <xf numFmtId="0" fontId="14" fillId="3" borderId="11" xfId="0" applyFont="1" applyFill="1" applyBorder="1" applyAlignment="1">
      <alignment horizontal="center"/>
    </xf>
    <xf numFmtId="168" fontId="3" fillId="9" borderId="7" xfId="0" applyNumberFormat="1" applyFont="1" applyFill="1" applyBorder="1" applyAlignment="1">
      <alignment horizontal="center"/>
    </xf>
    <xf numFmtId="0" fontId="23" fillId="0" borderId="15" xfId="0" applyFont="1" applyBorder="1"/>
    <xf numFmtId="168" fontId="23"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3" xfId="0" applyNumberFormat="1" applyFont="1" applyBorder="1" applyAlignment="1">
      <alignment horizontal="center"/>
    </xf>
    <xf numFmtId="169" fontId="3" fillId="0" borderId="3" xfId="0" applyNumberFormat="1" applyFont="1" applyBorder="1" applyAlignment="1">
      <alignment horizontal="center"/>
    </xf>
    <xf numFmtId="0" fontId="14" fillId="0" borderId="0" xfId="0" applyFont="1" applyAlignment="1">
      <alignment vertical="top" wrapText="1"/>
    </xf>
    <xf numFmtId="169" fontId="3" fillId="9" borderId="7" xfId="0" applyNumberFormat="1" applyFont="1" applyFill="1" applyBorder="1" applyAlignment="1">
      <alignment horizontal="center"/>
    </xf>
    <xf numFmtId="0" fontId="3" fillId="0" borderId="5" xfId="0" applyFont="1" applyBorder="1"/>
    <xf numFmtId="168" fontId="3" fillId="9" borderId="0" xfId="0" applyNumberFormat="1" applyFont="1" applyFill="1" applyAlignment="1">
      <alignment horizontal="center"/>
    </xf>
    <xf numFmtId="168" fontId="23" fillId="9" borderId="15" xfId="0" applyNumberFormat="1" applyFont="1" applyFill="1" applyBorder="1" applyAlignment="1">
      <alignment horizontal="center"/>
    </xf>
    <xf numFmtId="0" fontId="3" fillId="10" borderId="10" xfId="0" applyFont="1" applyFill="1" applyBorder="1"/>
    <xf numFmtId="0" fontId="3" fillId="10" borderId="11" xfId="0" applyFont="1" applyFill="1" applyBorder="1"/>
    <xf numFmtId="0" fontId="1" fillId="8" borderId="41" xfId="0" applyFont="1" applyFill="1" applyBorder="1"/>
    <xf numFmtId="2" fontId="3" fillId="0" borderId="15" xfId="0" applyNumberFormat="1" applyFont="1" applyBorder="1" applyAlignment="1">
      <alignment horizontal="center"/>
    </xf>
    <xf numFmtId="2" fontId="3" fillId="0" borderId="2" xfId="0" applyNumberFormat="1" applyFont="1" applyBorder="1" applyAlignment="1">
      <alignment horizontal="center"/>
    </xf>
    <xf numFmtId="168" fontId="23" fillId="8" borderId="0" xfId="0" applyNumberFormat="1" applyFont="1" applyFill="1" applyAlignment="1">
      <alignment horizontal="center"/>
    </xf>
    <xf numFmtId="0" fontId="23" fillId="0" borderId="1" xfId="0" applyFont="1" applyBorder="1" applyAlignment="1">
      <alignment horizontal="left"/>
    </xf>
    <xf numFmtId="169" fontId="3" fillId="0" borderId="0" xfId="0" applyNumberFormat="1" applyFont="1"/>
    <xf numFmtId="168" fontId="3" fillId="22" borderId="0" xfId="0" applyNumberFormat="1" applyFont="1" applyFill="1" applyAlignment="1">
      <alignment horizontal="center" wrapText="1"/>
    </xf>
    <xf numFmtId="169" fontId="3" fillId="17" borderId="7" xfId="0" applyNumberFormat="1" applyFont="1" applyFill="1" applyBorder="1" applyAlignment="1">
      <alignment horizontal="center"/>
    </xf>
    <xf numFmtId="2" fontId="3" fillId="0" borderId="0" xfId="0" applyNumberFormat="1" applyFont="1" applyAlignment="1">
      <alignment horizontal="right"/>
    </xf>
    <xf numFmtId="0" fontId="14" fillId="0" borderId="14" xfId="0" applyFont="1" applyBorder="1"/>
    <xf numFmtId="0" fontId="14"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69" fontId="3" fillId="11"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69" fontId="3" fillId="0" borderId="7" xfId="0" applyNumberFormat="1" applyFont="1" applyBorder="1"/>
    <xf numFmtId="0" fontId="3" fillId="0" borderId="3" xfId="0" applyFont="1" applyBorder="1" applyAlignment="1">
      <alignment horizontal="left" indent="4"/>
    </xf>
    <xf numFmtId="3" fontId="38" fillId="0" borderId="0" xfId="0" applyNumberFormat="1" applyFont="1"/>
    <xf numFmtId="173" fontId="3" fillId="0" borderId="0" xfId="0" applyNumberFormat="1" applyFont="1"/>
    <xf numFmtId="0" fontId="3" fillId="10" borderId="4" xfId="0" applyFont="1" applyFill="1" applyBorder="1"/>
    <xf numFmtId="0" fontId="3" fillId="10"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8" xfId="0" applyNumberFormat="1" applyFont="1" applyBorder="1" applyAlignment="1">
      <alignment horizontal="center"/>
    </xf>
    <xf numFmtId="0" fontId="14" fillId="9" borderId="0" xfId="0" applyFont="1" applyFill="1" applyAlignment="1">
      <alignment horizontal="center"/>
    </xf>
    <xf numFmtId="0" fontId="1" fillId="0" borderId="0" xfId="0" applyFont="1" applyAlignment="1">
      <alignment horizontal="center"/>
    </xf>
    <xf numFmtId="0" fontId="3" fillId="9" borderId="15" xfId="0" applyFont="1" applyFill="1" applyBorder="1"/>
    <xf numFmtId="0" fontId="23"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 fillId="14" borderId="5"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4"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3" fillId="14" borderId="0" xfId="0" applyFont="1" applyFill="1"/>
    <xf numFmtId="0" fontId="23" fillId="14" borderId="1" xfId="0" applyFont="1" applyFill="1" applyBorder="1"/>
    <xf numFmtId="0" fontId="23" fillId="14" borderId="0" xfId="0" applyFont="1" applyFill="1" applyAlignment="1">
      <alignment horizontal="center"/>
    </xf>
    <xf numFmtId="0" fontId="23" fillId="14" borderId="7" xfId="0" applyFont="1" applyFill="1" applyBorder="1"/>
    <xf numFmtId="0" fontId="23" fillId="14" borderId="3" xfId="0" applyFont="1" applyFill="1" applyBorder="1"/>
    <xf numFmtId="0" fontId="23"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3" fillId="0" borderId="7" xfId="0" applyFont="1" applyBorder="1" applyAlignment="1">
      <alignment horizontal="center"/>
    </xf>
    <xf numFmtId="10" fontId="3" fillId="0" borderId="15" xfId="0" applyNumberFormat="1" applyFont="1" applyBorder="1"/>
    <xf numFmtId="10" fontId="3" fillId="0" borderId="4"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3" fontId="15" fillId="0" borderId="0" xfId="0" applyNumberFormat="1" applyFont="1"/>
    <xf numFmtId="0" fontId="3" fillId="0" borderId="45" xfId="0" applyFont="1" applyBorder="1" applyAlignment="1">
      <alignment horizontal="left" wrapText="1" indent="2"/>
    </xf>
    <xf numFmtId="9" fontId="3" fillId="9" borderId="0" xfId="0" applyNumberFormat="1" applyFont="1" applyFill="1"/>
    <xf numFmtId="9" fontId="14" fillId="9" borderId="0" xfId="0" applyNumberFormat="1" applyFont="1" applyFill="1"/>
    <xf numFmtId="1" fontId="3" fillId="9" borderId="1" xfId="0" applyNumberFormat="1" applyFont="1" applyFill="1" applyBorder="1"/>
    <xf numFmtId="0" fontId="39" fillId="0" borderId="1" xfId="0" applyFont="1" applyBorder="1" applyAlignment="1">
      <alignment horizontal="left" wrapText="1"/>
    </xf>
    <xf numFmtId="0" fontId="40" fillId="0" borderId="1" xfId="0" applyFont="1" applyBorder="1" applyAlignment="1">
      <alignment horizontal="left" wrapText="1" indent="1"/>
    </xf>
    <xf numFmtId="0" fontId="30" fillId="0" borderId="1" xfId="0" applyFont="1" applyBorder="1" applyAlignment="1">
      <alignment horizontal="left" wrapText="1" indent="1"/>
    </xf>
    <xf numFmtId="0" fontId="14" fillId="0" borderId="4" xfId="0" applyFont="1" applyBorder="1" applyAlignment="1">
      <alignment horizontal="center"/>
    </xf>
    <xf numFmtId="0" fontId="14" fillId="0" borderId="5" xfId="0" applyFont="1" applyBorder="1" applyAlignment="1">
      <alignment horizontal="center"/>
    </xf>
    <xf numFmtId="168" fontId="3" fillId="8" borderId="0" xfId="0" applyNumberFormat="1" applyFont="1" applyFill="1" applyAlignment="1">
      <alignment horizontal="center"/>
    </xf>
    <xf numFmtId="168" fontId="14" fillId="8" borderId="1" xfId="0" applyNumberFormat="1" applyFont="1" applyFill="1" applyBorder="1" applyAlignment="1">
      <alignment horizontal="center"/>
    </xf>
    <xf numFmtId="9" fontId="14" fillId="9" borderId="0" xfId="0" applyNumberFormat="1" applyFont="1" applyFill="1" applyAlignment="1">
      <alignment horizontal="center"/>
    </xf>
    <xf numFmtId="168" fontId="14" fillId="8" borderId="0" xfId="0" applyNumberFormat="1" applyFont="1" applyFill="1" applyAlignment="1">
      <alignment horizontal="center"/>
    </xf>
    <xf numFmtId="0" fontId="14" fillId="9" borderId="1" xfId="0" applyFont="1" applyFill="1" applyBorder="1" applyAlignment="1">
      <alignment horizontal="center" wrapText="1"/>
    </xf>
    <xf numFmtId="168" fontId="24" fillId="9" borderId="0" xfId="0" applyNumberFormat="1" applyFont="1" applyFill="1" applyAlignment="1">
      <alignment horizontal="center"/>
    </xf>
    <xf numFmtId="10" fontId="24" fillId="9" borderId="0" xfId="0" applyNumberFormat="1" applyFont="1" applyFill="1" applyAlignment="1">
      <alignment horizontal="center"/>
    </xf>
    <xf numFmtId="168" fontId="14" fillId="0" borderId="1" xfId="0" applyNumberFormat="1" applyFont="1" applyBorder="1" applyAlignment="1">
      <alignment horizontal="center"/>
    </xf>
    <xf numFmtId="168" fontId="14" fillId="9" borderId="7" xfId="0" applyNumberFormat="1" applyFont="1" applyFill="1" applyBorder="1" applyAlignment="1">
      <alignment horizontal="center"/>
    </xf>
    <xf numFmtId="168" fontId="14" fillId="8" borderId="5"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9" borderId="0" xfId="0" applyNumberFormat="1" applyFont="1" applyFill="1"/>
    <xf numFmtId="1" fontId="14" fillId="8" borderId="1" xfId="0" applyNumberFormat="1" applyFont="1" applyFill="1" applyBorder="1"/>
    <xf numFmtId="1" fontId="14" fillId="3" borderId="23" xfId="0" applyNumberFormat="1" applyFont="1" applyFill="1" applyBorder="1"/>
    <xf numFmtId="167" fontId="14" fillId="9" borderId="23" xfId="0" applyNumberFormat="1" applyFont="1" applyFill="1" applyBorder="1"/>
    <xf numFmtId="10" fontId="2" fillId="0" borderId="0" xfId="0" applyNumberFormat="1" applyFont="1"/>
    <xf numFmtId="168" fontId="14" fillId="9" borderId="1" xfId="0" applyNumberFormat="1" applyFont="1" applyFill="1" applyBorder="1" applyAlignment="1">
      <alignment horizontal="center"/>
    </xf>
    <xf numFmtId="9" fontId="3" fillId="9" borderId="0" xfId="0" applyNumberFormat="1" applyFont="1" applyFill="1" applyAlignment="1">
      <alignment horizontal="center"/>
    </xf>
    <xf numFmtId="0" fontId="23" fillId="9" borderId="0" xfId="0" applyFont="1" applyFill="1" applyAlignment="1">
      <alignment horizontal="center"/>
    </xf>
    <xf numFmtId="0" fontId="3" fillId="9" borderId="0" xfId="0" applyFont="1" applyFill="1" applyAlignment="1">
      <alignment horizontal="left" wrapText="1" indent="1"/>
    </xf>
    <xf numFmtId="168" fontId="3" fillId="9" borderId="1" xfId="0" applyNumberFormat="1" applyFont="1" applyFill="1" applyBorder="1" applyAlignment="1">
      <alignment horizontal="center"/>
    </xf>
    <xf numFmtId="0" fontId="3" fillId="9" borderId="1" xfId="0" applyFont="1" applyFill="1" applyBorder="1" applyAlignment="1">
      <alignment horizontal="center" wrapText="1"/>
    </xf>
    <xf numFmtId="0" fontId="3" fillId="9" borderId="0" xfId="0" applyFont="1" applyFill="1" applyAlignment="1">
      <alignment horizontal="center" wrapText="1"/>
    </xf>
    <xf numFmtId="0" fontId="23" fillId="9" borderId="1" xfId="0" applyFont="1" applyFill="1" applyBorder="1" applyAlignment="1">
      <alignment horizontal="center"/>
    </xf>
    <xf numFmtId="0" fontId="3" fillId="0" borderId="3" xfId="0" applyFont="1" applyBorder="1" applyAlignment="1">
      <alignment horizontal="left"/>
    </xf>
    <xf numFmtId="1" fontId="3" fillId="8" borderId="4" xfId="0" applyNumberFormat="1" applyFont="1" applyFill="1" applyBorder="1" applyAlignment="1">
      <alignment horizontal="center"/>
    </xf>
    <xf numFmtId="1" fontId="3" fillId="8" borderId="1" xfId="0" applyNumberFormat="1" applyFont="1" applyFill="1" applyBorder="1"/>
    <xf numFmtId="0" fontId="3" fillId="21" borderId="1" xfId="0" applyFont="1" applyFill="1" applyBorder="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9" borderId="7" xfId="0" applyFont="1" applyFill="1" applyBorder="1"/>
    <xf numFmtId="1" fontId="3" fillId="9" borderId="0" xfId="0" applyNumberFormat="1" applyFont="1" applyFill="1"/>
    <xf numFmtId="0" fontId="14" fillId="0" borderId="3" xfId="0" applyFont="1" applyBorder="1" applyAlignment="1">
      <alignment wrapText="1"/>
    </xf>
    <xf numFmtId="1" fontId="3" fillId="0" borderId="23" xfId="0" applyNumberFormat="1" applyFont="1" applyBorder="1"/>
    <xf numFmtId="167" fontId="3" fillId="0" borderId="23" xfId="0" applyNumberFormat="1" applyFont="1" applyBorder="1"/>
    <xf numFmtId="0" fontId="39" fillId="0" borderId="1" xfId="0" applyFont="1" applyBorder="1" applyAlignment="1">
      <alignment horizontal="left" indent="1"/>
    </xf>
    <xf numFmtId="0" fontId="3" fillId="0" borderId="1" xfId="0" applyFont="1" applyBorder="1" applyAlignment="1">
      <alignment horizontal="left" indent="2"/>
    </xf>
    <xf numFmtId="0" fontId="41" fillId="0" borderId="1" xfId="0" applyFont="1" applyBorder="1" applyAlignment="1">
      <alignment horizontal="left" indent="1"/>
    </xf>
    <xf numFmtId="0" fontId="3" fillId="24" borderId="1" xfId="0" applyFont="1" applyFill="1" applyBorder="1" applyAlignment="1">
      <alignment horizontal="left"/>
    </xf>
    <xf numFmtId="0" fontId="3" fillId="24" borderId="4" xfId="0" applyFont="1" applyFill="1" applyBorder="1"/>
    <xf numFmtId="0" fontId="3" fillId="0" borderId="0" xfId="0" applyFont="1" applyAlignment="1">
      <alignment horizontal="left" wrapText="1" indent="1"/>
    </xf>
    <xf numFmtId="1" fontId="3" fillId="8" borderId="0" xfId="0" applyNumberFormat="1" applyFont="1" applyFill="1"/>
    <xf numFmtId="167" fontId="3" fillId="8" borderId="23" xfId="0" applyNumberFormat="1" applyFont="1" applyFill="1" applyBorder="1"/>
    <xf numFmtId="167" fontId="3" fillId="0" borderId="0" xfId="0" applyNumberFormat="1" applyFont="1"/>
    <xf numFmtId="0" fontId="14" fillId="8" borderId="4" xfId="0" applyFont="1" applyFill="1" applyBorder="1" applyAlignment="1">
      <alignment horizontal="centerContinuous" vertical="center"/>
    </xf>
    <xf numFmtId="0" fontId="14" fillId="8" borderId="6" xfId="0" applyFont="1" applyFill="1" applyBorder="1" applyAlignment="1">
      <alignment horizontal="centerContinuous" vertical="center"/>
    </xf>
    <xf numFmtId="0" fontId="14" fillId="8" borderId="1" xfId="0" applyFont="1" applyFill="1" applyBorder="1" applyAlignment="1">
      <alignment horizontal="centerContinuous" vertical="center"/>
    </xf>
    <xf numFmtId="0" fontId="14" fillId="8" borderId="0" xfId="0" applyFont="1" applyFill="1" applyAlignment="1">
      <alignment horizontal="centerContinuous" vertical="center"/>
    </xf>
    <xf numFmtId="0" fontId="3" fillId="0" borderId="23" xfId="0" applyFont="1" applyBorder="1"/>
    <xf numFmtId="1" fontId="3" fillId="0" borderId="45" xfId="0" applyNumberFormat="1" applyFont="1" applyBorder="1"/>
    <xf numFmtId="1" fontId="3" fillId="3" borderId="23" xfId="0" applyNumberFormat="1" applyFont="1" applyFill="1" applyBorder="1"/>
    <xf numFmtId="1" fontId="3" fillId="21" borderId="23" xfId="0" applyNumberFormat="1" applyFont="1" applyFill="1" applyBorder="1"/>
    <xf numFmtId="1" fontId="3" fillId="8" borderId="23" xfId="0" applyNumberFormat="1" applyFont="1" applyFill="1" applyBorder="1"/>
    <xf numFmtId="167" fontId="3" fillId="9" borderId="23" xfId="0" applyNumberFormat="1" applyFont="1" applyFill="1" applyBorder="1"/>
    <xf numFmtId="1" fontId="3" fillId="0" borderId="1" xfId="0" applyNumberFormat="1" applyFont="1" applyBorder="1"/>
    <xf numFmtId="0" fontId="3" fillId="0" borderId="3" xfId="0" applyFont="1" applyBorder="1" applyAlignment="1">
      <alignment horizontal="center"/>
    </xf>
    <xf numFmtId="0" fontId="14" fillId="0" borderId="0" xfId="0" applyFont="1" applyAlignment="1">
      <alignment horizontal="left" indent="1"/>
    </xf>
    <xf numFmtId="168" fontId="3" fillId="9" borderId="5" xfId="0" applyNumberFormat="1" applyFont="1" applyFill="1" applyBorder="1" applyAlignment="1">
      <alignment horizontal="center"/>
    </xf>
    <xf numFmtId="168" fontId="14" fillId="9" borderId="0" xfId="0" applyNumberFormat="1" applyFont="1" applyFill="1" applyAlignment="1">
      <alignment horizontal="center"/>
    </xf>
    <xf numFmtId="0" fontId="39" fillId="0" borderId="1" xfId="0" applyFont="1" applyBorder="1" applyAlignment="1">
      <alignment horizontal="left" wrapText="1" indent="1"/>
    </xf>
    <xf numFmtId="0" fontId="3" fillId="0" borderId="22" xfId="0" applyFont="1" applyBorder="1" applyAlignment="1">
      <alignment horizontal="left" wrapText="1" indent="2"/>
    </xf>
    <xf numFmtId="1" fontId="3" fillId="9" borderId="5" xfId="0" applyNumberFormat="1" applyFont="1" applyFill="1" applyBorder="1"/>
    <xf numFmtId="168" fontId="14" fillId="0" borderId="0" xfId="0" applyNumberFormat="1" applyFont="1" applyAlignment="1">
      <alignment horizontal="center"/>
    </xf>
    <xf numFmtId="1" fontId="3" fillId="0" borderId="20" xfId="0" applyNumberFormat="1" applyFont="1" applyBorder="1"/>
    <xf numFmtId="0" fontId="3" fillId="18" borderId="0" xfId="0" applyFont="1" applyFill="1" applyAlignment="1">
      <alignment horizontal="left" wrapText="1" indent="1"/>
    </xf>
    <xf numFmtId="1" fontId="3" fillId="3" borderId="0" xfId="0" applyNumberFormat="1" applyFont="1" applyFill="1"/>
    <xf numFmtId="168" fontId="23" fillId="0" borderId="7" xfId="0" applyNumberFormat="1" applyFont="1" applyBorder="1" applyAlignment="1">
      <alignment horizontal="center"/>
    </xf>
    <xf numFmtId="0" fontId="3" fillId="0" borderId="26" xfId="0" applyFont="1" applyBorder="1"/>
    <xf numFmtId="0" fontId="3" fillId="0" borderId="20" xfId="0" applyFont="1" applyBorder="1"/>
    <xf numFmtId="1" fontId="3" fillId="9" borderId="20" xfId="0" applyNumberFormat="1" applyFont="1" applyFill="1" applyBorder="1"/>
    <xf numFmtId="0" fontId="3" fillId="0" borderId="21" xfId="0" applyFont="1" applyBorder="1" applyAlignment="1">
      <alignment horizontal="left" wrapText="1" indent="1"/>
    </xf>
    <xf numFmtId="0" fontId="3" fillId="0" borderId="21" xfId="0" applyFont="1" applyBorder="1" applyAlignment="1">
      <alignment horizontal="left" wrapText="1" indent="2"/>
    </xf>
    <xf numFmtId="1" fontId="3" fillId="0" borderId="46" xfId="0" applyNumberFormat="1" applyFont="1" applyBorder="1"/>
    <xf numFmtId="1" fontId="3" fillId="3" borderId="20" xfId="0" applyNumberFormat="1" applyFont="1" applyFill="1" applyBorder="1"/>
    <xf numFmtId="1" fontId="3" fillId="21" borderId="20" xfId="0" applyNumberFormat="1" applyFont="1" applyFill="1" applyBorder="1"/>
    <xf numFmtId="1" fontId="3" fillId="21" borderId="0" xfId="0" applyNumberFormat="1" applyFont="1" applyFill="1"/>
    <xf numFmtId="1" fontId="3" fillId="9" borderId="23" xfId="0" applyNumberFormat="1" applyFont="1" applyFill="1" applyBorder="1"/>
    <xf numFmtId="0" fontId="3" fillId="0" borderId="3" xfId="0" applyFont="1" applyBorder="1" applyAlignment="1">
      <alignment horizontal="right"/>
    </xf>
    <xf numFmtId="0" fontId="23" fillId="0" borderId="1" xfId="0" applyFont="1" applyBorder="1" applyAlignment="1">
      <alignment horizontal="center"/>
    </xf>
    <xf numFmtId="2" fontId="3" fillId="9" borderId="0" xfId="0" applyNumberFormat="1" applyFont="1" applyFill="1"/>
    <xf numFmtId="0" fontId="3" fillId="0" borderId="15" xfId="0" applyFont="1" applyBorder="1"/>
    <xf numFmtId="168" fontId="3" fillId="8" borderId="15" xfId="0" applyNumberFormat="1" applyFont="1" applyFill="1" applyBorder="1" applyAlignment="1">
      <alignment horizontal="center"/>
    </xf>
    <xf numFmtId="1" fontId="3" fillId="8" borderId="15" xfId="0" applyNumberFormat="1" applyFont="1" applyFill="1" applyBorder="1" applyAlignment="1">
      <alignment horizontal="center"/>
    </xf>
    <xf numFmtId="168" fontId="3" fillId="9" borderId="15" xfId="0" applyNumberFormat="1" applyFont="1" applyFill="1" applyBorder="1" applyAlignment="1">
      <alignment horizontal="center"/>
    </xf>
    <xf numFmtId="0" fontId="1" fillId="22" borderId="0" xfId="0" applyFont="1" applyFill="1"/>
    <xf numFmtId="0" fontId="8" fillId="22"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16"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16" fillId="0" borderId="0" xfId="0" applyNumberFormat="1" applyFont="1" applyAlignment="1">
      <alignment horizontal="center"/>
    </xf>
    <xf numFmtId="166" fontId="16" fillId="0" borderId="0" xfId="0" applyNumberFormat="1" applyFont="1" applyAlignment="1">
      <alignment horizontal="center"/>
    </xf>
    <xf numFmtId="0" fontId="8" fillId="0" borderId="0" xfId="0" applyFont="1"/>
    <xf numFmtId="2" fontId="1" fillId="18" borderId="0" xfId="0" applyNumberFormat="1" applyFont="1" applyFill="1"/>
    <xf numFmtId="0" fontId="8" fillId="26" borderId="0" xfId="0" applyFont="1" applyFill="1" applyAlignment="1">
      <alignment horizontal="center"/>
    </xf>
    <xf numFmtId="168" fontId="1" fillId="0" borderId="0" xfId="0" applyNumberFormat="1" applyFont="1" applyAlignment="1">
      <alignment horizontal="right" vertical="center"/>
    </xf>
    <xf numFmtId="2" fontId="1" fillId="0" borderId="0" xfId="0" applyNumberFormat="1" applyFont="1" applyAlignment="1">
      <alignment horizontal="right" vertical="center"/>
    </xf>
    <xf numFmtId="168" fontId="1" fillId="0" borderId="15" xfId="0" applyNumberFormat="1" applyFont="1" applyBorder="1" applyAlignment="1">
      <alignment horizontal="center"/>
    </xf>
    <xf numFmtId="0" fontId="1" fillId="0" borderId="38" xfId="0" applyFont="1" applyBorder="1"/>
    <xf numFmtId="0" fontId="14" fillId="9" borderId="3" xfId="0" applyFont="1" applyFill="1" applyBorder="1"/>
    <xf numFmtId="0" fontId="14" fillId="9"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14" fillId="16" borderId="11" xfId="0" applyFont="1" applyFill="1" applyBorder="1" applyAlignment="1">
      <alignment horizontal="center"/>
    </xf>
    <xf numFmtId="0" fontId="34" fillId="0" borderId="1" xfId="0" applyFont="1" applyBorder="1"/>
    <xf numFmtId="2" fontId="3" fillId="0" borderId="8" xfId="0" applyNumberFormat="1" applyFont="1" applyBorder="1" applyAlignment="1">
      <alignment horizontal="center"/>
    </xf>
    <xf numFmtId="175" fontId="42" fillId="9" borderId="11"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42" fillId="0" borderId="10" xfId="0" applyNumberFormat="1" applyFont="1" applyBorder="1" applyAlignment="1">
      <alignment horizontal="center"/>
    </xf>
    <xf numFmtId="3" fontId="3" fillId="0" borderId="38" xfId="0" applyNumberFormat="1" applyFont="1" applyBorder="1" applyAlignment="1">
      <alignment horizontal="center"/>
    </xf>
    <xf numFmtId="175" fontId="42" fillId="9" borderId="10" xfId="0" applyNumberFormat="1" applyFont="1" applyFill="1" applyBorder="1" applyAlignment="1">
      <alignment horizontal="center"/>
    </xf>
    <xf numFmtId="0" fontId="14" fillId="0" borderId="41" xfId="0" applyFont="1" applyBorder="1" applyAlignment="1">
      <alignment wrapText="1"/>
    </xf>
    <xf numFmtId="1" fontId="3" fillId="0" borderId="8" xfId="0" applyNumberFormat="1" applyFont="1" applyBorder="1" applyAlignment="1">
      <alignment horizontal="center"/>
    </xf>
    <xf numFmtId="0" fontId="9"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9" borderId="0" xfId="0" applyNumberFormat="1" applyFont="1" applyFill="1" applyAlignment="1">
      <alignment horizontal="right" vertical="top" wrapText="1"/>
    </xf>
    <xf numFmtId="175" fontId="34" fillId="0" borderId="0" xfId="0" applyNumberFormat="1" applyFont="1" applyAlignment="1">
      <alignment horizontal="center"/>
    </xf>
    <xf numFmtId="2" fontId="3" fillId="0" borderId="6" xfId="0" applyNumberFormat="1" applyFont="1" applyBorder="1" applyAlignment="1">
      <alignment horizontal="center"/>
    </xf>
    <xf numFmtId="1" fontId="3" fillId="0" borderId="38" xfId="0" applyNumberFormat="1" applyFont="1" applyBorder="1" applyAlignment="1">
      <alignment horizontal="center"/>
    </xf>
    <xf numFmtId="37" fontId="3" fillId="0" borderId="0" xfId="0" applyNumberFormat="1" applyFont="1" applyAlignment="1">
      <alignment horizontal="center" wrapText="1"/>
    </xf>
    <xf numFmtId="1" fontId="34" fillId="0" borderId="0" xfId="0" applyNumberFormat="1" applyFont="1" applyAlignment="1">
      <alignment horizontal="center"/>
    </xf>
    <xf numFmtId="0" fontId="34" fillId="0" borderId="4" xfId="0" applyFont="1" applyBorder="1" applyAlignment="1">
      <alignment wrapText="1"/>
    </xf>
    <xf numFmtId="168" fontId="3" fillId="0" borderId="0" xfId="0" applyNumberFormat="1" applyFont="1" applyAlignment="1">
      <alignment horizontal="right"/>
    </xf>
    <xf numFmtId="0" fontId="43" fillId="0" borderId="1" xfId="0" applyFont="1" applyBorder="1"/>
    <xf numFmtId="0" fontId="43" fillId="0" borderId="3" xfId="0" applyFont="1" applyBorder="1"/>
    <xf numFmtId="0" fontId="23" fillId="0" borderId="1" xfId="0" applyFont="1" applyBorder="1" applyAlignment="1">
      <alignment horizontal="left" indent="2"/>
    </xf>
    <xf numFmtId="0" fontId="43" fillId="0" borderId="1" xfId="0" applyFont="1" applyBorder="1" applyAlignment="1">
      <alignment horizontal="left" indent="2"/>
    </xf>
    <xf numFmtId="0" fontId="42" fillId="27" borderId="4" xfId="0" applyFont="1" applyFill="1" applyBorder="1" applyAlignment="1">
      <alignment wrapText="1"/>
    </xf>
    <xf numFmtId="9" fontId="3" fillId="0" borderId="0" xfId="0" applyNumberFormat="1" applyFont="1" applyAlignment="1">
      <alignment horizontal="center"/>
    </xf>
    <xf numFmtId="10" fontId="3" fillId="0" borderId="7" xfId="0" applyNumberFormat="1" applyFont="1" applyBorder="1" applyAlignment="1">
      <alignment horizontal="center"/>
    </xf>
    <xf numFmtId="168" fontId="23" fillId="28" borderId="0" xfId="0" applyNumberFormat="1" applyFont="1" applyFill="1" applyAlignment="1">
      <alignment horizontal="center" vertical="top" wrapText="1"/>
    </xf>
    <xf numFmtId="0" fontId="23" fillId="0" borderId="1" xfId="0" applyFont="1" applyBorder="1" applyAlignment="1">
      <alignment horizontal="left" vertical="top" wrapText="1" indent="1"/>
    </xf>
    <xf numFmtId="0" fontId="19" fillId="0" borderId="0" xfId="0" applyFont="1"/>
    <xf numFmtId="10" fontId="3" fillId="9" borderId="0" xfId="0" applyNumberFormat="1" applyFont="1" applyFill="1" applyAlignment="1">
      <alignment horizontal="center" vertical="top" wrapText="1"/>
    </xf>
    <xf numFmtId="10" fontId="23" fillId="0" borderId="0" xfId="0" applyNumberFormat="1" applyFont="1"/>
    <xf numFmtId="0" fontId="3" fillId="0" borderId="1" xfId="0" applyFont="1" applyBorder="1" applyAlignment="1">
      <alignment horizontal="center" vertical="top"/>
    </xf>
    <xf numFmtId="0" fontId="14" fillId="0" borderId="10" xfId="0" applyFont="1" applyBorder="1" applyAlignment="1">
      <alignment horizontal="center"/>
    </xf>
    <xf numFmtId="0" fontId="3" fillId="8" borderId="2" xfId="0" applyFont="1" applyFill="1" applyBorder="1"/>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42" fillId="9" borderId="5" xfId="0" applyNumberFormat="1" applyFont="1" applyFill="1" applyBorder="1" applyAlignment="1">
      <alignment horizontal="center"/>
    </xf>
    <xf numFmtId="0" fontId="14" fillId="16" borderId="5" xfId="0" applyFont="1" applyFill="1" applyBorder="1" applyAlignment="1">
      <alignment horizontal="center"/>
    </xf>
    <xf numFmtId="175" fontId="34" fillId="0" borderId="5" xfId="0" applyNumberFormat="1" applyFont="1" applyBorder="1" applyAlignment="1">
      <alignment horizontal="center"/>
    </xf>
    <xf numFmtId="175" fontId="34" fillId="0" borderId="7" xfId="0" applyNumberFormat="1" applyFont="1" applyBorder="1" applyAlignment="1">
      <alignment horizontal="center"/>
    </xf>
    <xf numFmtId="0" fontId="34" fillId="0" borderId="4" xfId="0" applyFont="1" applyBorder="1" applyAlignment="1">
      <alignment horizontal="left" indent="1"/>
    </xf>
    <xf numFmtId="167" fontId="3" fillId="0" borderId="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8"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4" fillId="0" borderId="14" xfId="0" applyFont="1" applyBorder="1" applyAlignment="1">
      <alignment horizontal="left" indent="1"/>
    </xf>
    <xf numFmtId="2" fontId="3" fillId="0" borderId="5" xfId="0" applyNumberFormat="1" applyFont="1" applyBorder="1" applyAlignment="1">
      <alignment horizontal="center"/>
    </xf>
    <xf numFmtId="175" fontId="34" fillId="0" borderId="4" xfId="0" applyNumberFormat="1" applyFont="1" applyBorder="1" applyAlignment="1">
      <alignment horizontal="center"/>
    </xf>
    <xf numFmtId="175" fontId="34" fillId="0" borderId="1" xfId="0" applyNumberFormat="1" applyFont="1" applyBorder="1" applyAlignment="1">
      <alignment horizontal="center"/>
    </xf>
    <xf numFmtId="175" fontId="34" fillId="0" borderId="38" xfId="0" applyNumberFormat="1" applyFont="1" applyBorder="1" applyAlignment="1">
      <alignment horizontal="center"/>
    </xf>
    <xf numFmtId="0" fontId="34" fillId="0" borderId="1" xfId="0" applyFont="1" applyBorder="1" applyAlignment="1">
      <alignment horizontal="left" indent="1"/>
    </xf>
    <xf numFmtId="0" fontId="34" fillId="0" borderId="3"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4" fillId="3" borderId="0" xfId="0" applyFont="1" applyFill="1" applyAlignment="1">
      <alignment horizontal="left"/>
    </xf>
    <xf numFmtId="0" fontId="14" fillId="3" borderId="0" xfId="0" applyFont="1" applyFill="1"/>
    <xf numFmtId="168" fontId="23" fillId="0" borderId="1" xfId="0" applyNumberFormat="1" applyFont="1" applyBorder="1" applyAlignment="1">
      <alignment horizontal="center" vertical="top" wrapText="1"/>
    </xf>
    <xf numFmtId="168" fontId="23" fillId="0" borderId="3" xfId="0" applyNumberFormat="1" applyFont="1" applyBorder="1" applyAlignment="1">
      <alignment horizontal="center" vertical="top" wrapText="1"/>
    </xf>
    <xf numFmtId="0" fontId="3" fillId="0" borderId="4" xfId="0" applyFont="1" applyBorder="1" applyAlignment="1">
      <alignment horizontal="left" indent="2"/>
    </xf>
    <xf numFmtId="0" fontId="3" fillId="0" borderId="0" xfId="0" applyFont="1" applyAlignment="1">
      <alignment horizontal="left" indent="2"/>
    </xf>
    <xf numFmtId="175" fontId="34" fillId="0" borderId="8" xfId="0" applyNumberFormat="1" applyFont="1" applyBorder="1" applyAlignment="1">
      <alignment horizontal="center"/>
    </xf>
    <xf numFmtId="10" fontId="23" fillId="0" borderId="0" xfId="0" applyNumberFormat="1" applyFont="1" applyAlignment="1">
      <alignment horizontal="center" vertical="top" wrapText="1"/>
    </xf>
    <xf numFmtId="0" fontId="42" fillId="0" borderId="4" xfId="0" applyFont="1" applyBorder="1" applyAlignment="1">
      <alignment horizontal="left"/>
    </xf>
    <xf numFmtId="1" fontId="3" fillId="9" borderId="23"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9" borderId="15" xfId="0" applyNumberFormat="1" applyFont="1" applyFill="1" applyBorder="1" applyAlignment="1">
      <alignment horizontal="right" vertical="top" wrapText="1"/>
    </xf>
    <xf numFmtId="0" fontId="24" fillId="0" borderId="0" xfId="0" applyFont="1" applyAlignment="1">
      <alignment horizontal="center" vertical="top" wrapText="1"/>
    </xf>
    <xf numFmtId="0" fontId="14" fillId="0" borderId="4" xfId="0" applyFont="1" applyBorder="1" applyAlignment="1">
      <alignment horizontal="left" vertical="top" wrapText="1"/>
    </xf>
    <xf numFmtId="168" fontId="23" fillId="0" borderId="7" xfId="0" applyNumberFormat="1" applyFont="1" applyBorder="1" applyAlignment="1">
      <alignment horizontal="center" vertical="top" wrapText="1"/>
    </xf>
    <xf numFmtId="168" fontId="44" fillId="9" borderId="7" xfId="0" applyNumberFormat="1" applyFont="1" applyFill="1" applyBorder="1" applyAlignment="1">
      <alignment horizontal="center"/>
    </xf>
    <xf numFmtId="168" fontId="23" fillId="28"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8"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3" xfId="0" applyFont="1" applyFill="1" applyBorder="1" applyAlignment="1">
      <alignment horizontal="left" indent="2"/>
    </xf>
    <xf numFmtId="10" fontId="3" fillId="9" borderId="0" xfId="0" applyNumberFormat="1" applyFont="1" applyFill="1" applyAlignment="1">
      <alignment horizontal="right" vertical="top" wrapText="1"/>
    </xf>
    <xf numFmtId="9" fontId="3" fillId="7" borderId="0" xfId="0" applyNumberFormat="1" applyFont="1" applyFill="1"/>
    <xf numFmtId="168" fontId="3" fillId="9" borderId="4" xfId="0" applyNumberFormat="1" applyFont="1" applyFill="1" applyBorder="1" applyAlignment="1">
      <alignment horizontal="right" vertical="top" wrapText="1"/>
    </xf>
    <xf numFmtId="1" fontId="23" fillId="9"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top" wrapText="1"/>
    </xf>
    <xf numFmtId="168" fontId="3" fillId="9" borderId="45" xfId="0" applyNumberFormat="1" applyFont="1" applyFill="1" applyBorder="1" applyAlignment="1">
      <alignment horizontal="center" vertical="top" wrapText="1"/>
    </xf>
    <xf numFmtId="168" fontId="3" fillId="9" borderId="23"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center" wrapText="1"/>
    </xf>
    <xf numFmtId="168" fontId="3" fillId="9" borderId="0" xfId="0" applyNumberFormat="1" applyFont="1" applyFill="1" applyAlignment="1">
      <alignment horizontal="center" vertical="center" wrapText="1"/>
    </xf>
    <xf numFmtId="0" fontId="3" fillId="9" borderId="0" xfId="0" applyFont="1" applyFill="1" applyAlignment="1">
      <alignment horizontal="center" vertical="center"/>
    </xf>
    <xf numFmtId="1" fontId="3" fillId="9" borderId="0" xfId="0" applyNumberFormat="1" applyFont="1" applyFill="1" applyAlignment="1">
      <alignment horizontal="center" vertical="center" wrapText="1"/>
    </xf>
    <xf numFmtId="168" fontId="23" fillId="28" borderId="1" xfId="0" applyNumberFormat="1" applyFont="1" applyFill="1" applyBorder="1" applyAlignment="1">
      <alignment horizontal="center" vertical="top" wrapText="1"/>
    </xf>
    <xf numFmtId="168" fontId="23" fillId="9" borderId="1" xfId="0" applyNumberFormat="1" applyFont="1" applyFill="1" applyBorder="1" applyAlignment="1">
      <alignment horizontal="center" vertical="top" wrapText="1"/>
    </xf>
    <xf numFmtId="168" fontId="23" fillId="9" borderId="0" xfId="0" applyNumberFormat="1" applyFont="1" applyFill="1" applyAlignment="1">
      <alignment horizontal="center" vertical="top" wrapText="1"/>
    </xf>
    <xf numFmtId="10" fontId="23"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4" fillId="0" borderId="0" xfId="0" applyFont="1"/>
    <xf numFmtId="0" fontId="34"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168" fontId="3" fillId="9"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4" fillId="0" borderId="4" xfId="0" applyFont="1" applyBorder="1"/>
    <xf numFmtId="165" fontId="2" fillId="0" borderId="24" xfId="0" applyNumberFormat="1" applyFont="1" applyBorder="1" applyAlignment="1">
      <alignment horizontal="right"/>
    </xf>
    <xf numFmtId="175" fontId="42" fillId="0" borderId="5" xfId="0" applyNumberFormat="1" applyFont="1" applyBorder="1" applyAlignment="1">
      <alignment horizontal="center"/>
    </xf>
    <xf numFmtId="1" fontId="34" fillId="0" borderId="5" xfId="0" applyNumberFormat="1" applyFont="1" applyBorder="1" applyAlignment="1">
      <alignment horizontal="center"/>
    </xf>
    <xf numFmtId="1" fontId="34" fillId="0" borderId="7" xfId="0" applyNumberFormat="1" applyFont="1" applyBorder="1" applyAlignment="1">
      <alignment horizontal="center"/>
    </xf>
    <xf numFmtId="175" fontId="42" fillId="16" borderId="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5" xfId="0" applyNumberFormat="1" applyFont="1" applyBorder="1"/>
    <xf numFmtId="168" fontId="23" fillId="0" borderId="0" xfId="0" applyNumberFormat="1" applyFont="1"/>
    <xf numFmtId="1" fontId="3" fillId="9" borderId="6" xfId="0" applyNumberFormat="1" applyFont="1" applyFill="1" applyBorder="1" applyAlignment="1">
      <alignment horizontal="center"/>
    </xf>
    <xf numFmtId="1" fontId="3" fillId="9" borderId="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9" borderId="7" xfId="0" applyNumberFormat="1" applyFont="1" applyFill="1" applyBorder="1"/>
    <xf numFmtId="1" fontId="3" fillId="17" borderId="0" xfId="0" applyNumberFormat="1" applyFont="1" applyFill="1" applyAlignment="1">
      <alignment horizontal="center" vertical="top" wrapText="1"/>
    </xf>
    <xf numFmtId="168" fontId="23" fillId="0" borderId="0" xfId="0" applyNumberFormat="1" applyFont="1" applyAlignment="1">
      <alignment horizontal="center" vertical="top" wrapText="1"/>
    </xf>
    <xf numFmtId="10" fontId="3" fillId="0" borderId="0" xfId="0" applyNumberFormat="1" applyFont="1"/>
    <xf numFmtId="0" fontId="3" fillId="0" borderId="3"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3"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34" fillId="0" borderId="1" xfId="0" applyFont="1" applyBorder="1" applyAlignment="1">
      <alignment wrapText="1"/>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3" fillId="0" borderId="0" xfId="0" applyFont="1" applyAlignment="1">
      <alignment horizontal="center" vertical="top" wrapText="1"/>
    </xf>
    <xf numFmtId="3" fontId="23" fillId="0" borderId="0" xfId="0" applyNumberFormat="1" applyFont="1" applyAlignment="1">
      <alignment horizontal="center" vertical="top" wrapText="1"/>
    </xf>
    <xf numFmtId="0" fontId="34" fillId="0" borderId="45" xfId="0" applyFont="1" applyBorder="1" applyAlignment="1">
      <alignment horizontal="left" indent="2"/>
    </xf>
    <xf numFmtId="165" fontId="3" fillId="0" borderId="23" xfId="0" applyNumberFormat="1" applyFont="1" applyBorder="1" applyAlignment="1">
      <alignment horizontal="center" vertical="top" wrapText="1"/>
    </xf>
    <xf numFmtId="0" fontId="3" fillId="0" borderId="4" xfId="0" applyFont="1" applyBorder="1" applyAlignment="1">
      <alignment horizontal="left" indent="1"/>
    </xf>
    <xf numFmtId="0" fontId="45" fillId="0" borderId="0" xfId="0" applyFont="1"/>
    <xf numFmtId="0" fontId="43" fillId="0" borderId="1" xfId="0" applyFont="1" applyBorder="1" applyAlignment="1">
      <alignment horizontal="left"/>
    </xf>
    <xf numFmtId="167" fontId="23" fillId="0" borderId="0" xfId="0" applyNumberFormat="1" applyFont="1"/>
    <xf numFmtId="0" fontId="23" fillId="0" borderId="3" xfId="0" applyFont="1" applyBorder="1" applyAlignment="1">
      <alignment horizontal="left" vertical="top" wrapText="1"/>
    </xf>
    <xf numFmtId="0" fontId="3" fillId="0" borderId="47" xfId="0" applyFont="1" applyBorder="1"/>
    <xf numFmtId="168" fontId="23" fillId="0" borderId="0" xfId="0" applyNumberFormat="1" applyFont="1" applyAlignment="1">
      <alignment horizontal="right" vertical="top" wrapText="1"/>
    </xf>
    <xf numFmtId="175" fontId="42" fillId="0" borderId="0" xfId="0" applyNumberFormat="1" applyFont="1" applyAlignment="1">
      <alignment horizontal="center"/>
    </xf>
    <xf numFmtId="1" fontId="3" fillId="0" borderId="5" xfId="0" applyNumberFormat="1" applyFont="1" applyBorder="1" applyAlignment="1">
      <alignment horizontal="center" vertical="center"/>
    </xf>
    <xf numFmtId="168" fontId="3" fillId="8" borderId="0" xfId="0" applyNumberFormat="1" applyFont="1" applyFill="1" applyAlignment="1">
      <alignment horizontal="center" vertical="top" wrapText="1"/>
    </xf>
    <xf numFmtId="1" fontId="23" fillId="9" borderId="0" xfId="0" applyNumberFormat="1" applyFont="1" applyFill="1" applyAlignment="1">
      <alignment horizontal="center" vertical="top" wrapText="1"/>
    </xf>
    <xf numFmtId="1" fontId="3" fillId="9" borderId="0" xfId="0" applyNumberFormat="1" applyFont="1" applyFill="1" applyAlignment="1">
      <alignment horizontal="center" vertical="top" wrapText="1"/>
    </xf>
    <xf numFmtId="168" fontId="23" fillId="28" borderId="7" xfId="0" applyNumberFormat="1" applyFont="1" applyFill="1" applyBorder="1" applyAlignment="1">
      <alignment horizontal="center" vertical="top" wrapText="1"/>
    </xf>
    <xf numFmtId="168" fontId="23" fillId="16" borderId="0" xfId="0" applyNumberFormat="1" applyFont="1" applyFill="1" applyAlignment="1">
      <alignment horizontal="center" vertical="top" wrapText="1"/>
    </xf>
    <xf numFmtId="167" fontId="3" fillId="8" borderId="0" xfId="0" applyNumberFormat="1" applyFont="1" applyFill="1" applyAlignment="1">
      <alignment horizontal="center"/>
    </xf>
    <xf numFmtId="167" fontId="3" fillId="9" borderId="0" xfId="0" applyNumberFormat="1" applyFont="1" applyFill="1" applyAlignment="1">
      <alignment horizontal="center"/>
    </xf>
    <xf numFmtId="167" fontId="3" fillId="0" borderId="0" xfId="0" applyNumberFormat="1" applyFont="1" applyAlignment="1">
      <alignment horizontal="center"/>
    </xf>
    <xf numFmtId="167" fontId="3" fillId="28"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42" fillId="0" borderId="0" xfId="0" applyNumberFormat="1" applyFont="1" applyAlignment="1">
      <alignment horizontal="center"/>
    </xf>
    <xf numFmtId="175" fontId="42" fillId="0" borderId="0" xfId="0" applyNumberFormat="1" applyFont="1"/>
    <xf numFmtId="1" fontId="14" fillId="0" borderId="0" xfId="0" applyNumberFormat="1" applyFont="1" applyAlignment="1">
      <alignment horizontal="center"/>
    </xf>
    <xf numFmtId="168" fontId="3" fillId="0" borderId="1" xfId="0" applyNumberFormat="1" applyFont="1" applyBorder="1" applyAlignment="1">
      <alignment horizontal="right" vertical="top" wrapText="1"/>
    </xf>
    <xf numFmtId="3" fontId="23" fillId="0" borderId="7" xfId="0" applyNumberFormat="1" applyFont="1" applyBorder="1" applyAlignment="1">
      <alignment horizontal="center" vertical="top" wrapText="1"/>
    </xf>
    <xf numFmtId="0" fontId="14" fillId="16" borderId="10" xfId="0" applyFont="1" applyFill="1" applyBorder="1" applyAlignment="1">
      <alignment horizontal="center"/>
    </xf>
    <xf numFmtId="168" fontId="3" fillId="9" borderId="2" xfId="0" applyNumberFormat="1" applyFont="1" applyFill="1" applyBorder="1" applyAlignment="1">
      <alignment horizontal="center"/>
    </xf>
    <xf numFmtId="0" fontId="3" fillId="9" borderId="4" xfId="0" applyFont="1" applyFill="1" applyBorder="1"/>
    <xf numFmtId="0" fontId="3" fillId="0" borderId="0" xfId="0" applyFont="1" applyAlignment="1">
      <alignment horizontal="right"/>
    </xf>
    <xf numFmtId="168" fontId="3" fillId="7" borderId="0" xfId="0" applyNumberFormat="1" applyFont="1" applyFill="1" applyAlignment="1">
      <alignment horizontal="center"/>
    </xf>
    <xf numFmtId="168" fontId="3" fillId="29" borderId="0" xfId="0" applyNumberFormat="1" applyFont="1" applyFill="1" applyAlignment="1">
      <alignment horizontal="center"/>
    </xf>
    <xf numFmtId="168" fontId="23" fillId="27"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4" fillId="0" borderId="48" xfId="0" applyFont="1" applyBorder="1" applyAlignment="1">
      <alignment horizontal="left"/>
    </xf>
    <xf numFmtId="168" fontId="14" fillId="9" borderId="2" xfId="0" applyNumberFormat="1" applyFont="1" applyFill="1" applyBorder="1" applyAlignment="1">
      <alignment horizontal="center"/>
    </xf>
    <xf numFmtId="3" fontId="3" fillId="0" borderId="1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4" fillId="0" borderId="10" xfId="0" applyFont="1" applyBorder="1"/>
    <xf numFmtId="0" fontId="14" fillId="0" borderId="11" xfId="0" applyFont="1" applyBorder="1"/>
    <xf numFmtId="169" fontId="3" fillId="7" borderId="7" xfId="0" applyNumberFormat="1" applyFont="1" applyFill="1" applyBorder="1"/>
    <xf numFmtId="4" fontId="3" fillId="0" borderId="0" xfId="0" applyNumberFormat="1" applyFont="1"/>
    <xf numFmtId="3" fontId="3" fillId="0" borderId="2" xfId="0" applyNumberFormat="1" applyFont="1" applyBorder="1"/>
    <xf numFmtId="169" fontId="3" fillId="7" borderId="8" xfId="0" applyNumberFormat="1" applyFont="1" applyFill="1" applyBorder="1"/>
    <xf numFmtId="3" fontId="3" fillId="0" borderId="4" xfId="0" applyNumberFormat="1" applyFont="1" applyBorder="1"/>
    <xf numFmtId="1" fontId="3" fillId="9" borderId="15" xfId="0" applyNumberFormat="1" applyFont="1" applyFill="1" applyBorder="1"/>
    <xf numFmtId="1" fontId="3" fillId="0" borderId="5" xfId="0" applyNumberFormat="1" applyFont="1" applyBorder="1"/>
    <xf numFmtId="168" fontId="3" fillId="0" borderId="6" xfId="0" applyNumberFormat="1" applyFont="1" applyBorder="1"/>
    <xf numFmtId="168" fontId="3" fillId="9" borderId="8" xfId="0" applyNumberFormat="1" applyFont="1" applyFill="1" applyBorder="1" applyAlignment="1">
      <alignment horizontal="center"/>
    </xf>
    <xf numFmtId="168" fontId="23" fillId="9" borderId="2" xfId="0" applyNumberFormat="1" applyFont="1" applyFill="1" applyBorder="1" applyAlignment="1">
      <alignment horizontal="center"/>
    </xf>
    <xf numFmtId="0" fontId="14" fillId="8" borderId="16" xfId="0" applyFont="1" applyFill="1" applyBorder="1" applyAlignment="1">
      <alignment horizontal="centerContinuous"/>
    </xf>
    <xf numFmtId="0" fontId="14" fillId="8" borderId="17" xfId="0" applyFont="1" applyFill="1" applyBorder="1" applyAlignment="1">
      <alignment horizontal="centerContinuous"/>
    </xf>
    <xf numFmtId="0" fontId="3" fillId="9" borderId="2" xfId="0" applyFont="1" applyFill="1" applyBorder="1"/>
    <xf numFmtId="0" fontId="1" fillId="0" borderId="1" xfId="0" applyFont="1" applyBorder="1" applyAlignment="1">
      <alignment horizontal="left" indent="1"/>
    </xf>
    <xf numFmtId="0" fontId="1" fillId="0" borderId="2" xfId="0" applyFont="1" applyBorder="1" applyAlignment="1">
      <alignment horizontal="left" indent="1"/>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0" fontId="3" fillId="9"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9" borderId="12" xfId="0" applyFont="1" applyFill="1" applyBorder="1" applyAlignment="1">
      <alignment horizontal="center" wrapText="1"/>
    </xf>
    <xf numFmtId="0" fontId="3" fillId="8" borderId="41" xfId="0" applyFont="1" applyFill="1" applyBorder="1" applyAlignment="1">
      <alignment horizontal="center" wrapText="1"/>
    </xf>
    <xf numFmtId="0" fontId="3" fillId="8" borderId="11" xfId="0" applyFont="1" applyFill="1" applyBorder="1" applyAlignment="1">
      <alignment horizontal="center" wrapText="1"/>
    </xf>
    <xf numFmtId="14" fontId="3" fillId="8" borderId="14" xfId="0" applyNumberFormat="1" applyFont="1" applyFill="1" applyBorder="1" applyAlignment="1">
      <alignment horizontal="right"/>
    </xf>
    <xf numFmtId="3" fontId="3" fillId="0" borderId="4" xfId="0" applyNumberFormat="1" applyFont="1" applyBorder="1" applyAlignment="1">
      <alignment horizontal="center"/>
    </xf>
    <xf numFmtId="3" fontId="3" fillId="0" borderId="0" xfId="0" applyNumberFormat="1" applyFont="1" applyAlignment="1">
      <alignment wrapText="1"/>
    </xf>
    <xf numFmtId="0" fontId="46"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8" borderId="13" xfId="0" applyNumberFormat="1" applyFont="1" applyFill="1" applyBorder="1" applyAlignment="1">
      <alignment horizontal="right"/>
    </xf>
    <xf numFmtId="14" fontId="3" fillId="8" borderId="12" xfId="0" applyNumberFormat="1" applyFont="1" applyFill="1" applyBorder="1" applyAlignment="1">
      <alignment horizontal="right"/>
    </xf>
    <xf numFmtId="0" fontId="3" fillId="8" borderId="3" xfId="0" applyFont="1" applyFill="1" applyBorder="1" applyAlignment="1">
      <alignment horizontal="center" wrapText="1"/>
    </xf>
    <xf numFmtId="0" fontId="3" fillId="8"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3" xfId="0" applyFont="1" applyBorder="1" applyAlignment="1">
      <alignment horizontal="left" indent="2"/>
    </xf>
    <xf numFmtId="0" fontId="1" fillId="8"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8" borderId="13"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xf>
    <xf numFmtId="165" fontId="1" fillId="7" borderId="8" xfId="0" applyNumberFormat="1" applyFont="1" applyFill="1" applyBorder="1" applyAlignment="1">
      <alignment horizontal="center"/>
    </xf>
    <xf numFmtId="0" fontId="4" fillId="0" borderId="4" xfId="0" applyFont="1" applyBorder="1" applyAlignment="1">
      <alignment horizontal="left" wrapText="1" indent="2"/>
    </xf>
    <xf numFmtId="0" fontId="1" fillId="8" borderId="7" xfId="0" applyFont="1" applyFill="1" applyBorder="1" applyAlignment="1">
      <alignment horizontal="center"/>
    </xf>
    <xf numFmtId="165" fontId="1" fillId="0" borderId="5" xfId="0" applyNumberFormat="1" applyFont="1" applyBorder="1" applyAlignment="1">
      <alignment horizontal="center"/>
    </xf>
    <xf numFmtId="165" fontId="1" fillId="8" borderId="6"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7" borderId="8" xfId="0" applyFont="1" applyFill="1" applyBorder="1" applyAlignment="1">
      <alignment horizontal="center"/>
    </xf>
    <xf numFmtId="165" fontId="1" fillId="8" borderId="0" xfId="0" applyNumberFormat="1" applyFont="1" applyFill="1" applyAlignment="1">
      <alignment horizontal="center"/>
    </xf>
    <xf numFmtId="165" fontId="1" fillId="8" borderId="5" xfId="0" applyNumberFormat="1" applyFont="1" applyFill="1" applyBorder="1" applyAlignment="1">
      <alignment horizontal="center"/>
    </xf>
    <xf numFmtId="0" fontId="1" fillId="0" borderId="4" xfId="0" applyFont="1" applyBorder="1" applyAlignment="1">
      <alignment horizontal="left" wrapText="1" indent="2"/>
    </xf>
    <xf numFmtId="0" fontId="1" fillId="0" borderId="5" xfId="0" applyFont="1" applyBorder="1" applyAlignment="1">
      <alignment horizontal="left" wrapText="1" indent="2"/>
    </xf>
    <xf numFmtId="165" fontId="1" fillId="8" borderId="2" xfId="0" applyNumberFormat="1" applyFont="1" applyFill="1" applyBorder="1" applyAlignment="1">
      <alignment horizontal="center"/>
    </xf>
    <xf numFmtId="0" fontId="1" fillId="8"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3" fillId="9" borderId="8" xfId="0" applyFont="1" applyFill="1" applyBorder="1" applyAlignment="1">
      <alignment horizontal="center"/>
    </xf>
    <xf numFmtId="0" fontId="1" fillId="0" borderId="12" xfId="0" applyFont="1" applyBorder="1" applyAlignment="1">
      <alignment horizontal="left"/>
    </xf>
    <xf numFmtId="0" fontId="1" fillId="8" borderId="3"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3" fillId="9" borderId="2" xfId="0" applyFont="1" applyFill="1" applyBorder="1" applyAlignment="1">
      <alignment horizontal="center"/>
    </xf>
    <xf numFmtId="0" fontId="23" fillId="8" borderId="0" xfId="0" applyFont="1" applyFill="1" applyAlignment="1">
      <alignment horizontal="center"/>
    </xf>
    <xf numFmtId="0" fontId="23" fillId="0" borderId="8" xfId="0" applyFont="1" applyBorder="1" applyAlignment="1">
      <alignment horizontal="center"/>
    </xf>
    <xf numFmtId="0" fontId="3" fillId="9" borderId="13" xfId="0" applyFont="1" applyFill="1" applyBorder="1" applyAlignment="1">
      <alignment horizontal="center"/>
    </xf>
    <xf numFmtId="0" fontId="23" fillId="8" borderId="2" xfId="0" applyFont="1" applyFill="1" applyBorder="1" applyAlignment="1">
      <alignment horizontal="center"/>
    </xf>
    <xf numFmtId="0" fontId="1" fillId="0" borderId="1" xfId="0" applyFont="1" applyBorder="1" applyAlignment="1">
      <alignment horizontal="center"/>
    </xf>
    <xf numFmtId="0" fontId="23" fillId="9" borderId="7" xfId="0" applyFont="1" applyFill="1" applyBorder="1" applyAlignment="1">
      <alignment horizontal="center"/>
    </xf>
    <xf numFmtId="0" fontId="3" fillId="0" borderId="7" xfId="0" applyFont="1" applyBorder="1" applyAlignment="1">
      <alignment horizontal="right" vertical="center"/>
    </xf>
    <xf numFmtId="0" fontId="48" fillId="0" borderId="0" xfId="0" applyFont="1" applyAlignment="1">
      <alignment vertical="center"/>
    </xf>
    <xf numFmtId="0" fontId="46"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9" fillId="0" borderId="0" xfId="0" applyFont="1" applyAlignment="1">
      <alignment horizontal="left"/>
    </xf>
    <xf numFmtId="0" fontId="49" fillId="0" borderId="0" xfId="0" applyFont="1" applyAlignment="1">
      <alignment horizontal="center" wrapText="1"/>
    </xf>
    <xf numFmtId="1" fontId="50" fillId="0" borderId="49" xfId="0" applyNumberFormat="1" applyFont="1" applyBorder="1" applyAlignment="1">
      <alignment horizontal="center" vertical="top"/>
    </xf>
    <xf numFmtId="0" fontId="49" fillId="30" borderId="49" xfId="0" applyFont="1" applyFill="1" applyBorder="1" applyAlignment="1">
      <alignment horizontal="center" vertical="top"/>
    </xf>
    <xf numFmtId="0" fontId="49" fillId="0" borderId="0" xfId="0" applyFont="1" applyAlignment="1">
      <alignment horizontal="center"/>
    </xf>
    <xf numFmtId="0" fontId="49" fillId="0" borderId="0" xfId="0" applyFont="1" applyAlignment="1">
      <alignment horizontal="left" wrapText="1"/>
    </xf>
    <xf numFmtId="0" fontId="50" fillId="0" borderId="0" xfId="0" applyFont="1" applyAlignment="1">
      <alignment horizontal="left" vertical="top"/>
    </xf>
    <xf numFmtId="0" fontId="50" fillId="0" borderId="0" xfId="0" applyFont="1" applyAlignment="1">
      <alignment horizontal="center" vertical="top" wrapText="1"/>
    </xf>
    <xf numFmtId="1" fontId="50" fillId="18" borderId="0" xfId="0" applyNumberFormat="1" applyFont="1" applyFill="1" applyAlignment="1">
      <alignment horizontal="center" vertical="top"/>
    </xf>
    <xf numFmtId="0" fontId="49" fillId="18" borderId="0" xfId="0" applyFont="1" applyFill="1" applyAlignment="1">
      <alignment horizontal="center" vertical="top"/>
    </xf>
    <xf numFmtId="0" fontId="49" fillId="18" borderId="0" xfId="0" applyFont="1" applyFill="1" applyAlignment="1">
      <alignment horizontal="left" vertical="top" wrapText="1"/>
    </xf>
    <xf numFmtId="0" fontId="49" fillId="0" borderId="0" xfId="0" applyFont="1" applyAlignment="1">
      <alignment horizontal="left" vertical="top" wrapText="1"/>
    </xf>
    <xf numFmtId="0" fontId="50" fillId="0" borderId="10" xfId="0" applyFont="1" applyBorder="1" applyAlignment="1">
      <alignment horizontal="left" vertical="top"/>
    </xf>
    <xf numFmtId="0" fontId="50" fillId="0" borderId="10" xfId="0" applyFont="1" applyBorder="1" applyAlignment="1">
      <alignment horizontal="center" vertical="top" wrapText="1"/>
    </xf>
    <xf numFmtId="1" fontId="50" fillId="3" borderId="10" xfId="0" applyNumberFormat="1" applyFont="1" applyFill="1" applyBorder="1" applyAlignment="1">
      <alignment horizontal="center" vertical="top"/>
    </xf>
    <xf numFmtId="3" fontId="50" fillId="3" borderId="10" xfId="0" applyNumberFormat="1" applyFont="1" applyFill="1" applyBorder="1" applyAlignment="1">
      <alignment horizontal="center" vertical="top"/>
    </xf>
    <xf numFmtId="0" fontId="49" fillId="3" borderId="10" xfId="0" applyFont="1" applyFill="1" applyBorder="1" applyAlignment="1">
      <alignment horizontal="center" vertical="top"/>
    </xf>
    <xf numFmtId="0" fontId="49" fillId="0" borderId="10" xfId="0" applyFont="1" applyBorder="1" applyAlignment="1">
      <alignment horizontal="left" vertical="top" wrapText="1"/>
    </xf>
    <xf numFmtId="0" fontId="50" fillId="0" borderId="15" xfId="0" applyFont="1" applyBorder="1" applyAlignment="1">
      <alignment horizontal="left" vertical="top"/>
    </xf>
    <xf numFmtId="0" fontId="50" fillId="0" borderId="15" xfId="0" applyFont="1" applyBorder="1" applyAlignment="1">
      <alignment horizontal="center" vertical="top" wrapText="1"/>
    </xf>
    <xf numFmtId="3" fontId="51" fillId="0" borderId="0" xfId="0" applyNumberFormat="1" applyFont="1" applyAlignment="1">
      <alignment vertical="top"/>
    </xf>
    <xf numFmtId="0" fontId="50" fillId="18" borderId="15" xfId="0" applyFont="1" applyFill="1" applyBorder="1" applyAlignment="1">
      <alignment horizontal="center" vertical="top"/>
    </xf>
    <xf numFmtId="0" fontId="49" fillId="0" borderId="15" xfId="0" applyFont="1" applyBorder="1" applyAlignment="1">
      <alignment horizontal="left" vertical="top" wrapText="1"/>
    </xf>
    <xf numFmtId="0" fontId="49" fillId="0" borderId="0" xfId="0" applyFont="1" applyAlignment="1">
      <alignment horizontal="left" vertical="top"/>
    </xf>
    <xf numFmtId="0" fontId="49" fillId="0" borderId="0" xfId="0" applyFont="1" applyAlignment="1">
      <alignment horizontal="center" vertical="top" wrapText="1"/>
    </xf>
    <xf numFmtId="3" fontId="50" fillId="18" borderId="0" xfId="0" applyNumberFormat="1" applyFont="1" applyFill="1" applyAlignment="1">
      <alignment horizontal="center" vertical="top"/>
    </xf>
    <xf numFmtId="0" fontId="50" fillId="18" borderId="0" xfId="0" applyFont="1" applyFill="1" applyAlignment="1">
      <alignment horizontal="center" vertical="top"/>
    </xf>
    <xf numFmtId="1" fontId="49" fillId="18" borderId="0" xfId="0" applyNumberFormat="1" applyFont="1" applyFill="1" applyAlignment="1">
      <alignment horizontal="center" vertical="top"/>
    </xf>
    <xf numFmtId="0" fontId="49" fillId="0" borderId="0" xfId="0" applyFont="1" applyAlignment="1">
      <alignment horizontal="center" vertical="top"/>
    </xf>
    <xf numFmtId="1" fontId="49" fillId="18" borderId="0" xfId="0" applyNumberFormat="1" applyFont="1" applyFill="1" applyAlignment="1">
      <alignment horizontal="center"/>
    </xf>
    <xf numFmtId="1" fontId="49" fillId="18" borderId="0" xfId="0" applyNumberFormat="1" applyFont="1" applyFill="1" applyAlignment="1">
      <alignment horizontal="center" vertical="center"/>
    </xf>
    <xf numFmtId="1" fontId="50" fillId="18" borderId="0" xfId="0" applyNumberFormat="1" applyFont="1" applyFill="1" applyAlignment="1">
      <alignment horizontal="center" vertical="center"/>
    </xf>
    <xf numFmtId="0" fontId="49" fillId="0" borderId="0" xfId="0" applyFont="1" applyAlignment="1">
      <alignment horizontal="left" vertical="center"/>
    </xf>
    <xf numFmtId="0" fontId="49" fillId="0" borderId="0" xfId="0" applyFont="1" applyAlignment="1">
      <alignment horizontal="center" vertical="center" wrapText="1"/>
    </xf>
    <xf numFmtId="0" fontId="50" fillId="0" borderId="0" xfId="0" applyFont="1" applyAlignment="1">
      <alignment horizontal="left" vertical="top" wrapText="1"/>
    </xf>
    <xf numFmtId="1" fontId="50" fillId="18" borderId="15" xfId="0" applyNumberFormat="1" applyFont="1" applyFill="1" applyBorder="1" applyAlignment="1">
      <alignment horizontal="center" vertical="top"/>
    </xf>
    <xf numFmtId="3" fontId="50" fillId="18" borderId="15" xfId="0" applyNumberFormat="1" applyFont="1" applyFill="1" applyBorder="1" applyAlignment="1">
      <alignment horizontal="center" vertical="top"/>
    </xf>
    <xf numFmtId="0" fontId="49" fillId="18" borderId="15" xfId="0" applyFont="1" applyFill="1" applyBorder="1" applyAlignment="1">
      <alignment horizontal="center" vertical="top"/>
    </xf>
    <xf numFmtId="0" fontId="13" fillId="18" borderId="15" xfId="0" applyFont="1" applyFill="1" applyBorder="1" applyAlignment="1">
      <alignment horizontal="left" vertical="top" wrapText="1"/>
    </xf>
    <xf numFmtId="0" fontId="50" fillId="30" borderId="0" xfId="0" applyFont="1" applyFill="1" applyAlignment="1">
      <alignment horizontal="center"/>
    </xf>
    <xf numFmtId="0" fontId="49" fillId="30" borderId="0" xfId="0" applyFont="1" applyFill="1" applyAlignment="1">
      <alignment horizontal="left" wrapText="1"/>
    </xf>
    <xf numFmtId="1" fontId="50" fillId="31" borderId="0" xfId="0" applyNumberFormat="1" applyFont="1" applyFill="1" applyAlignment="1">
      <alignment horizontal="center" vertical="top"/>
    </xf>
    <xf numFmtId="3" fontId="50" fillId="31" borderId="0" xfId="0" applyNumberFormat="1" applyFont="1" applyFill="1" applyAlignment="1">
      <alignment horizontal="center" vertical="top"/>
    </xf>
    <xf numFmtId="0" fontId="49" fillId="31" borderId="0" xfId="0" applyFont="1" applyFill="1" applyAlignment="1">
      <alignment horizontal="center" vertical="top"/>
    </xf>
    <xf numFmtId="0" fontId="49" fillId="31" borderId="0" xfId="0" applyFont="1" applyFill="1" applyAlignment="1">
      <alignment horizontal="left" vertical="top" wrapText="1"/>
    </xf>
    <xf numFmtId="1" fontId="49" fillId="32" borderId="0" xfId="0" applyNumberFormat="1" applyFont="1" applyFill="1" applyAlignment="1">
      <alignment horizontal="center" vertical="top"/>
    </xf>
    <xf numFmtId="0" fontId="49" fillId="32" borderId="0" xfId="0" applyFont="1" applyFill="1" applyAlignment="1">
      <alignment horizontal="center" vertical="top"/>
    </xf>
    <xf numFmtId="0" fontId="49" fillId="32" borderId="0" xfId="0" applyFont="1" applyFill="1" applyAlignment="1">
      <alignment horizontal="left" vertical="top" wrapText="1"/>
    </xf>
    <xf numFmtId="1" fontId="49" fillId="32" borderId="0" xfId="0" applyNumberFormat="1" applyFont="1" applyFill="1" applyAlignment="1">
      <alignment horizontal="center"/>
    </xf>
    <xf numFmtId="1" fontId="50" fillId="32" borderId="0" xfId="0" applyNumberFormat="1" applyFont="1" applyFill="1" applyAlignment="1">
      <alignment horizontal="center" vertical="top"/>
    </xf>
    <xf numFmtId="3" fontId="50" fillId="32" borderId="0" xfId="0" applyNumberFormat="1" applyFont="1" applyFill="1" applyAlignment="1">
      <alignment horizontal="center" vertical="top"/>
    </xf>
    <xf numFmtId="1" fontId="50" fillId="33" borderId="0" xfId="0" applyNumberFormat="1" applyFont="1" applyFill="1" applyAlignment="1">
      <alignment horizontal="center" vertical="top"/>
    </xf>
    <xf numFmtId="0" fontId="49" fillId="33" borderId="0" xfId="0" applyFont="1" applyFill="1" applyAlignment="1">
      <alignment horizontal="center" vertical="top"/>
    </xf>
    <xf numFmtId="3" fontId="50" fillId="33" borderId="0" xfId="0" applyNumberFormat="1" applyFont="1" applyFill="1" applyAlignment="1">
      <alignment horizontal="center" vertical="top"/>
    </xf>
    <xf numFmtId="0" fontId="50" fillId="33" borderId="0" xfId="0" applyFont="1" applyFill="1" applyAlignment="1">
      <alignment horizontal="center" vertical="top"/>
    </xf>
    <xf numFmtId="0" fontId="50" fillId="20" borderId="0" xfId="0" applyFont="1" applyFill="1" applyAlignment="1">
      <alignment horizontal="left" vertical="top"/>
    </xf>
    <xf numFmtId="0" fontId="50" fillId="20" borderId="0" xfId="0" applyFont="1" applyFill="1" applyAlignment="1">
      <alignment horizontal="center" vertical="top" wrapText="1"/>
    </xf>
    <xf numFmtId="0" fontId="49" fillId="20" borderId="0" xfId="0" applyFont="1" applyFill="1" applyAlignment="1">
      <alignment horizontal="left" vertical="top" wrapText="1"/>
    </xf>
    <xf numFmtId="1" fontId="50" fillId="33" borderId="9" xfId="0" applyNumberFormat="1" applyFont="1" applyFill="1" applyBorder="1" applyAlignment="1">
      <alignment horizontal="center" vertical="top"/>
    </xf>
    <xf numFmtId="1" fontId="50" fillId="33" borderId="10" xfId="0" applyNumberFormat="1" applyFont="1" applyFill="1" applyBorder="1" applyAlignment="1">
      <alignment horizontal="center" vertical="top"/>
    </xf>
    <xf numFmtId="3" fontId="50" fillId="33" borderId="10" xfId="0" applyNumberFormat="1" applyFont="1" applyFill="1" applyBorder="1" applyAlignment="1">
      <alignment horizontal="center" vertical="top"/>
    </xf>
    <xf numFmtId="0" fontId="49" fillId="33" borderId="11" xfId="0" applyFont="1" applyFill="1" applyBorder="1" applyAlignment="1">
      <alignment horizontal="center" vertical="top" wrapText="1"/>
    </xf>
    <xf numFmtId="1" fontId="50" fillId="8" borderId="0" xfId="0" applyNumberFormat="1" applyFont="1" applyFill="1" applyAlignment="1">
      <alignment horizontal="center" vertical="top"/>
    </xf>
    <xf numFmtId="1" fontId="49" fillId="8" borderId="0" xfId="0" applyNumberFormat="1" applyFont="1" applyFill="1" applyAlignment="1">
      <alignment horizontal="center" vertical="top"/>
    </xf>
    <xf numFmtId="1" fontId="51" fillId="0" borderId="0" xfId="0" applyNumberFormat="1" applyFont="1" applyAlignment="1">
      <alignment horizontal="center" vertical="top"/>
    </xf>
    <xf numFmtId="0" fontId="52" fillId="30" borderId="0" xfId="0" applyFont="1" applyFill="1" applyAlignment="1">
      <alignment vertical="top"/>
    </xf>
    <xf numFmtId="0" fontId="50" fillId="18" borderId="5" xfId="0" applyFont="1" applyFill="1" applyBorder="1" applyAlignment="1">
      <alignment horizontal="center" vertical="top"/>
    </xf>
    <xf numFmtId="0" fontId="49" fillId="18" borderId="5" xfId="0" applyFont="1" applyFill="1" applyBorder="1" applyAlignment="1">
      <alignment horizontal="center" vertical="top"/>
    </xf>
    <xf numFmtId="0" fontId="49" fillId="33" borderId="0" xfId="0" applyFont="1" applyFill="1" applyAlignment="1">
      <alignment horizontal="center" vertical="top" wrapText="1"/>
    </xf>
    <xf numFmtId="0" fontId="50" fillId="8" borderId="0" xfId="0" applyFont="1" applyFill="1" applyAlignment="1">
      <alignment horizontal="center" vertical="top"/>
    </xf>
    <xf numFmtId="0" fontId="13" fillId="0" borderId="0" xfId="0" applyFont="1" applyAlignment="1">
      <alignment horizontal="left" vertical="top" wrapText="1"/>
    </xf>
    <xf numFmtId="1" fontId="50" fillId="19" borderId="0" xfId="0" applyNumberFormat="1" applyFont="1" applyFill="1" applyAlignment="1">
      <alignment horizontal="center" vertical="top"/>
    </xf>
    <xf numFmtId="3" fontId="50" fillId="19" borderId="0" xfId="0" applyNumberFormat="1" applyFont="1" applyFill="1" applyAlignment="1">
      <alignment horizontal="center" vertical="top"/>
    </xf>
    <xf numFmtId="0" fontId="50" fillId="0" borderId="0" xfId="0" applyFont="1" applyAlignment="1">
      <alignment horizontal="center" vertical="top"/>
    </xf>
    <xf numFmtId="0" fontId="49" fillId="19" borderId="0" xfId="0" applyFont="1" applyFill="1" applyAlignment="1">
      <alignment horizontal="left" vertical="top" wrapText="1"/>
    </xf>
    <xf numFmtId="0" fontId="49" fillId="19" borderId="0" xfId="0" applyFont="1" applyFill="1" applyAlignment="1">
      <alignment horizontal="center" vertical="top"/>
    </xf>
    <xf numFmtId="0" fontId="50" fillId="19" borderId="0" xfId="0" applyFont="1" applyFill="1" applyAlignment="1">
      <alignment horizontal="center" vertical="top"/>
    </xf>
    <xf numFmtId="0" fontId="53" fillId="19" borderId="0" xfId="0" applyFont="1" applyFill="1" applyAlignment="1">
      <alignment horizontal="left" vertical="top" wrapText="1"/>
    </xf>
    <xf numFmtId="1" fontId="51" fillId="0" borderId="49" xfId="0" applyNumberFormat="1" applyFont="1" applyBorder="1" applyAlignment="1">
      <alignment vertical="top"/>
    </xf>
    <xf numFmtId="1" fontId="51" fillId="0" borderId="49" xfId="0" applyNumberFormat="1" applyFont="1" applyBorder="1" applyAlignment="1">
      <alignment horizontal="right" vertical="top"/>
    </xf>
    <xf numFmtId="0" fontId="52"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51" fillId="0" borderId="0" xfId="0" applyNumberFormat="1" applyFont="1" applyAlignment="1">
      <alignment vertical="top"/>
    </xf>
    <xf numFmtId="1" fontId="51" fillId="0" borderId="0" xfId="0" applyNumberFormat="1" applyFont="1" applyAlignment="1">
      <alignment horizontal="right" vertical="top"/>
    </xf>
    <xf numFmtId="0" fontId="52" fillId="30" borderId="7" xfId="0" applyFont="1" applyFill="1" applyBorder="1" applyAlignment="1">
      <alignment vertical="top"/>
    </xf>
    <xf numFmtId="1" fontId="54" fillId="0" borderId="0" xfId="0" applyNumberFormat="1" applyFont="1"/>
    <xf numFmtId="1" fontId="49" fillId="19" borderId="0" xfId="0" applyNumberFormat="1" applyFont="1" applyFill="1" applyAlignment="1">
      <alignment horizontal="center"/>
    </xf>
    <xf numFmtId="0" fontId="50" fillId="30" borderId="0" xfId="0" applyFont="1" applyFill="1" applyAlignment="1">
      <alignment horizontal="center" vertical="center"/>
    </xf>
    <xf numFmtId="0" fontId="49" fillId="30" borderId="0" xfId="0" applyFont="1" applyFill="1" applyAlignment="1">
      <alignment horizontal="left" vertical="center" wrapText="1"/>
    </xf>
    <xf numFmtId="1" fontId="50" fillId="6" borderId="0" xfId="0" applyNumberFormat="1" applyFont="1" applyFill="1" applyAlignment="1">
      <alignment horizontal="center" vertical="top"/>
    </xf>
    <xf numFmtId="0" fontId="49" fillId="6" borderId="0" xfId="0" applyFont="1" applyFill="1" applyAlignment="1">
      <alignment horizontal="center" vertical="top"/>
    </xf>
    <xf numFmtId="0" fontId="54"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9" borderId="0" xfId="0" applyFont="1" applyFill="1" applyAlignment="1">
      <alignment horizontal="left"/>
    </xf>
    <xf numFmtId="0" fontId="2" fillId="34"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69" fontId="54" fillId="0" borderId="0" xfId="0" applyNumberFormat="1" applyFont="1"/>
    <xf numFmtId="2" fontId="54" fillId="0" borderId="0" xfId="0" applyNumberFormat="1" applyFont="1"/>
    <xf numFmtId="0" fontId="55"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6" fillId="0" borderId="0" xfId="0" applyFont="1" applyAlignment="1">
      <alignment horizontal="left" vertical="top"/>
    </xf>
    <xf numFmtId="0" fontId="14" fillId="0" borderId="0" xfId="0" applyFont="1" applyAlignment="1">
      <alignment horizontal="left"/>
    </xf>
    <xf numFmtId="0" fontId="57" fillId="0" borderId="0" xfId="0" applyFont="1"/>
    <xf numFmtId="0" fontId="14" fillId="35" borderId="0" xfId="0" applyFont="1" applyFill="1"/>
    <xf numFmtId="0" fontId="14"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8" fillId="0" borderId="0" xfId="0" applyFont="1" applyAlignment="1">
      <alignment horizontal="right" vertical="top"/>
    </xf>
    <xf numFmtId="3" fontId="16" fillId="0" borderId="0" xfId="0" applyNumberFormat="1" applyFont="1"/>
    <xf numFmtId="3" fontId="59" fillId="0" borderId="0" xfId="0" applyNumberFormat="1" applyFont="1" applyAlignment="1">
      <alignment horizontal="right" vertical="top"/>
    </xf>
    <xf numFmtId="0" fontId="60" fillId="37" borderId="0" xfId="0" applyFont="1" applyFill="1" applyAlignment="1">
      <alignment horizontal="right"/>
    </xf>
    <xf numFmtId="0" fontId="61" fillId="0" borderId="0" xfId="0" applyFont="1"/>
    <xf numFmtId="0" fontId="50" fillId="0" borderId="0" xfId="0" applyFont="1" applyAlignment="1">
      <alignment horizontal="right"/>
    </xf>
    <xf numFmtId="165" fontId="62" fillId="0" borderId="0" xfId="0" applyNumberFormat="1" applyFont="1" applyAlignment="1">
      <alignment horizontal="right" vertical="top"/>
    </xf>
    <xf numFmtId="165" fontId="60" fillId="37" borderId="0" xfId="0" applyNumberFormat="1" applyFont="1" applyFill="1" applyAlignment="1">
      <alignment horizontal="right"/>
    </xf>
    <xf numFmtId="3" fontId="8" fillId="0" borderId="0" xfId="0" applyNumberFormat="1" applyFont="1"/>
    <xf numFmtId="165" fontId="50" fillId="0" borderId="0" xfId="0" applyNumberFormat="1" applyFont="1" applyAlignment="1">
      <alignment horizontal="right"/>
    </xf>
    <xf numFmtId="3" fontId="50" fillId="0" borderId="0" xfId="0" applyNumberFormat="1" applyFont="1" applyAlignment="1">
      <alignment horizontal="right"/>
    </xf>
    <xf numFmtId="0" fontId="8" fillId="38" borderId="0" xfId="0" applyFont="1" applyFill="1" applyAlignment="1">
      <alignment wrapText="1"/>
    </xf>
    <xf numFmtId="0" fontId="10"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6"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10" fillId="0" borderId="0" xfId="0" applyFont="1" applyAlignment="1">
      <alignment vertical="top"/>
    </xf>
    <xf numFmtId="0" fontId="8" fillId="39" borderId="0" xfId="0" applyFont="1" applyFill="1" applyAlignment="1">
      <alignment horizontal="center" wrapText="1"/>
    </xf>
    <xf numFmtId="0" fontId="10" fillId="40" borderId="0" xfId="0" applyFont="1" applyFill="1" applyAlignment="1">
      <alignment vertical="top"/>
    </xf>
    <xf numFmtId="0" fontId="16" fillId="40" borderId="0" xfId="0" applyFont="1" applyFill="1"/>
    <xf numFmtId="0" fontId="8" fillId="40" borderId="0" xfId="0" applyFont="1" applyFill="1"/>
    <xf numFmtId="0" fontId="63"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10" fillId="0" borderId="0" xfId="0" applyFont="1" applyAlignment="1">
      <alignment vertical="top" wrapText="1"/>
    </xf>
    <xf numFmtId="1" fontId="10" fillId="0" borderId="0" xfId="0" applyNumberFormat="1" applyFont="1" applyAlignment="1">
      <alignment vertical="top" wrapText="1"/>
    </xf>
    <xf numFmtId="0" fontId="10" fillId="40" borderId="0" xfId="0" applyFont="1" applyFill="1" applyAlignment="1">
      <alignment vertical="top" wrapText="1"/>
    </xf>
    <xf numFmtId="0" fontId="10" fillId="38" borderId="0" xfId="0" applyFont="1" applyFill="1" applyAlignment="1">
      <alignment wrapText="1"/>
    </xf>
    <xf numFmtId="0" fontId="63" fillId="0" borderId="0" xfId="0" applyFont="1"/>
    <xf numFmtId="1" fontId="10" fillId="0" borderId="0" xfId="0" applyNumberFormat="1" applyFont="1" applyAlignment="1">
      <alignment vertical="top"/>
    </xf>
    <xf numFmtId="0" fontId="8" fillId="0" borderId="0" xfId="0" applyFont="1" applyAlignment="1">
      <alignment horizontal="right"/>
    </xf>
    <xf numFmtId="0" fontId="16" fillId="0" borderId="0" xfId="0" applyFont="1" applyAlignment="1">
      <alignment horizontal="right"/>
    </xf>
    <xf numFmtId="0" fontId="1" fillId="7" borderId="0" xfId="0" applyFont="1" applyFill="1" applyAlignment="1">
      <alignment wrapText="1"/>
    </xf>
    <xf numFmtId="0" fontId="10" fillId="7" borderId="0" xfId="0" applyFont="1" applyFill="1" applyAlignment="1">
      <alignment vertical="top"/>
    </xf>
    <xf numFmtId="0" fontId="10" fillId="7"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16" fillId="7" borderId="0" xfId="0" applyFont="1" applyFill="1" applyAlignment="1">
      <alignment horizontal="right"/>
    </xf>
    <xf numFmtId="0" fontId="8" fillId="7" borderId="0" xfId="0" applyFont="1" applyFill="1" applyAlignment="1">
      <alignment horizontal="right"/>
    </xf>
    <xf numFmtId="0" fontId="60" fillId="0" borderId="0" xfId="0" applyFont="1"/>
    <xf numFmtId="171" fontId="58" fillId="0" borderId="0" xfId="0" applyNumberFormat="1" applyFont="1" applyAlignment="1">
      <alignment horizontal="right" vertical="top"/>
    </xf>
    <xf numFmtId="1" fontId="8" fillId="0" borderId="0" xfId="0" applyNumberFormat="1" applyFont="1"/>
    <xf numFmtId="0" fontId="16" fillId="0" borderId="0" xfId="0" applyFont="1" applyAlignment="1">
      <alignment wrapText="1"/>
    </xf>
    <xf numFmtId="0" fontId="16"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6"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6" fillId="0" borderId="0" xfId="0" applyFont="1" applyAlignment="1">
      <alignment horizontal="center" wrapText="1"/>
    </xf>
    <xf numFmtId="0" fontId="8" fillId="16" borderId="0" xfId="0" applyFont="1" applyFill="1"/>
    <xf numFmtId="0" fontId="34" fillId="18" borderId="1" xfId="0" applyFont="1" applyFill="1" applyBorder="1" applyAlignment="1">
      <alignment horizontal="left" indent="2"/>
    </xf>
    <xf numFmtId="0" fontId="64" fillId="0" borderId="0" xfId="0" applyFont="1"/>
    <xf numFmtId="17" fontId="14" fillId="12" borderId="0" xfId="0" applyNumberFormat="1" applyFont="1" applyFill="1" applyAlignment="1">
      <alignment horizontal="left" wrapText="1"/>
    </xf>
    <xf numFmtId="3" fontId="3" fillId="46" borderId="0" xfId="0" applyNumberFormat="1" applyFont="1" applyFill="1" applyAlignment="1">
      <alignment horizontal="center" wrapText="1"/>
    </xf>
    <xf numFmtId="169" fontId="0" fillId="0" borderId="0" xfId="0" applyNumberFormat="1"/>
    <xf numFmtId="0" fontId="24" fillId="0" borderId="1" xfId="0" applyFont="1" applyBorder="1"/>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5" xfId="0" applyFont="1" applyBorder="1" applyAlignment="1">
      <alignment horizontal="left" wrapText="1"/>
    </xf>
    <xf numFmtId="0" fontId="8"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7" fillId="0" borderId="0" xfId="0" applyNumberFormat="1" applyFont="1" applyAlignment="1">
      <alignment horizontal="center"/>
    </xf>
    <xf numFmtId="0" fontId="2" fillId="0" borderId="27" xfId="0" applyFont="1" applyBorder="1" applyAlignment="1">
      <alignment horizontal="center"/>
    </xf>
    <xf numFmtId="168" fontId="1" fillId="0" borderId="28"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9" xfId="0" applyNumberFormat="1" applyFont="1" applyBorder="1" applyAlignment="1">
      <alignment horizontal="center" vertic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68" fontId="1" fillId="0" borderId="34" xfId="0" applyNumberFormat="1" applyFont="1" applyBorder="1" applyAlignment="1">
      <alignment horizontal="center"/>
    </xf>
    <xf numFmtId="1" fontId="1" fillId="0" borderId="35" xfId="0" applyNumberFormat="1" applyFont="1" applyBorder="1" applyAlignment="1">
      <alignment horizontal="center"/>
    </xf>
    <xf numFmtId="1" fontId="1" fillId="0" borderId="33" xfId="0" applyNumberFormat="1" applyFont="1" applyBorder="1" applyAlignment="1">
      <alignment horizontal="center"/>
    </xf>
    <xf numFmtId="1" fontId="1" fillId="0" borderId="34" xfId="0" applyNumberFormat="1" applyFont="1" applyBorder="1" applyAlignment="1">
      <alignment horizontal="center"/>
    </xf>
    <xf numFmtId="168" fontId="1" fillId="0" borderId="20" xfId="0" applyNumberFormat="1" applyFont="1" applyBorder="1" applyAlignment="1">
      <alignment horizontal="left" indent="1"/>
    </xf>
    <xf numFmtId="0" fontId="14" fillId="3" borderId="0" xfId="0" applyFont="1" applyFill="1" applyAlignment="1">
      <alignment horizontal="center"/>
    </xf>
    <xf numFmtId="0" fontId="3" fillId="0" borderId="0" xfId="0" applyFont="1" applyAlignment="1">
      <alignment horizontal="left" vertical="top" wrapText="1"/>
    </xf>
    <xf numFmtId="0" fontId="14" fillId="8" borderId="4" xfId="0" applyFont="1" applyFill="1" applyBorder="1" applyAlignment="1">
      <alignment horizontal="center"/>
    </xf>
    <xf numFmtId="0" fontId="14" fillId="8" borderId="6" xfId="0" applyFont="1" applyFill="1" applyBorder="1" applyAlignment="1">
      <alignment horizontal="center"/>
    </xf>
    <xf numFmtId="0" fontId="14" fillId="8" borderId="1" xfId="0" applyFont="1" applyFill="1" applyBorder="1" applyAlignment="1">
      <alignment horizontal="center"/>
    </xf>
    <xf numFmtId="0" fontId="14" fillId="8" borderId="2" xfId="0" applyFont="1" applyFill="1" applyBorder="1" applyAlignment="1">
      <alignment horizontal="center"/>
    </xf>
    <xf numFmtId="0" fontId="14" fillId="8" borderId="3" xfId="0" applyFont="1" applyFill="1" applyBorder="1" applyAlignment="1">
      <alignment horizontal="center"/>
    </xf>
    <xf numFmtId="0" fontId="14" fillId="8"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7" xfId="0" applyFont="1" applyBorder="1" applyAlignment="1">
      <alignment horizontal="left" vertical="top" wrapText="1"/>
    </xf>
    <xf numFmtId="0" fontId="23"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4" fillId="15" borderId="9" xfId="0" applyFont="1" applyFill="1" applyBorder="1" applyAlignment="1">
      <alignment horizontal="center"/>
    </xf>
    <xf numFmtId="0" fontId="24" fillId="15" borderId="10" xfId="0" applyFont="1" applyFill="1" applyBorder="1" applyAlignment="1">
      <alignment horizontal="center"/>
    </xf>
    <xf numFmtId="0" fontId="24" fillId="15" borderId="11"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11" xfId="0" applyFont="1" applyFill="1" applyBorder="1" applyAlignment="1">
      <alignment horizontal="center"/>
    </xf>
    <xf numFmtId="0" fontId="3" fillId="9" borderId="4" xfId="0" applyFont="1" applyFill="1" applyBorder="1" applyAlignment="1">
      <alignment horizontal="center"/>
    </xf>
    <xf numFmtId="0" fontId="3" fillId="9" borderId="15" xfId="0" applyFont="1" applyFill="1" applyBorder="1" applyAlignment="1">
      <alignment horizontal="center"/>
    </xf>
    <xf numFmtId="0" fontId="3" fillId="9" borderId="6"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8" borderId="4" xfId="0" applyFont="1" applyFill="1" applyBorder="1" applyAlignment="1">
      <alignment horizontal="right"/>
    </xf>
    <xf numFmtId="0" fontId="3" fillId="8" borderId="5" xfId="0" applyFont="1" applyFill="1" applyBorder="1" applyAlignment="1">
      <alignment horizontal="right"/>
    </xf>
    <xf numFmtId="0" fontId="14" fillId="9" borderId="16" xfId="0" applyFont="1" applyFill="1" applyBorder="1" applyAlignment="1">
      <alignment horizontal="center"/>
    </xf>
    <xf numFmtId="0" fontId="14" fillId="9" borderId="17" xfId="0" applyFont="1" applyFill="1" applyBorder="1" applyAlignment="1">
      <alignment horizontal="center"/>
    </xf>
    <xf numFmtId="0" fontId="14" fillId="9" borderId="18"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9" borderId="5" xfId="0" applyFont="1" applyFill="1" applyBorder="1" applyAlignment="1">
      <alignment horizontal="center"/>
    </xf>
    <xf numFmtId="0" fontId="3" fillId="8" borderId="38" xfId="0" applyFont="1" applyFill="1" applyBorder="1" applyAlignment="1">
      <alignment horizontal="center"/>
    </xf>
    <xf numFmtId="0" fontId="14" fillId="0" borderId="0" xfId="0" applyFont="1" applyAlignment="1">
      <alignment horizontal="left" vertical="top" wrapText="1"/>
    </xf>
    <xf numFmtId="0" fontId="14" fillId="8" borderId="41" xfId="0" applyFont="1" applyFill="1" applyBorder="1" applyAlignment="1">
      <alignment horizontal="center"/>
    </xf>
    <xf numFmtId="0" fontId="14" fillId="8" borderId="16" xfId="0" applyFont="1" applyFill="1" applyBorder="1" applyAlignment="1">
      <alignment horizontal="center"/>
    </xf>
    <xf numFmtId="0" fontId="14" fillId="8" borderId="17" xfId="0" applyFont="1" applyFill="1" applyBorder="1" applyAlignment="1">
      <alignment horizontal="center"/>
    </xf>
    <xf numFmtId="0" fontId="14" fillId="8" borderId="18" xfId="0" applyFont="1" applyFill="1" applyBorder="1" applyAlignment="1">
      <alignment horizontal="center"/>
    </xf>
    <xf numFmtId="0" fontId="3" fillId="0" borderId="2" xfId="0" applyFont="1" applyBorder="1" applyAlignment="1">
      <alignment horizont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6"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4" fillId="9" borderId="9" xfId="0" applyFont="1" applyFill="1" applyBorder="1" applyAlignment="1">
      <alignment horizontal="center"/>
    </xf>
    <xf numFmtId="0" fontId="14" fillId="9" borderId="10" xfId="0" applyFont="1" applyFill="1" applyBorder="1" applyAlignment="1">
      <alignment horizontal="center"/>
    </xf>
    <xf numFmtId="0" fontId="14" fillId="9" borderId="11" xfId="0" applyFont="1" applyFill="1" applyBorder="1" applyAlignment="1">
      <alignment horizontal="center"/>
    </xf>
    <xf numFmtId="0" fontId="14" fillId="8" borderId="4"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2"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3" fillId="8" borderId="38" xfId="0" applyFont="1" applyFill="1" applyBorder="1" applyAlignment="1">
      <alignment horizontal="center" vertical="center"/>
    </xf>
    <xf numFmtId="0" fontId="14" fillId="8" borderId="5" xfId="0" applyFont="1" applyFill="1" applyBorder="1" applyAlignment="1">
      <alignment horizontal="center"/>
    </xf>
    <xf numFmtId="0" fontId="14" fillId="0" borderId="0" xfId="0" applyFont="1" applyAlignment="1">
      <alignment horizontal="left" wrapText="1"/>
    </xf>
    <xf numFmtId="0" fontId="14" fillId="18" borderId="0" xfId="0" applyFont="1" applyFill="1" applyAlignment="1">
      <alignment horizontal="center"/>
    </xf>
    <xf numFmtId="0" fontId="14" fillId="8" borderId="15" xfId="0" applyFont="1" applyFill="1" applyBorder="1" applyAlignment="1">
      <alignment horizontal="center"/>
    </xf>
    <xf numFmtId="0" fontId="14" fillId="8" borderId="0" xfId="0" applyFont="1" applyFill="1" applyAlignment="1">
      <alignment horizontal="center"/>
    </xf>
    <xf numFmtId="0" fontId="14" fillId="8" borderId="7" xfId="0" applyFont="1" applyFill="1" applyBorder="1" applyAlignment="1">
      <alignment horizontal="center"/>
    </xf>
    <xf numFmtId="0" fontId="14" fillId="8" borderId="41" xfId="0" applyFont="1" applyFill="1" applyBorder="1" applyAlignment="1">
      <alignment horizontal="center" vertical="center"/>
    </xf>
    <xf numFmtId="0" fontId="33" fillId="0" borderId="0" xfId="0" applyFont="1" applyAlignment="1">
      <alignment horizontal="center" wrapText="1"/>
    </xf>
    <xf numFmtId="0" fontId="14" fillId="0" borderId="4" xfId="0" applyFont="1" applyBorder="1" applyAlignment="1">
      <alignment horizontal="center" vertical="top" wrapText="1"/>
    </xf>
    <xf numFmtId="0" fontId="14" fillId="0" borderId="15" xfId="0" applyFont="1" applyBorder="1" applyAlignment="1">
      <alignment horizontal="center" vertical="top" wrapText="1"/>
    </xf>
    <xf numFmtId="0" fontId="14" fillId="0" borderId="4" xfId="0" applyFont="1" applyBorder="1" applyAlignment="1">
      <alignment horizontal="center" wrapText="1"/>
    </xf>
    <xf numFmtId="0" fontId="14" fillId="0" borderId="0" xfId="0" applyFont="1" applyAlignment="1">
      <alignment horizontal="center" wrapText="1"/>
    </xf>
    <xf numFmtId="0" fontId="14" fillId="0" borderId="7" xfId="0" applyFont="1" applyBorder="1" applyAlignment="1">
      <alignment horizontal="center" vertical="top" wrapText="1"/>
    </xf>
    <xf numFmtId="0" fontId="3" fillId="12" borderId="1" xfId="0" applyFont="1" applyFill="1" applyBorder="1" applyAlignment="1">
      <alignment horizontal="left" wrapText="1" indent="3"/>
    </xf>
    <xf numFmtId="0" fontId="3" fillId="12" borderId="0" xfId="0" applyFont="1" applyFill="1" applyAlignment="1">
      <alignment horizontal="left" wrapText="1" indent="3"/>
    </xf>
    <xf numFmtId="0" fontId="3" fillId="12" borderId="2"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3" fillId="12" borderId="1" xfId="0" applyFont="1" applyFill="1" applyBorder="1" applyAlignment="1">
      <alignment horizontal="left" vertical="top" wrapText="1" indent="3"/>
    </xf>
    <xf numFmtId="0" fontId="3" fillId="12" borderId="0" xfId="0" applyFont="1" applyFill="1" applyAlignment="1">
      <alignment horizontal="left" vertical="top" wrapText="1" indent="3"/>
    </xf>
    <xf numFmtId="0" fontId="3" fillId="12" borderId="2" xfId="0" applyFont="1" applyFill="1" applyBorder="1" applyAlignment="1">
      <alignment horizontal="left" vertical="top" wrapText="1" indent="3"/>
    </xf>
    <xf numFmtId="0" fontId="25" fillId="0" borderId="0" xfId="0" applyFont="1" applyAlignment="1">
      <alignment horizontal="left" vertical="top" wrapText="1"/>
    </xf>
    <xf numFmtId="0" fontId="14" fillId="0" borderId="0" xfId="0" applyFont="1" applyAlignment="1">
      <alignment horizontal="center" vertical="top"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0" borderId="6" xfId="0" applyFont="1" applyBorder="1" applyAlignment="1">
      <alignment horizontal="left" wrapText="1" indent="3"/>
    </xf>
    <xf numFmtId="0" fontId="37" fillId="0" borderId="0" xfId="0" applyFont="1" applyAlignment="1">
      <alignment horizontal="left" vertical="top" wrapText="1"/>
    </xf>
    <xf numFmtId="0" fontId="3" fillId="8" borderId="15" xfId="0" applyFont="1" applyFill="1" applyBorder="1" applyAlignment="1">
      <alignment horizontal="right"/>
    </xf>
    <xf numFmtId="0" fontId="14" fillId="9" borderId="7" xfId="0" applyFont="1" applyFill="1" applyBorder="1" applyAlignment="1">
      <alignment horizontal="center"/>
    </xf>
    <xf numFmtId="0" fontId="14" fillId="9" borderId="0" xfId="0" applyFont="1" applyFill="1" applyAlignment="1">
      <alignment horizontal="center"/>
    </xf>
    <xf numFmtId="0" fontId="6" fillId="21" borderId="0" xfId="0" applyFont="1" applyFill="1" applyAlignment="1">
      <alignment horizontal="center"/>
    </xf>
    <xf numFmtId="0" fontId="6" fillId="21" borderId="2" xfId="0" applyFont="1" applyFill="1" applyBorder="1" applyAlignment="1">
      <alignment horizontal="center"/>
    </xf>
    <xf numFmtId="0" fontId="14" fillId="9" borderId="3" xfId="0" applyFont="1" applyFill="1" applyBorder="1" applyAlignment="1">
      <alignment horizontal="center"/>
    </xf>
    <xf numFmtId="0" fontId="14" fillId="8" borderId="4" xfId="0" applyFont="1" applyFill="1" applyBorder="1" applyAlignment="1">
      <alignment horizontal="center" wrapText="1"/>
    </xf>
    <xf numFmtId="0" fontId="14" fillId="8" borderId="6" xfId="0" applyFont="1" applyFill="1" applyBorder="1" applyAlignment="1">
      <alignment horizontal="center" wrapText="1"/>
    </xf>
    <xf numFmtId="0" fontId="14" fillId="8" borderId="1" xfId="0" applyFont="1" applyFill="1" applyBorder="1" applyAlignment="1">
      <alignment horizontal="center" wrapText="1"/>
    </xf>
    <xf numFmtId="0" fontId="14" fillId="8" borderId="0" xfId="0" applyFont="1" applyFill="1" applyAlignment="1">
      <alignment horizontal="center" wrapText="1"/>
    </xf>
    <xf numFmtId="0" fontId="14" fillId="12" borderId="0" xfId="0" applyFont="1" applyFill="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15" xfId="0" applyFont="1" applyBorder="1" applyAlignment="1">
      <alignment horizontal="center"/>
    </xf>
    <xf numFmtId="0" fontId="1" fillId="0" borderId="0" xfId="0" applyFont="1" applyAlignment="1">
      <alignment horizontal="center"/>
    </xf>
    <xf numFmtId="0" fontId="14" fillId="9" borderId="4" xfId="0" applyFont="1" applyFill="1" applyBorder="1" applyAlignment="1">
      <alignment horizontal="center"/>
    </xf>
    <xf numFmtId="0" fontId="14" fillId="9" borderId="6" xfId="0" applyFont="1" applyFill="1" applyBorder="1" applyAlignment="1">
      <alignment horizontal="center"/>
    </xf>
    <xf numFmtId="0" fontId="14" fillId="8" borderId="9" xfId="0" applyFont="1" applyFill="1" applyBorder="1" applyAlignment="1">
      <alignment horizontal="center" wrapText="1"/>
    </xf>
    <xf numFmtId="0" fontId="14" fillId="8" borderId="10" xfId="0" applyFont="1" applyFill="1" applyBorder="1" applyAlignment="1">
      <alignment horizontal="center" wrapText="1"/>
    </xf>
    <xf numFmtId="0" fontId="14" fillId="8" borderId="11" xfId="0" applyFont="1" applyFill="1" applyBorder="1" applyAlignment="1">
      <alignment horizontal="center" wrapText="1"/>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3" fillId="9" borderId="1" xfId="0" applyFont="1" applyFill="1" applyBorder="1" applyAlignment="1">
      <alignment horizontal="center"/>
    </xf>
    <xf numFmtId="0" fontId="14" fillId="0" borderId="6"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4" xfId="0" applyFont="1" applyBorder="1" applyAlignment="1">
      <alignment horizontal="left"/>
    </xf>
    <xf numFmtId="0" fontId="14"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4" fillId="8" borderId="3" xfId="0" applyFont="1" applyFill="1" applyBorder="1" applyAlignment="1">
      <alignment horizontal="center" wrapText="1"/>
    </xf>
    <xf numFmtId="0" fontId="14" fillId="8" borderId="7" xfId="0" applyFont="1" applyFill="1" applyBorder="1" applyAlignment="1">
      <alignment horizontal="center" wrapText="1"/>
    </xf>
    <xf numFmtId="0" fontId="1" fillId="0" borderId="0" xfId="0" applyFont="1" applyAlignment="1">
      <alignment horizontal="left" vertical="top" wrapText="1"/>
    </xf>
    <xf numFmtId="0" fontId="2" fillId="8" borderId="4" xfId="0" applyFont="1" applyFill="1" applyBorder="1" applyAlignment="1">
      <alignment horizontal="center" wrapText="1"/>
    </xf>
    <xf numFmtId="0" fontId="2" fillId="8" borderId="15" xfId="0" applyFont="1" applyFill="1" applyBorder="1" applyAlignment="1">
      <alignment horizontal="center" wrapText="1"/>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1" fillId="8" borderId="4" xfId="0" applyFont="1" applyFill="1" applyBorder="1" applyAlignment="1">
      <alignment horizontal="center"/>
    </xf>
    <xf numFmtId="0" fontId="1" fillId="8" borderId="15" xfId="0" applyFont="1" applyFill="1" applyBorder="1" applyAlignment="1">
      <alignment horizontal="center"/>
    </xf>
    <xf numFmtId="0" fontId="1" fillId="8" borderId="4" xfId="0" applyFont="1" applyFill="1" applyBorder="1" applyAlignment="1">
      <alignment horizontal="center" wrapText="1"/>
    </xf>
    <xf numFmtId="0" fontId="1" fillId="8" borderId="15" xfId="0" applyFont="1" applyFill="1" applyBorder="1" applyAlignment="1">
      <alignment horizontal="center" wrapText="1"/>
    </xf>
    <xf numFmtId="0" fontId="1" fillId="8" borderId="6" xfId="0" applyFont="1" applyFill="1" applyBorder="1" applyAlignment="1">
      <alignment horizontal="center" wrapText="1"/>
    </xf>
    <xf numFmtId="0" fontId="47" fillId="8" borderId="4" xfId="0" applyFont="1" applyFill="1" applyBorder="1" applyAlignment="1">
      <alignment horizontal="center"/>
    </xf>
    <xf numFmtId="0" fontId="47" fillId="8" borderId="15" xfId="0" applyFont="1" applyFill="1" applyBorder="1" applyAlignment="1">
      <alignment horizontal="center"/>
    </xf>
    <xf numFmtId="0" fontId="47" fillId="8" borderId="6"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8" borderId="14" xfId="0" applyFont="1" applyFill="1" applyBorder="1" applyAlignment="1">
      <alignment horizontal="center"/>
    </xf>
    <xf numFmtId="0" fontId="1" fillId="8" borderId="12" xfId="0" applyFont="1" applyFill="1" applyBorder="1" applyAlignment="1">
      <alignment horizontal="center"/>
    </xf>
    <xf numFmtId="0" fontId="3" fillId="0" borderId="0" xfId="0" applyFont="1" applyAlignment="1">
      <alignment horizontal="left" vertical="center" wrapText="1"/>
    </xf>
    <xf numFmtId="3" fontId="14" fillId="0" borderId="0" xfId="0" applyNumberFormat="1" applyFont="1" applyAlignment="1">
      <alignment horizontal="left" wrapText="1"/>
    </xf>
    <xf numFmtId="3" fontId="14"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7" borderId="0" xfId="0" applyFont="1" applyFill="1" applyAlignment="1">
      <alignment horizontal="left" vertical="top" wrapText="1"/>
    </xf>
    <xf numFmtId="1" fontId="51" fillId="0" borderId="50" xfId="0" applyNumberFormat="1" applyFont="1" applyBorder="1" applyAlignment="1">
      <alignment horizontal="center" vertical="top"/>
    </xf>
    <xf numFmtId="1" fontId="51" fillId="0" borderId="0" xfId="0" applyNumberFormat="1" applyFont="1" applyAlignment="1">
      <alignment horizontal="center" vertical="top"/>
    </xf>
    <xf numFmtId="1" fontId="51" fillId="0" borderId="9" xfId="0" applyNumberFormat="1" applyFont="1" applyBorder="1" applyAlignment="1">
      <alignment horizontal="center" vertical="top"/>
    </xf>
    <xf numFmtId="1" fontId="51" fillId="0" borderId="10" xfId="0" applyNumberFormat="1" applyFont="1" applyBorder="1" applyAlignment="1">
      <alignment horizontal="center" vertical="top"/>
    </xf>
    <xf numFmtId="1" fontId="51" fillId="0" borderId="11" xfId="0" applyNumberFormat="1" applyFont="1" applyBorder="1" applyAlignment="1">
      <alignment horizontal="center" vertical="top"/>
    </xf>
    <xf numFmtId="0" fontId="14"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7"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xf numFmtId="167" fontId="32" fillId="0" borderId="0" xfId="1" applyNumberFormat="1" applyFont="1"/>
    <xf numFmtId="0" fontId="32" fillId="7" borderId="0" xfId="0" applyFont="1" applyFill="1"/>
    <xf numFmtId="0" fontId="3" fillId="0" borderId="0" xfId="0" applyFont="1" applyBorder="1" applyAlignment="1">
      <alignment horizontal="center" vertical="center"/>
    </xf>
    <xf numFmtId="3" fontId="3" fillId="0" borderId="0" xfId="0" applyNumberFormat="1" applyFont="1" applyBorder="1" applyAlignment="1">
      <alignment horizontal="center" vertical="center"/>
    </xf>
    <xf numFmtId="0" fontId="0" fillId="0" borderId="0" xfId="0" applyFill="1"/>
    <xf numFmtId="0" fontId="14" fillId="0" borderId="1" xfId="0" applyFont="1" applyFill="1" applyBorder="1" applyAlignment="1">
      <alignment horizontal="center" vertical="center"/>
    </xf>
    <xf numFmtId="0" fontId="1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Alignment="1">
      <alignment horizontal="center" vertical="center"/>
    </xf>
    <xf numFmtId="0" fontId="1" fillId="0" borderId="0" xfId="0" applyFont="1" applyFill="1" applyAlignment="1">
      <alignment horizontal="center"/>
    </xf>
    <xf numFmtId="0" fontId="3" fillId="0" borderId="0" xfId="0" applyFont="1" applyFill="1" applyAlignment="1">
      <alignment horizontal="center"/>
    </xf>
    <xf numFmtId="0" fontId="3" fillId="0" borderId="0" xfId="0" applyFont="1" applyFill="1" applyBorder="1" applyAlignment="1">
      <alignment horizontal="center"/>
    </xf>
    <xf numFmtId="0" fontId="3" fillId="0" borderId="15" xfId="0" applyFont="1" applyBorder="1" applyAlignment="1">
      <alignment horizontal="center" vertical="center"/>
    </xf>
    <xf numFmtId="3" fontId="3" fillId="0" borderId="15" xfId="0" applyNumberFormat="1" applyFont="1" applyBorder="1" applyAlignment="1">
      <alignment horizontal="center" vertical="center"/>
    </xf>
    <xf numFmtId="1" fontId="3" fillId="0" borderId="15" xfId="0" applyNumberFormat="1" applyFont="1" applyBorder="1"/>
    <xf numFmtId="1" fontId="3" fillId="19" borderId="15" xfId="0" applyNumberFormat="1" applyFont="1" applyFill="1" applyBorder="1"/>
    <xf numFmtId="1" fontId="3" fillId="19" borderId="6" xfId="0" applyNumberFormat="1" applyFont="1" applyFill="1" applyBorder="1"/>
    <xf numFmtId="1" fontId="3" fillId="0" borderId="0" xfId="0" applyNumberFormat="1" applyFont="1" applyBorder="1"/>
    <xf numFmtId="1" fontId="3" fillId="0" borderId="38" xfId="0" applyNumberFormat="1" applyFont="1" applyBorder="1"/>
    <xf numFmtId="0" fontId="24" fillId="0" borderId="3" xfId="0" applyFont="1" applyBorder="1" applyAlignment="1">
      <alignment horizontal="center" vertical="center" wrapText="1"/>
    </xf>
    <xf numFmtId="165" fontId="3" fillId="0" borderId="7" xfId="0" applyNumberFormat="1" applyFont="1" applyBorder="1" applyAlignment="1">
      <alignment horizontal="center" vertical="center"/>
    </xf>
    <xf numFmtId="168" fontId="3" fillId="0" borderId="7" xfId="0" applyNumberFormat="1" applyFont="1" applyBorder="1"/>
    <xf numFmtId="168" fontId="3" fillId="19" borderId="7" xfId="0" applyNumberFormat="1" applyFont="1" applyFill="1" applyBorder="1"/>
    <xf numFmtId="169" fontId="3" fillId="19" borderId="7" xfId="0" applyNumberFormat="1" applyFont="1" applyFill="1" applyBorder="1"/>
    <xf numFmtId="168" fontId="3" fillId="19" borderId="8" xfId="0" applyNumberFormat="1" applyFont="1" applyFill="1" applyBorder="1"/>
    <xf numFmtId="1" fontId="3" fillId="0" borderId="0" xfId="0" applyNumberFormat="1" applyFont="1" applyFill="1"/>
    <xf numFmtId="168" fontId="3" fillId="0" borderId="0" xfId="0" applyNumberFormat="1" applyFont="1" applyFill="1"/>
    <xf numFmtId="2" fontId="3" fillId="0" borderId="0" xfId="1" applyNumberFormat="1" applyFont="1" applyBorder="1"/>
    <xf numFmtId="1" fontId="3" fillId="0" borderId="0" xfId="0" applyNumberFormat="1" applyFont="1" applyFill="1" applyBorder="1" applyAlignment="1">
      <alignment horizont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cellXfs>
  <cellStyles count="2">
    <cellStyle name="Normal" xfId="0" builtinId="0"/>
    <cellStyle name="Percent" xfId="1" builtinId="5"/>
  </cellStyles>
  <dxfs count="80">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Deflator</a:t>
            </a:r>
            <a:r>
              <a:rPr lang="en-US" baseline="0"/>
              <a:t>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'Calculating Shutdown'!$C$21:$F$21</c:f>
              <c:numCache>
                <c:formatCode>General</c:formatCode>
                <c:ptCount val="4"/>
                <c:pt idx="0">
                  <c:v>1.3</c:v>
                </c:pt>
                <c:pt idx="1">
                  <c:v>1.3480654672306847</c:v>
                </c:pt>
                <c:pt idx="2">
                  <c:v>1.3201272147159264</c:v>
                </c:pt>
                <c:pt idx="3">
                  <c:v>1.329918693023213</c:v>
                </c:pt>
              </c:numCache>
            </c:numRef>
          </c:val>
          <c:smooth val="0"/>
          <c:extLst>
            <c:ext xmlns:c16="http://schemas.microsoft.com/office/drawing/2014/chart" uri="{C3380CC4-5D6E-409C-BE32-E72D297353CC}">
              <c16:uniqueId val="{00000000-1BAB-459C-9ED8-750E6EAF32DA}"/>
            </c:ext>
          </c:extLst>
        </c:ser>
        <c:ser>
          <c:idx val="1"/>
          <c:order val="1"/>
          <c:spPr>
            <a:ln w="28575" cap="rnd">
              <a:solidFill>
                <a:schemeClr val="accent2"/>
              </a:solidFill>
              <a:round/>
            </a:ln>
            <a:effectLst/>
          </c:spPr>
          <c:marker>
            <c:symbol val="none"/>
          </c:marker>
          <c:val>
            <c:numRef>
              <c:f>'Calculating Shutdown'!$C$25:$F$25</c:f>
              <c:numCache>
                <c:formatCode>General</c:formatCode>
                <c:ptCount val="4"/>
                <c:pt idx="0">
                  <c:v>1.3</c:v>
                </c:pt>
                <c:pt idx="1">
                  <c:v>1.3096421933110527</c:v>
                </c:pt>
                <c:pt idx="2">
                  <c:v>1.3193559034619884</c:v>
                </c:pt>
                <c:pt idx="3">
                  <c:v>1.3291416608983415</c:v>
                </c:pt>
              </c:numCache>
            </c:numRef>
          </c:val>
          <c:smooth val="0"/>
          <c:extLst>
            <c:ext xmlns:c16="http://schemas.microsoft.com/office/drawing/2014/chart" uri="{C3380CC4-5D6E-409C-BE32-E72D297353CC}">
              <c16:uniqueId val="{00000001-1BAB-459C-9ED8-750E6EAF32DA}"/>
            </c:ext>
          </c:extLst>
        </c:ser>
        <c:dLbls>
          <c:showLegendKey val="0"/>
          <c:showVal val="0"/>
          <c:showCatName val="0"/>
          <c:showSerName val="0"/>
          <c:showPercent val="0"/>
          <c:showBubbleSize val="0"/>
        </c:dLbls>
        <c:smooth val="0"/>
        <c:axId val="1701644911"/>
        <c:axId val="1701645391"/>
      </c:lineChart>
      <c:catAx>
        <c:axId val="1701644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5391"/>
        <c:crosses val="autoZero"/>
        <c:auto val="1"/>
        <c:lblAlgn val="ctr"/>
        <c:lblOffset val="100"/>
        <c:noMultiLvlLbl val="0"/>
      </c:catAx>
      <c:valAx>
        <c:axId val="17016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2" name="Text Box 3" hidden="1">
          <a:extLst>
            <a:ext uri="{FF2B5EF4-FFF2-40B4-BE49-F238E27FC236}">
              <a16:creationId xmlns:a16="http://schemas.microsoft.com/office/drawing/2014/main" id="{D1B7DBED-C0AE-E37D-3E46-DD209150D627}"/>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3" name="Text Box 3" hidden="1">
          <a:extLst>
            <a:ext uri="{FF2B5EF4-FFF2-40B4-BE49-F238E27FC236}">
              <a16:creationId xmlns:a16="http://schemas.microsoft.com/office/drawing/2014/main" id="{D7839D94-B3CA-9F0F-4257-E9B150AA7A89}"/>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52</xdr:row>
      <xdr:rowOff>161897</xdr:rowOff>
    </xdr:from>
    <xdr:to>
      <xdr:col>2</xdr:col>
      <xdr:colOff>218908</xdr:colOff>
      <xdr:row>52</xdr:row>
      <xdr:rowOff>161897</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52</xdr:row>
      <xdr:rowOff>161897</xdr:rowOff>
    </xdr:from>
    <xdr:to>
      <xdr:col>2</xdr:col>
      <xdr:colOff>202398</xdr:colOff>
      <xdr:row>52</xdr:row>
      <xdr:rowOff>161897</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132058</xdr:rowOff>
    </xdr:from>
    <xdr:to>
      <xdr:col>2</xdr:col>
      <xdr:colOff>183348</xdr:colOff>
      <xdr:row>68</xdr:row>
      <xdr:rowOff>132058</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155199</xdr:rowOff>
    </xdr:from>
    <xdr:to>
      <xdr:col>2</xdr:col>
      <xdr:colOff>69048</xdr:colOff>
      <xdr:row>65</xdr:row>
      <xdr:rowOff>135571</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116521</xdr:rowOff>
    </xdr:from>
    <xdr:to>
      <xdr:col>2</xdr:col>
      <xdr:colOff>69048</xdr:colOff>
      <xdr:row>66</xdr:row>
      <xdr:rowOff>104059</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104059</xdr:rowOff>
    </xdr:from>
    <xdr:to>
      <xdr:col>2</xdr:col>
      <xdr:colOff>69048</xdr:colOff>
      <xdr:row>67</xdr:row>
      <xdr:rowOff>122294</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122294</xdr:rowOff>
    </xdr:from>
    <xdr:to>
      <xdr:col>2</xdr:col>
      <xdr:colOff>69048</xdr:colOff>
      <xdr:row>68</xdr:row>
      <xdr:rowOff>55858</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55858</xdr:rowOff>
    </xdr:from>
    <xdr:to>
      <xdr:col>2</xdr:col>
      <xdr:colOff>69048</xdr:colOff>
      <xdr:row>68</xdr:row>
      <xdr:rowOff>132058</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132058</xdr:rowOff>
    </xdr:from>
    <xdr:to>
      <xdr:col>2</xdr:col>
      <xdr:colOff>69048</xdr:colOff>
      <xdr:row>69</xdr:row>
      <xdr:rowOff>29642</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66</xdr:row>
      <xdr:rowOff>40559</xdr:rowOff>
    </xdr:from>
    <xdr:to>
      <xdr:col>2</xdr:col>
      <xdr:colOff>873125</xdr:colOff>
      <xdr:row>66</xdr:row>
      <xdr:rowOff>126284</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5</xdr:col>
      <xdr:colOff>161925</xdr:colOff>
      <xdr:row>88</xdr:row>
      <xdr:rowOff>161348</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6</xdr:col>
      <xdr:colOff>85725</xdr:colOff>
      <xdr:row>86</xdr:row>
      <xdr:rowOff>131906</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6</xdr:col>
      <xdr:colOff>85725</xdr:colOff>
      <xdr:row>86</xdr:row>
      <xdr:rowOff>161347</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6</xdr:col>
      <xdr:colOff>85725</xdr:colOff>
      <xdr:row>87</xdr:row>
      <xdr:rowOff>131907</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6</xdr:col>
      <xdr:colOff>85725</xdr:colOff>
      <xdr:row>87</xdr:row>
      <xdr:rowOff>161348</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6</xdr:col>
      <xdr:colOff>85725</xdr:colOff>
      <xdr:row>87</xdr:row>
      <xdr:rowOff>161348</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6</xdr:col>
      <xdr:colOff>714375</xdr:colOff>
      <xdr:row>86</xdr:row>
      <xdr:rowOff>161347</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0</xdr:colOff>
      <xdr:row>90</xdr:row>
      <xdr:rowOff>39832</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666750</xdr:colOff>
      <xdr:row>86</xdr:row>
      <xdr:rowOff>161347</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666750</xdr:colOff>
      <xdr:row>88</xdr:row>
      <xdr:rowOff>116032</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666750</xdr:colOff>
      <xdr:row>88</xdr:row>
      <xdr:rowOff>39832</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666750</xdr:colOff>
      <xdr:row>89</xdr:row>
      <xdr:rowOff>77932</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666750</xdr:colOff>
      <xdr:row>89</xdr:row>
      <xdr:rowOff>1732</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552450</xdr:colOff>
      <xdr:row>88</xdr:row>
      <xdr:rowOff>96982</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161348</xdr:rowOff>
    </xdr:from>
    <xdr:to>
      <xdr:col>6</xdr:col>
      <xdr:colOff>0</xdr:colOff>
      <xdr:row>91</xdr:row>
      <xdr:rowOff>1732</xdr:rowOff>
    </xdr:to>
    <xdr:sp macro="" textlink="">
      <xdr:nvSpPr>
        <xdr:cNvPr id="423014" name="Text Box 1126" hidden="1">
          <a:extLst>
            <a:ext uri="{FF2B5EF4-FFF2-40B4-BE49-F238E27FC236}">
              <a16:creationId xmlns:a16="http://schemas.microsoft.com/office/drawing/2014/main" id="{B4B5FDA4-A9E6-24D4-551D-F727FF1412CE}"/>
            </a:ext>
          </a:extLst>
        </xdr:cNvPr>
        <xdr:cNvSpPr txBox="1">
          <a:spLocks noChangeArrowheads="1"/>
        </xdr:cNvSpPr>
      </xdr:nvSpPr>
      <xdr:spPr bwMode="auto">
        <a:xfrm>
          <a:off x="3206750" y="141795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1732</xdr:rowOff>
    </xdr:from>
    <xdr:to>
      <xdr:col>6</xdr:col>
      <xdr:colOff>666750</xdr:colOff>
      <xdr:row>88</xdr:row>
      <xdr:rowOff>135082</xdr:rowOff>
    </xdr:to>
    <xdr:sp macro="" textlink="">
      <xdr:nvSpPr>
        <xdr:cNvPr id="423013" name="Text Box 1125" hidden="1">
          <a:extLst>
            <a:ext uri="{FF2B5EF4-FFF2-40B4-BE49-F238E27FC236}">
              <a16:creationId xmlns:a16="http://schemas.microsoft.com/office/drawing/2014/main" id="{A6CFDF5B-4E86-28FB-8AC9-D5568FBDA3C3}"/>
            </a:ext>
          </a:extLst>
        </xdr:cNvPr>
        <xdr:cNvSpPr txBox="1">
          <a:spLocks noChangeArrowheads="1"/>
        </xdr:cNvSpPr>
      </xdr:nvSpPr>
      <xdr:spPr bwMode="auto">
        <a:xfrm>
          <a:off x="3187700" y="134937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125846</xdr:rowOff>
    </xdr:from>
    <xdr:to>
      <xdr:col>6</xdr:col>
      <xdr:colOff>666750</xdr:colOff>
      <xdr:row>89</xdr:row>
      <xdr:rowOff>77932</xdr:rowOff>
    </xdr:to>
    <xdr:sp macro="" textlink="">
      <xdr:nvSpPr>
        <xdr:cNvPr id="423012" name="Text Box 1124" hidden="1">
          <a:extLst>
            <a:ext uri="{FF2B5EF4-FFF2-40B4-BE49-F238E27FC236}">
              <a16:creationId xmlns:a16="http://schemas.microsoft.com/office/drawing/2014/main" id="{CACC755C-BED5-FAFF-E1D6-B146EF43DF09}"/>
            </a:ext>
          </a:extLst>
        </xdr:cNvPr>
        <xdr:cNvSpPr txBox="1">
          <a:spLocks noChangeArrowheads="1"/>
        </xdr:cNvSpPr>
      </xdr:nvSpPr>
      <xdr:spPr bwMode="auto">
        <a:xfrm>
          <a:off x="3187700" y="1378585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122959</xdr:rowOff>
    </xdr:from>
    <xdr:to>
      <xdr:col>6</xdr:col>
      <xdr:colOff>666750</xdr:colOff>
      <xdr:row>90</xdr:row>
      <xdr:rowOff>1732</xdr:rowOff>
    </xdr:to>
    <xdr:sp macro="" textlink="">
      <xdr:nvSpPr>
        <xdr:cNvPr id="423011" name="Text Box 1123" hidden="1">
          <a:extLst>
            <a:ext uri="{FF2B5EF4-FFF2-40B4-BE49-F238E27FC236}">
              <a16:creationId xmlns:a16="http://schemas.microsoft.com/office/drawing/2014/main" id="{2E2BE217-CD62-86AA-DED5-96D7F6FD25A5}"/>
            </a:ext>
          </a:extLst>
        </xdr:cNvPr>
        <xdr:cNvSpPr txBox="1">
          <a:spLocks noChangeArrowheads="1"/>
        </xdr:cNvSpPr>
      </xdr:nvSpPr>
      <xdr:spPr bwMode="auto">
        <a:xfrm>
          <a:off x="3187700" y="13963650"/>
          <a:ext cx="4610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106218</xdr:rowOff>
    </xdr:from>
    <xdr:to>
      <xdr:col>6</xdr:col>
      <xdr:colOff>666750</xdr:colOff>
      <xdr:row>90</xdr:row>
      <xdr:rowOff>39832</xdr:rowOff>
    </xdr:to>
    <xdr:sp macro="" textlink="">
      <xdr:nvSpPr>
        <xdr:cNvPr id="423010" name="Text Box 1122" hidden="1">
          <a:extLst>
            <a:ext uri="{FF2B5EF4-FFF2-40B4-BE49-F238E27FC236}">
              <a16:creationId xmlns:a16="http://schemas.microsoft.com/office/drawing/2014/main" id="{A72F306E-AE77-0CA2-F858-D1F3BDEBCE1E}"/>
            </a:ext>
          </a:extLst>
        </xdr:cNvPr>
        <xdr:cNvSpPr txBox="1">
          <a:spLocks noChangeArrowheads="1"/>
        </xdr:cNvSpPr>
      </xdr:nvSpPr>
      <xdr:spPr bwMode="auto">
        <a:xfrm>
          <a:off x="3187700" y="1413510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161348</xdr:rowOff>
    </xdr:from>
    <xdr:to>
      <xdr:col>6</xdr:col>
      <xdr:colOff>666750</xdr:colOff>
      <xdr:row>91</xdr:row>
      <xdr:rowOff>135082</xdr:rowOff>
    </xdr:to>
    <xdr:sp macro="" textlink="">
      <xdr:nvSpPr>
        <xdr:cNvPr id="423009" name="Text Box 1121" hidden="1">
          <a:extLst>
            <a:ext uri="{FF2B5EF4-FFF2-40B4-BE49-F238E27FC236}">
              <a16:creationId xmlns:a16="http://schemas.microsoft.com/office/drawing/2014/main" id="{78CB69BC-5BF1-C660-5233-D508E93AE711}"/>
            </a:ext>
          </a:extLst>
        </xdr:cNvPr>
        <xdr:cNvSpPr txBox="1">
          <a:spLocks noChangeArrowheads="1"/>
        </xdr:cNvSpPr>
      </xdr:nvSpPr>
      <xdr:spPr bwMode="auto">
        <a:xfrm>
          <a:off x="3187700" y="141795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46759</xdr:rowOff>
    </xdr:from>
    <xdr:to>
      <xdr:col>7</xdr:col>
      <xdr:colOff>552450</xdr:colOff>
      <xdr:row>90</xdr:row>
      <xdr:rowOff>58882</xdr:rowOff>
    </xdr:to>
    <xdr:sp macro="" textlink="">
      <xdr:nvSpPr>
        <xdr:cNvPr id="423008" name="Text Box 1120" hidden="1">
          <a:extLst>
            <a:ext uri="{FF2B5EF4-FFF2-40B4-BE49-F238E27FC236}">
              <a16:creationId xmlns:a16="http://schemas.microsoft.com/office/drawing/2014/main" id="{20F55904-A288-A005-8157-29C4E82E3591}"/>
            </a:ext>
          </a:extLst>
        </xdr:cNvPr>
        <xdr:cNvSpPr txBox="1">
          <a:spLocks noChangeArrowheads="1"/>
        </xdr:cNvSpPr>
      </xdr:nvSpPr>
      <xdr:spPr bwMode="auto">
        <a:xfrm>
          <a:off x="4057650" y="13887450"/>
          <a:ext cx="43878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7" name="Text Box 1119" hidden="1">
          <a:extLst>
            <a:ext uri="{FF2B5EF4-FFF2-40B4-BE49-F238E27FC236}">
              <a16:creationId xmlns:a16="http://schemas.microsoft.com/office/drawing/2014/main" id="{4A9DDDB4-50A8-E2B4-6DE1-6BC77769DBA6}"/>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6" name="Text Box 1118" hidden="1">
          <a:extLst>
            <a:ext uri="{FF2B5EF4-FFF2-40B4-BE49-F238E27FC236}">
              <a16:creationId xmlns:a16="http://schemas.microsoft.com/office/drawing/2014/main" id="{4DF698C9-5AD2-C24C-6224-61D0D3BFF482}"/>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0</xdr:rowOff>
    </xdr:from>
    <xdr:to>
      <xdr:col>6</xdr:col>
      <xdr:colOff>0</xdr:colOff>
      <xdr:row>83</xdr:row>
      <xdr:rowOff>19050</xdr:rowOff>
    </xdr:to>
    <xdr:sp macro="" textlink="">
      <xdr:nvSpPr>
        <xdr:cNvPr id="423023" name="Text Box 1135" hidden="1">
          <a:extLst>
            <a:ext uri="{FF2B5EF4-FFF2-40B4-BE49-F238E27FC236}">
              <a16:creationId xmlns:a16="http://schemas.microsoft.com/office/drawing/2014/main" id="{2ADD5AFC-4C3E-98EB-FC1E-92124D889B05}"/>
            </a:ext>
          </a:extLst>
        </xdr:cNvPr>
        <xdr:cNvSpPr txBox="1">
          <a:spLocks noChangeArrowheads="1"/>
        </xdr:cNvSpPr>
      </xdr:nvSpPr>
      <xdr:spPr bwMode="auto">
        <a:xfrm>
          <a:off x="3206750" y="127190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304800</xdr:rowOff>
    </xdr:from>
    <xdr:to>
      <xdr:col>6</xdr:col>
      <xdr:colOff>666750</xdr:colOff>
      <xdr:row>80</xdr:row>
      <xdr:rowOff>171450</xdr:rowOff>
    </xdr:to>
    <xdr:sp macro="" textlink="">
      <xdr:nvSpPr>
        <xdr:cNvPr id="423022" name="Text Box 1134" hidden="1">
          <a:extLst>
            <a:ext uri="{FF2B5EF4-FFF2-40B4-BE49-F238E27FC236}">
              <a16:creationId xmlns:a16="http://schemas.microsoft.com/office/drawing/2014/main" id="{910F6FC5-2155-F71A-2FAE-179D42826EB4}"/>
            </a:ext>
          </a:extLst>
        </xdr:cNvPr>
        <xdr:cNvSpPr txBox="1">
          <a:spLocks noChangeArrowheads="1"/>
        </xdr:cNvSpPr>
      </xdr:nvSpPr>
      <xdr:spPr bwMode="auto">
        <a:xfrm>
          <a:off x="3187700" y="12033250"/>
          <a:ext cx="461010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266700</xdr:rowOff>
    </xdr:from>
    <xdr:to>
      <xdr:col>6</xdr:col>
      <xdr:colOff>666750</xdr:colOff>
      <xdr:row>81</xdr:row>
      <xdr:rowOff>38100</xdr:rowOff>
    </xdr:to>
    <xdr:sp macro="" textlink="">
      <xdr:nvSpPr>
        <xdr:cNvPr id="423021" name="Text Box 1133" hidden="1">
          <a:extLst>
            <a:ext uri="{FF2B5EF4-FFF2-40B4-BE49-F238E27FC236}">
              <a16:creationId xmlns:a16="http://schemas.microsoft.com/office/drawing/2014/main" id="{1B2E99ED-9D81-D073-8D1A-39EE7EA380CE}"/>
            </a:ext>
          </a:extLst>
        </xdr:cNvPr>
        <xdr:cNvSpPr txBox="1">
          <a:spLocks noChangeArrowheads="1"/>
        </xdr:cNvSpPr>
      </xdr:nvSpPr>
      <xdr:spPr bwMode="auto">
        <a:xfrm>
          <a:off x="3187700" y="12325350"/>
          <a:ext cx="4610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58</xdr:row>
      <xdr:rowOff>266700</xdr:rowOff>
    </xdr:from>
    <xdr:to>
      <xdr:col>7</xdr:col>
      <xdr:colOff>723900</xdr:colOff>
      <xdr:row>78</xdr:row>
      <xdr:rowOff>114300</xdr:rowOff>
    </xdr:to>
    <xdr:sp macro="" textlink="">
      <xdr:nvSpPr>
        <xdr:cNvPr id="423020" name="Text Box 1132" hidden="1">
          <a:extLst>
            <a:ext uri="{FF2B5EF4-FFF2-40B4-BE49-F238E27FC236}">
              <a16:creationId xmlns:a16="http://schemas.microsoft.com/office/drawing/2014/main" id="{A9A911F6-148F-DE44-E295-08BF21D2BBF0}"/>
            </a:ext>
          </a:extLst>
        </xdr:cNvPr>
        <xdr:cNvSpPr txBox="1">
          <a:spLocks noChangeArrowheads="1"/>
        </xdr:cNvSpPr>
      </xdr:nvSpPr>
      <xdr:spPr bwMode="auto">
        <a:xfrm>
          <a:off x="4019550" y="11334750"/>
          <a:ext cx="459740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285750</xdr:rowOff>
    </xdr:from>
    <xdr:to>
      <xdr:col>6</xdr:col>
      <xdr:colOff>666750</xdr:colOff>
      <xdr:row>82</xdr:row>
      <xdr:rowOff>0</xdr:rowOff>
    </xdr:to>
    <xdr:sp macro="" textlink="">
      <xdr:nvSpPr>
        <xdr:cNvPr id="423019" name="Text Box 1131" hidden="1">
          <a:extLst>
            <a:ext uri="{FF2B5EF4-FFF2-40B4-BE49-F238E27FC236}">
              <a16:creationId xmlns:a16="http://schemas.microsoft.com/office/drawing/2014/main" id="{13EA2F6A-76A0-3B4B-4595-6B22256E8857}"/>
            </a:ext>
          </a:extLst>
        </xdr:cNvPr>
        <xdr:cNvSpPr txBox="1">
          <a:spLocks noChangeArrowheads="1"/>
        </xdr:cNvSpPr>
      </xdr:nvSpPr>
      <xdr:spPr bwMode="auto">
        <a:xfrm>
          <a:off x="3187700" y="12674600"/>
          <a:ext cx="461010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0</xdr:rowOff>
    </xdr:from>
    <xdr:to>
      <xdr:col>6</xdr:col>
      <xdr:colOff>666750</xdr:colOff>
      <xdr:row>83</xdr:row>
      <xdr:rowOff>152400</xdr:rowOff>
    </xdr:to>
    <xdr:sp macro="" textlink="">
      <xdr:nvSpPr>
        <xdr:cNvPr id="423018" name="Text Box 1130" hidden="1">
          <a:extLst>
            <a:ext uri="{FF2B5EF4-FFF2-40B4-BE49-F238E27FC236}">
              <a16:creationId xmlns:a16="http://schemas.microsoft.com/office/drawing/2014/main" id="{8B313D57-2939-11AF-7191-95E61931AB7D}"/>
            </a:ext>
          </a:extLst>
        </xdr:cNvPr>
        <xdr:cNvSpPr txBox="1">
          <a:spLocks noChangeArrowheads="1"/>
        </xdr:cNvSpPr>
      </xdr:nvSpPr>
      <xdr:spPr bwMode="auto">
        <a:xfrm>
          <a:off x="3187700" y="127190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38100</xdr:rowOff>
    </xdr:from>
    <xdr:to>
      <xdr:col>7</xdr:col>
      <xdr:colOff>552450</xdr:colOff>
      <xdr:row>82</xdr:row>
      <xdr:rowOff>95250</xdr:rowOff>
    </xdr:to>
    <xdr:sp macro="" textlink="">
      <xdr:nvSpPr>
        <xdr:cNvPr id="423017" name="Text Box 1129" hidden="1">
          <a:extLst>
            <a:ext uri="{FF2B5EF4-FFF2-40B4-BE49-F238E27FC236}">
              <a16:creationId xmlns:a16="http://schemas.microsoft.com/office/drawing/2014/main" id="{025E74A7-3E20-E309-DAD8-B379DEAE6355}"/>
            </a:ext>
          </a:extLst>
        </xdr:cNvPr>
        <xdr:cNvSpPr txBox="1">
          <a:spLocks noChangeArrowheads="1"/>
        </xdr:cNvSpPr>
      </xdr:nvSpPr>
      <xdr:spPr bwMode="auto">
        <a:xfrm>
          <a:off x="4057650" y="12426950"/>
          <a:ext cx="4387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6" name="Text Box 16" hidden="1">
          <a:extLst>
            <a:ext uri="{FF2B5EF4-FFF2-40B4-BE49-F238E27FC236}">
              <a16:creationId xmlns:a16="http://schemas.microsoft.com/office/drawing/2014/main" id="{EECEF266-E87D-0923-95AC-9EA29D98D72E}"/>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5" name="Text Box 15" hidden="1">
          <a:extLst>
            <a:ext uri="{FF2B5EF4-FFF2-40B4-BE49-F238E27FC236}">
              <a16:creationId xmlns:a16="http://schemas.microsoft.com/office/drawing/2014/main" id="{7CD3CDF5-86B0-59F8-F6E9-D26647A7AECD}"/>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4" name="Text Box 14" hidden="1">
          <a:extLst>
            <a:ext uri="{FF2B5EF4-FFF2-40B4-BE49-F238E27FC236}">
              <a16:creationId xmlns:a16="http://schemas.microsoft.com/office/drawing/2014/main" id="{9E20A3E7-7009-0BD7-32A3-509C3B3ED9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3" name="Text Box 13" hidden="1">
          <a:extLst>
            <a:ext uri="{FF2B5EF4-FFF2-40B4-BE49-F238E27FC236}">
              <a16:creationId xmlns:a16="http://schemas.microsoft.com/office/drawing/2014/main" id="{472313EA-27AC-526A-D5A6-2F0935CA2E57}"/>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80" name="Text Box 20" hidden="1">
          <a:extLst>
            <a:ext uri="{FF2B5EF4-FFF2-40B4-BE49-F238E27FC236}">
              <a16:creationId xmlns:a16="http://schemas.microsoft.com/office/drawing/2014/main" id="{B03DDCAF-0F8B-28D8-A840-0CF447EA2F7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9" name="Text Box 19" hidden="1">
          <a:extLst>
            <a:ext uri="{FF2B5EF4-FFF2-40B4-BE49-F238E27FC236}">
              <a16:creationId xmlns:a16="http://schemas.microsoft.com/office/drawing/2014/main" id="{FCE32236-E115-CEA3-B3E0-38D915796CF7}"/>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8" name="Text Box 18" hidden="1">
          <a:extLst>
            <a:ext uri="{FF2B5EF4-FFF2-40B4-BE49-F238E27FC236}">
              <a16:creationId xmlns:a16="http://schemas.microsoft.com/office/drawing/2014/main" id="{6D51DDB0-424F-FC85-DA77-61F96A12F3DB}"/>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7" name="Text Box 17" hidden="1">
          <a:extLst>
            <a:ext uri="{FF2B5EF4-FFF2-40B4-BE49-F238E27FC236}">
              <a16:creationId xmlns:a16="http://schemas.microsoft.com/office/drawing/2014/main" id="{D050F077-7788-9058-AD9C-A490356A903A}"/>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6" name="Text Box 12" hidden="1">
          <a:extLst>
            <a:ext uri="{FF2B5EF4-FFF2-40B4-BE49-F238E27FC236}">
              <a16:creationId xmlns:a16="http://schemas.microsoft.com/office/drawing/2014/main" id="{FCB32AA2-78FE-5E91-B8E7-E18E46EB402C}"/>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5" name="Text Box 11" hidden="1">
          <a:extLst>
            <a:ext uri="{FF2B5EF4-FFF2-40B4-BE49-F238E27FC236}">
              <a16:creationId xmlns:a16="http://schemas.microsoft.com/office/drawing/2014/main" id="{CCDD4B0D-924C-6812-F333-B776ACBFF85B}"/>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4" name="Text Box 10" hidden="1">
          <a:extLst>
            <a:ext uri="{FF2B5EF4-FFF2-40B4-BE49-F238E27FC236}">
              <a16:creationId xmlns:a16="http://schemas.microsoft.com/office/drawing/2014/main" id="{004CE320-3184-AA40-743E-50EC7EEA180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9" name="Text Box 15" hidden="1">
          <a:extLst>
            <a:ext uri="{FF2B5EF4-FFF2-40B4-BE49-F238E27FC236}">
              <a16:creationId xmlns:a16="http://schemas.microsoft.com/office/drawing/2014/main" id="{4D171E2C-D87A-54D9-7E1B-2D670FD2933A}"/>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8" name="Text Box 14" hidden="1">
          <a:extLst>
            <a:ext uri="{FF2B5EF4-FFF2-40B4-BE49-F238E27FC236}">
              <a16:creationId xmlns:a16="http://schemas.microsoft.com/office/drawing/2014/main" id="{A44ADEF5-4FBC-CB73-1FD8-6142B87F05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7" name="Text Box 13" hidden="1">
          <a:extLst>
            <a:ext uri="{FF2B5EF4-FFF2-40B4-BE49-F238E27FC236}">
              <a16:creationId xmlns:a16="http://schemas.microsoft.com/office/drawing/2014/main" id="{ED523A1F-3EBA-96AE-D389-E6A6FA8B6E6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4" name="Text Box 56" hidden="1">
          <a:extLst>
            <a:ext uri="{FF2B5EF4-FFF2-40B4-BE49-F238E27FC236}">
              <a16:creationId xmlns:a16="http://schemas.microsoft.com/office/drawing/2014/main" id="{07EAD070-D8CA-2D32-BA80-F9843873A36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63" name="Text Box 55" hidden="1">
          <a:extLst>
            <a:ext uri="{FF2B5EF4-FFF2-40B4-BE49-F238E27FC236}">
              <a16:creationId xmlns:a16="http://schemas.microsoft.com/office/drawing/2014/main" id="{4F25BCD6-601A-AF5C-94E7-A61D4F9EF2F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2" name="Text Box 54" hidden="1">
          <a:extLst>
            <a:ext uri="{FF2B5EF4-FFF2-40B4-BE49-F238E27FC236}">
              <a16:creationId xmlns:a16="http://schemas.microsoft.com/office/drawing/2014/main" id="{99F164E2-1AA5-D85A-7AD3-B45E04A1305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61" name="Text Box 53" hidden="1">
          <a:extLst>
            <a:ext uri="{FF2B5EF4-FFF2-40B4-BE49-F238E27FC236}">
              <a16:creationId xmlns:a16="http://schemas.microsoft.com/office/drawing/2014/main" id="{8E911E59-5431-DC00-3084-B1D6046644E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60" name="Text Box 52" hidden="1">
          <a:extLst>
            <a:ext uri="{FF2B5EF4-FFF2-40B4-BE49-F238E27FC236}">
              <a16:creationId xmlns:a16="http://schemas.microsoft.com/office/drawing/2014/main" id="{8418D1AE-C03B-638C-3B68-5A4B37E4C47F}"/>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59" name="Text Box 51" hidden="1">
          <a:extLst>
            <a:ext uri="{FF2B5EF4-FFF2-40B4-BE49-F238E27FC236}">
              <a16:creationId xmlns:a16="http://schemas.microsoft.com/office/drawing/2014/main" id="{10A30EEE-BD96-70D2-C8E1-F7AB2993D95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58" name="Text Box 50" hidden="1">
          <a:extLst>
            <a:ext uri="{FF2B5EF4-FFF2-40B4-BE49-F238E27FC236}">
              <a16:creationId xmlns:a16="http://schemas.microsoft.com/office/drawing/2014/main" id="{265CBB57-3B8D-8D21-4734-389C36E8932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57" name="Text Box 49" hidden="1">
          <a:extLst>
            <a:ext uri="{FF2B5EF4-FFF2-40B4-BE49-F238E27FC236}">
              <a16:creationId xmlns:a16="http://schemas.microsoft.com/office/drawing/2014/main" id="{9A151039-FD47-5298-8402-AD465821328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56" name="Text Box 48" hidden="1">
          <a:extLst>
            <a:ext uri="{FF2B5EF4-FFF2-40B4-BE49-F238E27FC236}">
              <a16:creationId xmlns:a16="http://schemas.microsoft.com/office/drawing/2014/main" id="{B4DC6B97-1023-E5FB-9DE4-6810F83D20C4}"/>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55" name="Text Box 47" hidden="1">
          <a:extLst>
            <a:ext uri="{FF2B5EF4-FFF2-40B4-BE49-F238E27FC236}">
              <a16:creationId xmlns:a16="http://schemas.microsoft.com/office/drawing/2014/main" id="{78DA8EF3-4589-C537-A127-95A6B41FCB5F}"/>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54" name="Text Box 46" hidden="1">
          <a:extLst>
            <a:ext uri="{FF2B5EF4-FFF2-40B4-BE49-F238E27FC236}">
              <a16:creationId xmlns:a16="http://schemas.microsoft.com/office/drawing/2014/main" id="{F1A0F2A5-A68C-3192-DFFE-966D99B9B48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53" name="Text Box 45" hidden="1">
          <a:extLst>
            <a:ext uri="{FF2B5EF4-FFF2-40B4-BE49-F238E27FC236}">
              <a16:creationId xmlns:a16="http://schemas.microsoft.com/office/drawing/2014/main" id="{FD7664C0-464A-4561-A596-1F90FA1E2E7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52" name="Text Box 44" hidden="1">
          <a:extLst>
            <a:ext uri="{FF2B5EF4-FFF2-40B4-BE49-F238E27FC236}">
              <a16:creationId xmlns:a16="http://schemas.microsoft.com/office/drawing/2014/main" id="{8CD3A00E-6035-30F8-B922-D8686C33A355}"/>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51" name="Text Box 43" hidden="1">
          <a:extLst>
            <a:ext uri="{FF2B5EF4-FFF2-40B4-BE49-F238E27FC236}">
              <a16:creationId xmlns:a16="http://schemas.microsoft.com/office/drawing/2014/main" id="{5577762D-0227-0CD7-5D9D-06730F0078A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8" name="Text Box 70" hidden="1">
          <a:extLst>
            <a:ext uri="{FF2B5EF4-FFF2-40B4-BE49-F238E27FC236}">
              <a16:creationId xmlns:a16="http://schemas.microsoft.com/office/drawing/2014/main" id="{A81998D8-AA68-AD5C-1A86-5A4F91C798E4}"/>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101600</xdr:rowOff>
    </xdr:to>
    <xdr:sp macro="" textlink="">
      <xdr:nvSpPr>
        <xdr:cNvPr id="427077" name="Text Box 69" hidden="1">
          <a:extLst>
            <a:ext uri="{FF2B5EF4-FFF2-40B4-BE49-F238E27FC236}">
              <a16:creationId xmlns:a16="http://schemas.microsoft.com/office/drawing/2014/main" id="{0C458869-10F3-E6F9-A58D-10EF53DFB392}"/>
            </a:ext>
          </a:extLst>
        </xdr:cNvPr>
        <xdr:cNvSpPr txBox="1">
          <a:spLocks noChangeArrowheads="1"/>
        </xdr:cNvSpPr>
      </xdr:nvSpPr>
      <xdr:spPr bwMode="auto">
        <a:xfrm>
          <a:off x="4927600" y="12376150"/>
          <a:ext cx="30797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6" name="Text Box 68" hidden="1">
          <a:extLst>
            <a:ext uri="{FF2B5EF4-FFF2-40B4-BE49-F238E27FC236}">
              <a16:creationId xmlns:a16="http://schemas.microsoft.com/office/drawing/2014/main" id="{3E7CEF04-6E39-6E52-7905-F752099E715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75" name="Text Box 67" hidden="1">
          <a:extLst>
            <a:ext uri="{FF2B5EF4-FFF2-40B4-BE49-F238E27FC236}">
              <a16:creationId xmlns:a16="http://schemas.microsoft.com/office/drawing/2014/main" id="{7D2A53EC-4103-8261-C253-CDD960212FA0}"/>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74" name="Text Box 66" hidden="1">
          <a:extLst>
            <a:ext uri="{FF2B5EF4-FFF2-40B4-BE49-F238E27FC236}">
              <a16:creationId xmlns:a16="http://schemas.microsoft.com/office/drawing/2014/main" id="{D6872E2F-BC6B-C869-05AC-846BE00A117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73" name="Text Box 65" hidden="1">
          <a:extLst>
            <a:ext uri="{FF2B5EF4-FFF2-40B4-BE49-F238E27FC236}">
              <a16:creationId xmlns:a16="http://schemas.microsoft.com/office/drawing/2014/main" id="{3B812FA2-7382-0F76-AA6F-262387E7B7AA}"/>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72" name="Text Box 64" hidden="1">
          <a:extLst>
            <a:ext uri="{FF2B5EF4-FFF2-40B4-BE49-F238E27FC236}">
              <a16:creationId xmlns:a16="http://schemas.microsoft.com/office/drawing/2014/main" id="{33969C1D-E429-7A87-4784-3BD8EC95C28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31</xdr:row>
      <xdr:rowOff>0</xdr:rowOff>
    </xdr:to>
    <xdr:sp macro="" textlink="">
      <xdr:nvSpPr>
        <xdr:cNvPr id="427071" name="Text Box 63" hidden="1">
          <a:extLst>
            <a:ext uri="{FF2B5EF4-FFF2-40B4-BE49-F238E27FC236}">
              <a16:creationId xmlns:a16="http://schemas.microsoft.com/office/drawing/2014/main" id="{F665E773-B010-A112-242F-EED72AE7732B}"/>
            </a:ext>
          </a:extLst>
        </xdr:cNvPr>
        <xdr:cNvSpPr txBox="1">
          <a:spLocks noChangeArrowheads="1"/>
        </xdr:cNvSpPr>
      </xdr:nvSpPr>
      <xdr:spPr bwMode="auto">
        <a:xfrm>
          <a:off x="9404350" y="2717800"/>
          <a:ext cx="2971800" cy="508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70" name="Text Box 62" hidden="1">
          <a:extLst>
            <a:ext uri="{FF2B5EF4-FFF2-40B4-BE49-F238E27FC236}">
              <a16:creationId xmlns:a16="http://schemas.microsoft.com/office/drawing/2014/main" id="{4295DA14-9F1C-B36C-9E23-8F1762ED7B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69" name="Text Box 61" hidden="1">
          <a:extLst>
            <a:ext uri="{FF2B5EF4-FFF2-40B4-BE49-F238E27FC236}">
              <a16:creationId xmlns:a16="http://schemas.microsoft.com/office/drawing/2014/main" id="{F91625B2-AF7A-B7D6-1819-01CD0A635E0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68" name="Text Box 60" hidden="1">
          <a:extLst>
            <a:ext uri="{FF2B5EF4-FFF2-40B4-BE49-F238E27FC236}">
              <a16:creationId xmlns:a16="http://schemas.microsoft.com/office/drawing/2014/main" id="{B20C24A5-DF6F-7158-8E80-7B263B720BA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83</xdr:row>
      <xdr:rowOff>152400</xdr:rowOff>
    </xdr:from>
    <xdr:to>
      <xdr:col>38</xdr:col>
      <xdr:colOff>266700</xdr:colOff>
      <xdr:row>103</xdr:row>
      <xdr:rowOff>171450</xdr:rowOff>
    </xdr:to>
    <xdr:sp macro="" textlink="">
      <xdr:nvSpPr>
        <xdr:cNvPr id="427067" name="Text Box 59" hidden="1">
          <a:extLst>
            <a:ext uri="{FF2B5EF4-FFF2-40B4-BE49-F238E27FC236}">
              <a16:creationId xmlns:a16="http://schemas.microsoft.com/office/drawing/2014/main" id="{B51D963D-C9C8-EE71-0F5B-D338E08DCB1A}"/>
            </a:ext>
          </a:extLst>
        </xdr:cNvPr>
        <xdr:cNvSpPr txBox="1">
          <a:spLocks noChangeArrowheads="1"/>
        </xdr:cNvSpPr>
      </xdr:nvSpPr>
      <xdr:spPr bwMode="auto">
        <a:xfrm>
          <a:off x="22466300" y="19272250"/>
          <a:ext cx="302260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82</xdr:row>
      <xdr:rowOff>152400</xdr:rowOff>
    </xdr:from>
    <xdr:to>
      <xdr:col>38</xdr:col>
      <xdr:colOff>266700</xdr:colOff>
      <xdr:row>102</xdr:row>
      <xdr:rowOff>0</xdr:rowOff>
    </xdr:to>
    <xdr:sp macro="" textlink="">
      <xdr:nvSpPr>
        <xdr:cNvPr id="427066" name="Text Box 58" hidden="1">
          <a:extLst>
            <a:ext uri="{FF2B5EF4-FFF2-40B4-BE49-F238E27FC236}">
              <a16:creationId xmlns:a16="http://schemas.microsoft.com/office/drawing/2014/main" id="{727A85FA-3FF3-FA1D-F2F3-C25EDFD35130}"/>
            </a:ext>
          </a:extLst>
        </xdr:cNvPr>
        <xdr:cNvSpPr txBox="1">
          <a:spLocks noChangeArrowheads="1"/>
        </xdr:cNvSpPr>
      </xdr:nvSpPr>
      <xdr:spPr bwMode="auto">
        <a:xfrm>
          <a:off x="22466300" y="18910300"/>
          <a:ext cx="302260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65" name="Text Box 57" hidden="1">
          <a:extLst>
            <a:ext uri="{FF2B5EF4-FFF2-40B4-BE49-F238E27FC236}">
              <a16:creationId xmlns:a16="http://schemas.microsoft.com/office/drawing/2014/main" id="{5FA8612F-95F5-82B4-FF5D-CC87E0F2E40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94898</xdr:colOff>
      <xdr:row>74</xdr:row>
      <xdr:rowOff>55074</xdr:rowOff>
    </xdr:from>
    <xdr:to>
      <xdr:col>37</xdr:col>
      <xdr:colOff>301973</xdr:colOff>
      <xdr:row>74</xdr:row>
      <xdr:rowOff>55074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74</xdr:row>
      <xdr:rowOff>55074</xdr:rowOff>
    </xdr:from>
    <xdr:to>
      <xdr:col>37</xdr:col>
      <xdr:colOff>144904</xdr:colOff>
      <xdr:row>76</xdr:row>
      <xdr:rowOff>131132</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87</xdr:row>
      <xdr:rowOff>75049</xdr:rowOff>
    </xdr:from>
    <xdr:to>
      <xdr:col>37</xdr:col>
      <xdr:colOff>144904</xdr:colOff>
      <xdr:row>87</xdr:row>
      <xdr:rowOff>75049</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87</xdr:row>
      <xdr:rowOff>75049</xdr:rowOff>
    </xdr:from>
    <xdr:to>
      <xdr:col>37</xdr:col>
      <xdr:colOff>221104</xdr:colOff>
      <xdr:row>87</xdr:row>
      <xdr:rowOff>75049</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74</xdr:row>
      <xdr:rowOff>55074</xdr:rowOff>
    </xdr:from>
    <xdr:to>
      <xdr:col>37</xdr:col>
      <xdr:colOff>221104</xdr:colOff>
      <xdr:row>74</xdr:row>
      <xdr:rowOff>55074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301973</xdr:colOff>
      <xdr:row>55</xdr:row>
      <xdr:rowOff>7545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55</xdr:row>
      <xdr:rowOff>7545</xdr:rowOff>
    </xdr:from>
    <xdr:to>
      <xdr:col>37</xdr:col>
      <xdr:colOff>144904</xdr:colOff>
      <xdr:row>60</xdr:row>
      <xdr:rowOff>142738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62</xdr:row>
      <xdr:rowOff>11864</xdr:rowOff>
    </xdr:from>
    <xdr:to>
      <xdr:col>37</xdr:col>
      <xdr:colOff>144904</xdr:colOff>
      <xdr:row>62</xdr:row>
      <xdr:rowOff>11864</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62</xdr:row>
      <xdr:rowOff>11864</xdr:rowOff>
    </xdr:from>
    <xdr:to>
      <xdr:col>37</xdr:col>
      <xdr:colOff>221104</xdr:colOff>
      <xdr:row>62</xdr:row>
      <xdr:rowOff>11864</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221104</xdr:colOff>
      <xdr:row>55</xdr:row>
      <xdr:rowOff>7545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304280</xdr:colOff>
      <xdr:row>46</xdr:row>
      <xdr:rowOff>122053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57</xdr:row>
      <xdr:rowOff>132795</xdr:rowOff>
    </xdr:from>
    <xdr:to>
      <xdr:col>37</xdr:col>
      <xdr:colOff>202456</xdr:colOff>
      <xdr:row>58</xdr:row>
      <xdr:rowOff>73096</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202456</xdr:colOff>
      <xdr:row>46</xdr:row>
      <xdr:rowOff>122053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469634</xdr:colOff>
      <xdr:row>42</xdr:row>
      <xdr:rowOff>621144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430899</xdr:colOff>
      <xdr:row>42</xdr:row>
      <xdr:rowOff>621144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70</xdr:row>
      <xdr:rowOff>163448</xdr:rowOff>
    </xdr:from>
    <xdr:to>
      <xdr:col>40</xdr:col>
      <xdr:colOff>457218</xdr:colOff>
      <xdr:row>75</xdr:row>
      <xdr:rowOff>104420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77</xdr:row>
      <xdr:rowOff>74272</xdr:rowOff>
    </xdr:from>
    <xdr:to>
      <xdr:col>40</xdr:col>
      <xdr:colOff>296339</xdr:colOff>
      <xdr:row>98</xdr:row>
      <xdr:rowOff>123071</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74830</xdr:rowOff>
    </xdr:from>
    <xdr:to>
      <xdr:col>37</xdr:col>
      <xdr:colOff>94213</xdr:colOff>
      <xdr:row>69</xdr:row>
      <xdr:rowOff>143511</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74830</xdr:rowOff>
    </xdr:from>
    <xdr:to>
      <xdr:col>37</xdr:col>
      <xdr:colOff>170413</xdr:colOff>
      <xdr:row>69</xdr:row>
      <xdr:rowOff>143511</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76</xdr:row>
      <xdr:rowOff>149507</xdr:rowOff>
    </xdr:from>
    <xdr:to>
      <xdr:col>40</xdr:col>
      <xdr:colOff>296339</xdr:colOff>
      <xdr:row>83</xdr:row>
      <xdr:rowOff>162677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12341</xdr:rowOff>
    </xdr:from>
    <xdr:to>
      <xdr:col>2</xdr:col>
      <xdr:colOff>629770</xdr:colOff>
      <xdr:row>40</xdr:row>
      <xdr:rowOff>97067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76336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130714</xdr:rowOff>
    </xdr:from>
    <xdr:to>
      <xdr:col>18</xdr:col>
      <xdr:colOff>466165</xdr:colOff>
      <xdr:row>51</xdr:row>
      <xdr:rowOff>187961</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807257</xdr:rowOff>
    </xdr:from>
    <xdr:to>
      <xdr:col>19</xdr:col>
      <xdr:colOff>1196</xdr:colOff>
      <xdr:row>45</xdr:row>
      <xdr:rowOff>65536</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91</xdr:row>
      <xdr:rowOff>165071</xdr:rowOff>
    </xdr:from>
    <xdr:to>
      <xdr:col>40</xdr:col>
      <xdr:colOff>437533</xdr:colOff>
      <xdr:row>95</xdr:row>
      <xdr:rowOff>121594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127</xdr:row>
      <xdr:rowOff>64278</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89</xdr:row>
      <xdr:rowOff>162894</xdr:rowOff>
    </xdr:from>
    <xdr:to>
      <xdr:col>37</xdr:col>
      <xdr:colOff>68178</xdr:colOff>
      <xdr:row>91</xdr:row>
      <xdr:rowOff>103059</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89</xdr:row>
      <xdr:rowOff>162894</xdr:rowOff>
    </xdr:from>
    <xdr:to>
      <xdr:col>37</xdr:col>
      <xdr:colOff>170413</xdr:colOff>
      <xdr:row>91</xdr:row>
      <xdr:rowOff>103059</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104</xdr:row>
      <xdr:rowOff>75901</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808283</xdr:rowOff>
    </xdr:from>
    <xdr:to>
      <xdr:col>2</xdr:col>
      <xdr:colOff>629770</xdr:colOff>
      <xdr:row>45</xdr:row>
      <xdr:rowOff>9844</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219888</xdr:rowOff>
    </xdr:from>
    <xdr:to>
      <xdr:col>18</xdr:col>
      <xdr:colOff>456005</xdr:colOff>
      <xdr:row>71</xdr:row>
      <xdr:rowOff>55076</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23</xdr:row>
      <xdr:rowOff>69795</xdr:rowOff>
    </xdr:from>
    <xdr:to>
      <xdr:col>2</xdr:col>
      <xdr:colOff>629770</xdr:colOff>
      <xdr:row>26</xdr:row>
      <xdr:rowOff>152620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36534</xdr:rowOff>
    </xdr:from>
    <xdr:to>
      <xdr:col>2</xdr:col>
      <xdr:colOff>629770</xdr:colOff>
      <xdr:row>28</xdr:row>
      <xdr:rowOff>161521</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49</xdr:row>
      <xdr:rowOff>169528</xdr:rowOff>
    </xdr:from>
    <xdr:to>
      <xdr:col>2</xdr:col>
      <xdr:colOff>629770</xdr:colOff>
      <xdr:row>54</xdr:row>
      <xdr:rowOff>112921</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51</xdr:row>
      <xdr:rowOff>145896</xdr:rowOff>
    </xdr:from>
    <xdr:to>
      <xdr:col>19</xdr:col>
      <xdr:colOff>18976</xdr:colOff>
      <xdr:row>56</xdr:row>
      <xdr:rowOff>10459</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93</xdr:row>
      <xdr:rowOff>64</xdr:rowOff>
    </xdr:from>
    <xdr:to>
      <xdr:col>40</xdr:col>
      <xdr:colOff>437533</xdr:colOff>
      <xdr:row>96</xdr:row>
      <xdr:rowOff>104177</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129</xdr:row>
      <xdr:rowOff>64497</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90</xdr:row>
      <xdr:rowOff>102263</xdr:rowOff>
    </xdr:from>
    <xdr:to>
      <xdr:col>37</xdr:col>
      <xdr:colOff>75163</xdr:colOff>
      <xdr:row>92</xdr:row>
      <xdr:rowOff>57356</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90</xdr:row>
      <xdr:rowOff>102263</xdr:rowOff>
    </xdr:from>
    <xdr:to>
      <xdr:col>37</xdr:col>
      <xdr:colOff>170413</xdr:colOff>
      <xdr:row>92</xdr:row>
      <xdr:rowOff>57356</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105</xdr:row>
      <xdr:rowOff>101893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38862</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47</xdr:row>
      <xdr:rowOff>136297</xdr:rowOff>
    </xdr:from>
    <xdr:to>
      <xdr:col>2</xdr:col>
      <xdr:colOff>636120</xdr:colOff>
      <xdr:row>52</xdr:row>
      <xdr:rowOff>131213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53</xdr:row>
      <xdr:rowOff>82616</xdr:rowOff>
    </xdr:from>
    <xdr:to>
      <xdr:col>19</xdr:col>
      <xdr:colOff>10086</xdr:colOff>
      <xdr:row>57</xdr:row>
      <xdr:rowOff>116758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80</xdr:row>
      <xdr:rowOff>164781</xdr:rowOff>
    </xdr:from>
    <xdr:to>
      <xdr:col>40</xdr:col>
      <xdr:colOff>437533</xdr:colOff>
      <xdr:row>85</xdr:row>
      <xdr:rowOff>96850</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113</xdr:row>
      <xdr:rowOff>164742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79</xdr:row>
      <xdr:rowOff>55590</xdr:rowOff>
    </xdr:from>
    <xdr:to>
      <xdr:col>37</xdr:col>
      <xdr:colOff>75163</xdr:colOff>
      <xdr:row>81</xdr:row>
      <xdr:rowOff>75865</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79</xdr:row>
      <xdr:rowOff>55590</xdr:rowOff>
    </xdr:from>
    <xdr:to>
      <xdr:col>37</xdr:col>
      <xdr:colOff>170413</xdr:colOff>
      <xdr:row>81</xdr:row>
      <xdr:rowOff>75865</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91</xdr:row>
      <xdr:rowOff>103993</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40916</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103286</xdr:rowOff>
    </xdr:from>
    <xdr:to>
      <xdr:col>40</xdr:col>
      <xdr:colOff>437533</xdr:colOff>
      <xdr:row>69</xdr:row>
      <xdr:rowOff>162860</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92</xdr:row>
      <xdr:rowOff>121420</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69</xdr:row>
      <xdr:rowOff>50571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96391</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70</xdr:row>
      <xdr:rowOff>16446</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49306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49306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905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74932</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10442</xdr:rowOff>
    </xdr:from>
    <xdr:to>
      <xdr:col>2</xdr:col>
      <xdr:colOff>629770</xdr:colOff>
      <xdr:row>33</xdr:row>
      <xdr:rowOff>94759</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160012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27248</xdr:rowOff>
    </xdr:from>
    <xdr:to>
      <xdr:col>18</xdr:col>
      <xdr:colOff>428065</xdr:colOff>
      <xdr:row>55</xdr:row>
      <xdr:rowOff>229656</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29</xdr:row>
      <xdr:rowOff>85441</xdr:rowOff>
    </xdr:from>
    <xdr:to>
      <xdr:col>2</xdr:col>
      <xdr:colOff>496420</xdr:colOff>
      <xdr:row>33</xdr:row>
      <xdr:rowOff>59834</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31</xdr:row>
      <xdr:rowOff>169750</xdr:rowOff>
    </xdr:from>
    <xdr:to>
      <xdr:col>21</xdr:col>
      <xdr:colOff>492498</xdr:colOff>
      <xdr:row>35</xdr:row>
      <xdr:rowOff>74072</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326598</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294848</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636120</xdr:colOff>
      <xdr:row>32</xdr:row>
      <xdr:rowOff>144859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104629</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34</xdr:row>
      <xdr:rowOff>84347</xdr:rowOff>
    </xdr:from>
    <xdr:to>
      <xdr:col>24</xdr:col>
      <xdr:colOff>473449</xdr:colOff>
      <xdr:row>36</xdr:row>
      <xdr:rowOff>68092</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32</xdr:row>
      <xdr:rowOff>30797</xdr:rowOff>
    </xdr:from>
    <xdr:to>
      <xdr:col>2</xdr:col>
      <xdr:colOff>639295</xdr:colOff>
      <xdr:row>35</xdr:row>
      <xdr:rowOff>67862</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2</xdr:col>
      <xdr:colOff>629770</xdr:colOff>
      <xdr:row>33</xdr:row>
      <xdr:rowOff>164087</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27011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75535</xdr:rowOff>
    </xdr:from>
    <xdr:to>
      <xdr:col>2</xdr:col>
      <xdr:colOff>629770</xdr:colOff>
      <xdr:row>42</xdr:row>
      <xdr:rowOff>611381</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74003</xdr:rowOff>
    </xdr:from>
    <xdr:to>
      <xdr:col>2</xdr:col>
      <xdr:colOff>629770</xdr:colOff>
      <xdr:row>35</xdr:row>
      <xdr:rowOff>296571</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45</xdr:row>
      <xdr:rowOff>193332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95672</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230261</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95758</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50565</xdr:rowOff>
    </xdr:from>
    <xdr:to>
      <xdr:col>6</xdr:col>
      <xdr:colOff>69476</xdr:colOff>
      <xdr:row>60</xdr:row>
      <xdr:rowOff>142585</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51</xdr:row>
      <xdr:rowOff>187637</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132271</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39363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35</xdr:row>
      <xdr:rowOff>304984</xdr:rowOff>
    </xdr:from>
    <xdr:to>
      <xdr:col>7</xdr:col>
      <xdr:colOff>304800</xdr:colOff>
      <xdr:row>57</xdr:row>
      <xdr:rowOff>154582</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160000</xdr:rowOff>
    </xdr:from>
    <xdr:to>
      <xdr:col>7</xdr:col>
      <xdr:colOff>152400</xdr:colOff>
      <xdr:row>40</xdr:row>
      <xdr:rowOff>150200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22</xdr:row>
      <xdr:rowOff>11150</xdr:rowOff>
    </xdr:from>
    <xdr:to>
      <xdr:col>38</xdr:col>
      <xdr:colOff>438232</xdr:colOff>
      <xdr:row>42</xdr:row>
      <xdr:rowOff>65458</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46</xdr:row>
      <xdr:rowOff>114460</xdr:rowOff>
    </xdr:from>
    <xdr:to>
      <xdr:col>7</xdr:col>
      <xdr:colOff>304800</xdr:colOff>
      <xdr:row>73</xdr:row>
      <xdr:rowOff>30376</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884247</xdr:rowOff>
    </xdr:from>
    <xdr:to>
      <xdr:col>7</xdr:col>
      <xdr:colOff>304800</xdr:colOff>
      <xdr:row>66</xdr:row>
      <xdr:rowOff>141290</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18783</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205" name="Text Box 173" hidden="1">
          <a:extLst>
            <a:ext uri="{FF2B5EF4-FFF2-40B4-BE49-F238E27FC236}">
              <a16:creationId xmlns:a16="http://schemas.microsoft.com/office/drawing/2014/main" id="{A907051F-BF11-4B27-4909-6D258BCB0619}"/>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20464</xdr:rowOff>
    </xdr:to>
    <xdr:sp macro="" textlink="">
      <xdr:nvSpPr>
        <xdr:cNvPr id="428204" name="Text Box 172" hidden="1">
          <a:extLst>
            <a:ext uri="{FF2B5EF4-FFF2-40B4-BE49-F238E27FC236}">
              <a16:creationId xmlns:a16="http://schemas.microsoft.com/office/drawing/2014/main" id="{D6523FF1-99CE-955A-9C89-2E956B0D05CC}"/>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203" name="Text Box 171" hidden="1">
          <a:extLst>
            <a:ext uri="{FF2B5EF4-FFF2-40B4-BE49-F238E27FC236}">
              <a16:creationId xmlns:a16="http://schemas.microsoft.com/office/drawing/2014/main" id="{6891337E-C364-A76B-B803-C9ABCE1CD288}"/>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202" name="Text Box 170" hidden="1">
          <a:extLst>
            <a:ext uri="{FF2B5EF4-FFF2-40B4-BE49-F238E27FC236}">
              <a16:creationId xmlns:a16="http://schemas.microsoft.com/office/drawing/2014/main" id="{E42276F6-634F-CBF1-608C-28F1A5B83240}"/>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201" name="Text Box 169" hidden="1">
          <a:extLst>
            <a:ext uri="{FF2B5EF4-FFF2-40B4-BE49-F238E27FC236}">
              <a16:creationId xmlns:a16="http://schemas.microsoft.com/office/drawing/2014/main" id="{23B59369-00A8-6760-7358-EF324D28FA2E}"/>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200" name="Text Box 168" hidden="1">
          <a:extLst>
            <a:ext uri="{FF2B5EF4-FFF2-40B4-BE49-F238E27FC236}">
              <a16:creationId xmlns:a16="http://schemas.microsoft.com/office/drawing/2014/main" id="{152CF58B-A68D-404E-CA72-34E2B3ABBF0D}"/>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199" name="Text Box 167" hidden="1">
          <a:extLst>
            <a:ext uri="{FF2B5EF4-FFF2-40B4-BE49-F238E27FC236}">
              <a16:creationId xmlns:a16="http://schemas.microsoft.com/office/drawing/2014/main" id="{0F852949-571B-6529-031D-C5003D55A7FF}"/>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8" name="Text Box 166" hidden="1">
          <a:extLst>
            <a:ext uri="{FF2B5EF4-FFF2-40B4-BE49-F238E27FC236}">
              <a16:creationId xmlns:a16="http://schemas.microsoft.com/office/drawing/2014/main" id="{F94D07DC-1748-3A95-C6C1-E9750080F8AF}"/>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25</xdr:row>
      <xdr:rowOff>228600</xdr:rowOff>
    </xdr:from>
    <xdr:to>
      <xdr:col>7</xdr:col>
      <xdr:colOff>247650</xdr:colOff>
      <xdr:row>45</xdr:row>
      <xdr:rowOff>82550</xdr:rowOff>
    </xdr:to>
    <xdr:sp macro="" textlink="">
      <xdr:nvSpPr>
        <xdr:cNvPr id="428213" name="Text Box 181" hidden="1">
          <a:extLst>
            <a:ext uri="{FF2B5EF4-FFF2-40B4-BE49-F238E27FC236}">
              <a16:creationId xmlns:a16="http://schemas.microsoft.com/office/drawing/2014/main" id="{A05688AC-94C1-A434-8358-B9362CAD3999}"/>
            </a:ext>
          </a:extLst>
        </xdr:cNvPr>
        <xdr:cNvSpPr txBox="1">
          <a:spLocks noChangeArrowheads="1"/>
        </xdr:cNvSpPr>
      </xdr:nvSpPr>
      <xdr:spPr bwMode="auto">
        <a:xfrm>
          <a:off x="5753100" y="5822950"/>
          <a:ext cx="4203700" cy="515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18</xdr:row>
      <xdr:rowOff>390525</xdr:rowOff>
    </xdr:from>
    <xdr:to>
      <xdr:col>7</xdr:col>
      <xdr:colOff>152400</xdr:colOff>
      <xdr:row>42</xdr:row>
      <xdr:rowOff>457200</xdr:rowOff>
    </xdr:to>
    <xdr:sp macro="" textlink="">
      <xdr:nvSpPr>
        <xdr:cNvPr id="428212" name="Text Box 180" hidden="1">
          <a:extLst>
            <a:ext uri="{FF2B5EF4-FFF2-40B4-BE49-F238E27FC236}">
              <a16:creationId xmlns:a16="http://schemas.microsoft.com/office/drawing/2014/main" id="{8AD995BD-2B7A-4DAD-A3CD-AADB42819316}"/>
            </a:ext>
          </a:extLst>
        </xdr:cNvPr>
        <xdr:cNvSpPr txBox="1">
          <a:spLocks noChangeArrowheads="1"/>
        </xdr:cNvSpPr>
      </xdr:nvSpPr>
      <xdr:spPr bwMode="auto">
        <a:xfrm>
          <a:off x="5772150" y="4451350"/>
          <a:ext cx="4089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xdr:row>
      <xdr:rowOff>0</xdr:rowOff>
    </xdr:from>
    <xdr:to>
      <xdr:col>7</xdr:col>
      <xdr:colOff>133350</xdr:colOff>
      <xdr:row>23</xdr:row>
      <xdr:rowOff>66675</xdr:rowOff>
    </xdr:to>
    <xdr:sp macro="" textlink="">
      <xdr:nvSpPr>
        <xdr:cNvPr id="428211" name="Text Box 179" hidden="1">
          <a:extLst>
            <a:ext uri="{FF2B5EF4-FFF2-40B4-BE49-F238E27FC236}">
              <a16:creationId xmlns:a16="http://schemas.microsoft.com/office/drawing/2014/main" id="{1F770D51-D918-9639-2EBD-3DDA75E149FB}"/>
            </a:ext>
          </a:extLst>
        </xdr:cNvPr>
        <xdr:cNvSpPr txBox="1">
          <a:spLocks noChangeArrowheads="1"/>
        </xdr:cNvSpPr>
      </xdr:nvSpPr>
      <xdr:spPr bwMode="auto">
        <a:xfrm>
          <a:off x="5753100" y="546100"/>
          <a:ext cx="4089400" cy="472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682625</xdr:rowOff>
    </xdr:from>
    <xdr:to>
      <xdr:col>7</xdr:col>
      <xdr:colOff>266700</xdr:colOff>
      <xdr:row>60</xdr:row>
      <xdr:rowOff>28575</xdr:rowOff>
    </xdr:to>
    <xdr:sp macro="" textlink="">
      <xdr:nvSpPr>
        <xdr:cNvPr id="428209" name="Text Box 177" hidden="1">
          <a:extLst>
            <a:ext uri="{FF2B5EF4-FFF2-40B4-BE49-F238E27FC236}">
              <a16:creationId xmlns:a16="http://schemas.microsoft.com/office/drawing/2014/main" id="{F523DE9A-C578-DBBD-CA42-528502B422B3}"/>
            </a:ext>
          </a:extLst>
        </xdr:cNvPr>
        <xdr:cNvSpPr txBox="1">
          <a:spLocks noChangeArrowheads="1"/>
        </xdr:cNvSpPr>
      </xdr:nvSpPr>
      <xdr:spPr bwMode="auto">
        <a:xfrm>
          <a:off x="5753100" y="10045700"/>
          <a:ext cx="42227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34</xdr:row>
      <xdr:rowOff>349250</xdr:rowOff>
    </xdr:from>
    <xdr:to>
      <xdr:col>7</xdr:col>
      <xdr:colOff>266700</xdr:colOff>
      <xdr:row>49</xdr:row>
      <xdr:rowOff>53975</xdr:rowOff>
    </xdr:to>
    <xdr:sp macro="" textlink="">
      <xdr:nvSpPr>
        <xdr:cNvPr id="428208" name="Text Box 176" hidden="1">
          <a:extLst>
            <a:ext uri="{FF2B5EF4-FFF2-40B4-BE49-F238E27FC236}">
              <a16:creationId xmlns:a16="http://schemas.microsoft.com/office/drawing/2014/main" id="{057C3516-E294-8071-A778-9F7264BD69AC}"/>
            </a:ext>
          </a:extLst>
        </xdr:cNvPr>
        <xdr:cNvSpPr txBox="1">
          <a:spLocks noChangeArrowheads="1"/>
        </xdr:cNvSpPr>
      </xdr:nvSpPr>
      <xdr:spPr bwMode="auto">
        <a:xfrm>
          <a:off x="5753100" y="7677150"/>
          <a:ext cx="42227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749300</xdr:rowOff>
    </xdr:from>
    <xdr:to>
      <xdr:col>7</xdr:col>
      <xdr:colOff>152400</xdr:colOff>
      <xdr:row>60</xdr:row>
      <xdr:rowOff>273050</xdr:rowOff>
    </xdr:to>
    <xdr:sp macro="" textlink="">
      <xdr:nvSpPr>
        <xdr:cNvPr id="428206" name="Text Box 174" hidden="1">
          <a:extLst>
            <a:ext uri="{FF2B5EF4-FFF2-40B4-BE49-F238E27FC236}">
              <a16:creationId xmlns:a16="http://schemas.microsoft.com/office/drawing/2014/main" id="{7798B7B7-CAA1-7809-2968-8EEB3E6A5F72}"/>
            </a:ext>
          </a:extLst>
        </xdr:cNvPr>
        <xdr:cNvSpPr txBox="1">
          <a:spLocks noChangeArrowheads="1"/>
        </xdr:cNvSpPr>
      </xdr:nvSpPr>
      <xdr:spPr bwMode="auto">
        <a:xfrm>
          <a:off x="5753100" y="10109200"/>
          <a:ext cx="4108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342900</xdr:colOff>
      <xdr:row>8</xdr:row>
      <xdr:rowOff>163512</xdr:rowOff>
    </xdr:from>
    <xdr:to>
      <xdr:col>16</xdr:col>
      <xdr:colOff>609600</xdr:colOff>
      <xdr:row>24</xdr:row>
      <xdr:rowOff>58737</xdr:rowOff>
    </xdr:to>
    <xdr:graphicFrame macro="">
      <xdr:nvGraphicFramePr>
        <xdr:cNvPr id="2" name="Chart 3">
          <a:extLst>
            <a:ext uri="{FF2B5EF4-FFF2-40B4-BE49-F238E27FC236}">
              <a16:creationId xmlns:a16="http://schemas.microsoft.com/office/drawing/2014/main" id="{3F82F213-CA86-41E8-B899-E87CB675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86902</xdr:colOff>
      <xdr:row>25</xdr:row>
      <xdr:rowOff>163720</xdr:rowOff>
    </xdr:from>
    <xdr:to>
      <xdr:col>18</xdr:col>
      <xdr:colOff>48802</xdr:colOff>
      <xdr:row>30</xdr:row>
      <xdr:rowOff>6902</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125002</xdr:colOff>
      <xdr:row>58</xdr:row>
      <xdr:rowOff>134265</xdr:rowOff>
    </xdr:from>
    <xdr:to>
      <xdr:col>18</xdr:col>
      <xdr:colOff>86902</xdr:colOff>
      <xdr:row>63</xdr:row>
      <xdr:rowOff>46907</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159003</xdr:rowOff>
    </xdr:from>
    <xdr:to>
      <xdr:col>20</xdr:col>
      <xdr:colOff>238667</xdr:colOff>
      <xdr:row>59</xdr:row>
      <xdr:rowOff>136170</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88817</xdr:rowOff>
    </xdr:from>
    <xdr:to>
      <xdr:col>20</xdr:col>
      <xdr:colOff>238667</xdr:colOff>
      <xdr:row>21</xdr:row>
      <xdr:rowOff>58338</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136170</xdr:rowOff>
    </xdr:from>
    <xdr:to>
      <xdr:col>20</xdr:col>
      <xdr:colOff>238667</xdr:colOff>
      <xdr:row>59</xdr:row>
      <xdr:rowOff>134265</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58337</xdr:rowOff>
    </xdr:from>
    <xdr:to>
      <xdr:col>20</xdr:col>
      <xdr:colOff>238667</xdr:colOff>
      <xdr:row>21</xdr:row>
      <xdr:rowOff>45003</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208187</xdr:colOff>
      <xdr:row>59</xdr:row>
      <xdr:rowOff>134265</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208187</xdr:colOff>
      <xdr:row>21</xdr:row>
      <xdr:rowOff>45003</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134537</xdr:rowOff>
    </xdr:from>
    <xdr:to>
      <xdr:col>21</xdr:col>
      <xdr:colOff>208188</xdr:colOff>
      <xdr:row>46</xdr:row>
      <xdr:rowOff>48398</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180025</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179208</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164990</xdr:rowOff>
    </xdr:from>
    <xdr:to>
      <xdr:col>20</xdr:col>
      <xdr:colOff>231047</xdr:colOff>
      <xdr:row>60</xdr:row>
      <xdr:rowOff>121202</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164989</xdr:rowOff>
    </xdr:from>
    <xdr:to>
      <xdr:col>20</xdr:col>
      <xdr:colOff>231047</xdr:colOff>
      <xdr:row>63</xdr:row>
      <xdr:rowOff>121202</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164989</xdr:rowOff>
    </xdr:from>
    <xdr:to>
      <xdr:col>18</xdr:col>
      <xdr:colOff>231047</xdr:colOff>
      <xdr:row>66</xdr:row>
      <xdr:rowOff>125648</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231048</xdr:colOff>
      <xdr:row>91</xdr:row>
      <xdr:rowOff>107504</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140253</xdr:rowOff>
    </xdr:from>
    <xdr:to>
      <xdr:col>20</xdr:col>
      <xdr:colOff>220252</xdr:colOff>
      <xdr:row>60</xdr:row>
      <xdr:rowOff>121202</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140252</xdr:rowOff>
    </xdr:from>
    <xdr:to>
      <xdr:col>20</xdr:col>
      <xdr:colOff>220252</xdr:colOff>
      <xdr:row>63</xdr:row>
      <xdr:rowOff>121202</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140252</xdr:rowOff>
    </xdr:from>
    <xdr:to>
      <xdr:col>18</xdr:col>
      <xdr:colOff>220252</xdr:colOff>
      <xdr:row>66</xdr:row>
      <xdr:rowOff>102153</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220253</xdr:colOff>
      <xdr:row>91</xdr:row>
      <xdr:rowOff>84009</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64052</xdr:rowOff>
    </xdr:from>
    <xdr:to>
      <xdr:col>23</xdr:col>
      <xdr:colOff>86902</xdr:colOff>
      <xdr:row>22</xdr:row>
      <xdr:rowOff>121202</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92" name="Text Box 36" hidden="1">
          <a:extLst>
            <a:ext uri="{FF2B5EF4-FFF2-40B4-BE49-F238E27FC236}">
              <a16:creationId xmlns:a16="http://schemas.microsoft.com/office/drawing/2014/main" id="{DB28E182-A18E-4F4B-6380-E86BB5E3CD8E}"/>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91" name="Text Box 35" hidden="1">
          <a:extLst>
            <a:ext uri="{FF2B5EF4-FFF2-40B4-BE49-F238E27FC236}">
              <a16:creationId xmlns:a16="http://schemas.microsoft.com/office/drawing/2014/main" id="{54694F59-B4F1-1C0A-0194-C9273B149A6B}"/>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90" name="Text Box 34" hidden="1">
          <a:extLst>
            <a:ext uri="{FF2B5EF4-FFF2-40B4-BE49-F238E27FC236}">
              <a16:creationId xmlns:a16="http://schemas.microsoft.com/office/drawing/2014/main" id="{A641463A-E9D0-B0CB-85E3-FEE68C715AEE}"/>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9" name="Text Box 33" hidden="1">
          <a:extLst>
            <a:ext uri="{FF2B5EF4-FFF2-40B4-BE49-F238E27FC236}">
              <a16:creationId xmlns:a16="http://schemas.microsoft.com/office/drawing/2014/main" id="{31F0647E-2BB6-7B7A-2787-7615160C7FD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88" name="Text Box 32" hidden="1">
          <a:extLst>
            <a:ext uri="{FF2B5EF4-FFF2-40B4-BE49-F238E27FC236}">
              <a16:creationId xmlns:a16="http://schemas.microsoft.com/office/drawing/2014/main" id="{2C9EA23D-C5DC-35F7-AC42-C306FE394FA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87" name="Text Box 31" hidden="1">
          <a:extLst>
            <a:ext uri="{FF2B5EF4-FFF2-40B4-BE49-F238E27FC236}">
              <a16:creationId xmlns:a16="http://schemas.microsoft.com/office/drawing/2014/main" id="{45F6620B-3F74-46FE-010D-4C963936F63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86" name="Text Box 30" hidden="1">
          <a:extLst>
            <a:ext uri="{FF2B5EF4-FFF2-40B4-BE49-F238E27FC236}">
              <a16:creationId xmlns:a16="http://schemas.microsoft.com/office/drawing/2014/main" id="{AEF7AE30-7962-FE97-9D21-EF5D6A74349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85" name="Text Box 29" hidden="1">
          <a:extLst>
            <a:ext uri="{FF2B5EF4-FFF2-40B4-BE49-F238E27FC236}">
              <a16:creationId xmlns:a16="http://schemas.microsoft.com/office/drawing/2014/main" id="{AF3DD3EC-E541-0C57-1FBD-85304A8D6F3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84" name="Text Box 28" hidden="1">
          <a:extLst>
            <a:ext uri="{FF2B5EF4-FFF2-40B4-BE49-F238E27FC236}">
              <a16:creationId xmlns:a16="http://schemas.microsoft.com/office/drawing/2014/main" id="{B6714367-D522-73F2-3CBF-9E1F5492EC0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30089" name="Text Box 9" hidden="1">
          <a:extLst>
            <a:ext uri="{FF2B5EF4-FFF2-40B4-BE49-F238E27FC236}">
              <a16:creationId xmlns:a16="http://schemas.microsoft.com/office/drawing/2014/main" id="{F3D7B693-C736-48CD-F84A-23EE3DD0373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30088" name="Text Box 8" hidden="1">
          <a:extLst>
            <a:ext uri="{FF2B5EF4-FFF2-40B4-BE49-F238E27FC236}">
              <a16:creationId xmlns:a16="http://schemas.microsoft.com/office/drawing/2014/main" id="{029B47AB-6F2E-8F3E-EABE-A0AD971C9D71}"/>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30087" name="Text Box 7" hidden="1">
          <a:extLst>
            <a:ext uri="{FF2B5EF4-FFF2-40B4-BE49-F238E27FC236}">
              <a16:creationId xmlns:a16="http://schemas.microsoft.com/office/drawing/2014/main" id="{FD52C0FA-D91E-6742-D43B-913503DD9222}"/>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30086" name="Text Box 6" hidden="1">
          <a:extLst>
            <a:ext uri="{FF2B5EF4-FFF2-40B4-BE49-F238E27FC236}">
              <a16:creationId xmlns:a16="http://schemas.microsoft.com/office/drawing/2014/main" id="{AAFFD6EE-22DA-7EB5-97DA-D134119AFA7A}"/>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30085" name="Text Box 5" hidden="1">
          <a:extLst>
            <a:ext uri="{FF2B5EF4-FFF2-40B4-BE49-F238E27FC236}">
              <a16:creationId xmlns:a16="http://schemas.microsoft.com/office/drawing/2014/main" id="{E360C3A4-FEBC-76DE-C22C-595E640ADB34}"/>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30084" name="Text Box 4" hidden="1">
          <a:extLst>
            <a:ext uri="{FF2B5EF4-FFF2-40B4-BE49-F238E27FC236}">
              <a16:creationId xmlns:a16="http://schemas.microsoft.com/office/drawing/2014/main" id="{F5167A70-C376-144B-D251-8E6EDFD7C55D}"/>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30083" name="Text Box 3" hidden="1">
          <a:extLst>
            <a:ext uri="{FF2B5EF4-FFF2-40B4-BE49-F238E27FC236}">
              <a16:creationId xmlns:a16="http://schemas.microsoft.com/office/drawing/2014/main" id="{0568EFFF-ED1D-3AE9-C498-86D556BB9564}"/>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30082" name="Text Box 2" hidden="1">
          <a:extLst>
            <a:ext uri="{FF2B5EF4-FFF2-40B4-BE49-F238E27FC236}">
              <a16:creationId xmlns:a16="http://schemas.microsoft.com/office/drawing/2014/main" id="{DFD4A6E1-2F38-151B-7AE5-ED08365D904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30081" name="Text Box 1" hidden="1">
          <a:extLst>
            <a:ext uri="{FF2B5EF4-FFF2-40B4-BE49-F238E27FC236}">
              <a16:creationId xmlns:a16="http://schemas.microsoft.com/office/drawing/2014/main" id="{F42976E7-5841-C80B-6E4D-6F820A8B0A0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1742984</xdr:colOff>
      <xdr:row>27</xdr:row>
      <xdr:rowOff>105359</xdr:rowOff>
    </xdr:from>
    <xdr:to>
      <xdr:col>3</xdr:col>
      <xdr:colOff>161562</xdr:colOff>
      <xdr:row>30</xdr:row>
      <xdr:rowOff>162692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27</xdr:row>
      <xdr:rowOff>105359</xdr:rowOff>
    </xdr:from>
    <xdr:to>
      <xdr:col>3</xdr:col>
      <xdr:colOff>161562</xdr:colOff>
      <xdr:row>30</xdr:row>
      <xdr:rowOff>162692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40623</xdr:rowOff>
    </xdr:from>
    <xdr:to>
      <xdr:col>3</xdr:col>
      <xdr:colOff>438150</xdr:colOff>
      <xdr:row>30</xdr:row>
      <xdr:rowOff>93212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18743</xdr:rowOff>
    </xdr:from>
    <xdr:to>
      <xdr:col>3</xdr:col>
      <xdr:colOff>438150</xdr:colOff>
      <xdr:row>30</xdr:row>
      <xdr:rowOff>93212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28755</xdr:rowOff>
    </xdr:from>
    <xdr:to>
      <xdr:col>3</xdr:col>
      <xdr:colOff>438150</xdr:colOff>
      <xdr:row>45</xdr:row>
      <xdr:rowOff>48684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28755</xdr:rowOff>
    </xdr:from>
    <xdr:to>
      <xdr:col>3</xdr:col>
      <xdr:colOff>438150</xdr:colOff>
      <xdr:row>45</xdr:row>
      <xdr:rowOff>48684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59237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35</xdr:row>
      <xdr:rowOff>918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32</xdr:row>
      <xdr:rowOff>173404</xdr:rowOff>
    </xdr:from>
    <xdr:to>
      <xdr:col>3</xdr:col>
      <xdr:colOff>285750</xdr:colOff>
      <xdr:row>35</xdr:row>
      <xdr:rowOff>182346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16597</xdr:rowOff>
    </xdr:from>
    <xdr:to>
      <xdr:col>3</xdr:col>
      <xdr:colOff>438150</xdr:colOff>
      <xdr:row>34</xdr:row>
      <xdr:rowOff>216818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22031</xdr:rowOff>
    </xdr:from>
    <xdr:to>
      <xdr:col>3</xdr:col>
      <xdr:colOff>438150</xdr:colOff>
      <xdr:row>34</xdr:row>
      <xdr:rowOff>216818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25</xdr:row>
      <xdr:rowOff>151182</xdr:rowOff>
    </xdr:from>
    <xdr:to>
      <xdr:col>22</xdr:col>
      <xdr:colOff>454025</xdr:colOff>
      <xdr:row>29</xdr:row>
      <xdr:rowOff>201341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43</xdr:row>
      <xdr:rowOff>162971</xdr:rowOff>
    </xdr:from>
    <xdr:to>
      <xdr:col>22</xdr:col>
      <xdr:colOff>454025</xdr:colOff>
      <xdr:row>47</xdr:row>
      <xdr:rowOff>152519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216818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216818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34</xdr:row>
      <xdr:rowOff>216818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609600</xdr:colOff>
      <xdr:row>43</xdr:row>
      <xdr:rowOff>162971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48</xdr:row>
      <xdr:rowOff>115019</xdr:rowOff>
    </xdr:from>
    <xdr:to>
      <xdr:col>23</xdr:col>
      <xdr:colOff>606425</xdr:colOff>
      <xdr:row>51</xdr:row>
      <xdr:rowOff>68884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46</xdr:row>
      <xdr:rowOff>122327</xdr:rowOff>
    </xdr:from>
    <xdr:to>
      <xdr:col>24</xdr:col>
      <xdr:colOff>473075</xdr:colOff>
      <xdr:row>51</xdr:row>
      <xdr:rowOff>142523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39</xdr:row>
      <xdr:rowOff>74654</xdr:rowOff>
    </xdr:from>
    <xdr:to>
      <xdr:col>3</xdr:col>
      <xdr:colOff>323850</xdr:colOff>
      <xdr:row>42</xdr:row>
      <xdr:rowOff>131952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44</xdr:row>
      <xdr:rowOff>121137</xdr:rowOff>
    </xdr:from>
    <xdr:to>
      <xdr:col>9</xdr:col>
      <xdr:colOff>47625</xdr:colOff>
      <xdr:row>48</xdr:row>
      <xdr:rowOff>134069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44</xdr:row>
      <xdr:rowOff>121137</xdr:rowOff>
    </xdr:from>
    <xdr:to>
      <xdr:col>10</xdr:col>
      <xdr:colOff>44450</xdr:colOff>
      <xdr:row>48</xdr:row>
      <xdr:rowOff>134069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62</xdr:row>
      <xdr:rowOff>132231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66677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54</xdr:row>
      <xdr:rowOff>46592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123033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37</xdr:row>
      <xdr:rowOff>76200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37</xdr:row>
      <xdr:rowOff>76200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20</xdr:row>
      <xdr:rowOff>0</xdr:rowOff>
    </xdr:from>
    <xdr:to>
      <xdr:col>6</xdr:col>
      <xdr:colOff>390525</xdr:colOff>
      <xdr:row>41</xdr:row>
      <xdr:rowOff>73025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21</xdr:row>
      <xdr:rowOff>57150</xdr:rowOff>
    </xdr:from>
    <xdr:to>
      <xdr:col>6</xdr:col>
      <xdr:colOff>390525</xdr:colOff>
      <xdr:row>41</xdr:row>
      <xdr:rowOff>177800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33</xdr:row>
      <xdr:rowOff>793</xdr:rowOff>
    </xdr:from>
    <xdr:to>
      <xdr:col>27</xdr:col>
      <xdr:colOff>714375</xdr:colOff>
      <xdr:row>53</xdr:row>
      <xdr:rowOff>106363</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33</xdr:row>
      <xdr:rowOff>793</xdr:rowOff>
    </xdr:from>
    <xdr:to>
      <xdr:col>45</xdr:col>
      <xdr:colOff>323850</xdr:colOff>
      <xdr:row>53</xdr:row>
      <xdr:rowOff>106363</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33</xdr:row>
      <xdr:rowOff>220662</xdr:rowOff>
    </xdr:from>
    <xdr:to>
      <xdr:col>26</xdr:col>
      <xdr:colOff>447675</xdr:colOff>
      <xdr:row>54</xdr:row>
      <xdr:rowOff>120650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73025</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73025</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101600</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101600</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149225</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101600</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42</xdr:col>
      <xdr:colOff>323850</xdr:colOff>
      <xdr:row>34</xdr:row>
      <xdr:rowOff>133350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73025</xdr:rowOff>
    </xdr:to>
    <xdr:sp macro="" textlink="">
      <xdr:nvSpPr>
        <xdr:cNvPr id="430108" name="Text Box 28" hidden="1">
          <a:extLst>
            <a:ext uri="{FF2B5EF4-FFF2-40B4-BE49-F238E27FC236}">
              <a16:creationId xmlns:a16="http://schemas.microsoft.com/office/drawing/2014/main" id="{24CA372C-A0D7-EB38-0D0B-45FA326781B2}"/>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73025</xdr:rowOff>
    </xdr:to>
    <xdr:sp macro="" textlink="">
      <xdr:nvSpPr>
        <xdr:cNvPr id="430107" name="Text Box 27" hidden="1">
          <a:extLst>
            <a:ext uri="{FF2B5EF4-FFF2-40B4-BE49-F238E27FC236}">
              <a16:creationId xmlns:a16="http://schemas.microsoft.com/office/drawing/2014/main" id="{E0F0C6A0-87EF-BF2C-173F-158882D6F533}"/>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101600</xdr:rowOff>
    </xdr:to>
    <xdr:sp macro="" textlink="">
      <xdr:nvSpPr>
        <xdr:cNvPr id="430106" name="Text Box 26" hidden="1">
          <a:extLst>
            <a:ext uri="{FF2B5EF4-FFF2-40B4-BE49-F238E27FC236}">
              <a16:creationId xmlns:a16="http://schemas.microsoft.com/office/drawing/2014/main" id="{2F278E34-7012-D263-724F-3D128AF37B8E}"/>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101600</xdr:rowOff>
    </xdr:to>
    <xdr:sp macro="" textlink="">
      <xdr:nvSpPr>
        <xdr:cNvPr id="430105" name="Text Box 25" hidden="1">
          <a:extLst>
            <a:ext uri="{FF2B5EF4-FFF2-40B4-BE49-F238E27FC236}">
              <a16:creationId xmlns:a16="http://schemas.microsoft.com/office/drawing/2014/main" id="{BF6D41E1-CB99-28AD-2C70-53E298115CE1}"/>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104" name="Text Box 24" hidden="1">
          <a:extLst>
            <a:ext uri="{FF2B5EF4-FFF2-40B4-BE49-F238E27FC236}">
              <a16:creationId xmlns:a16="http://schemas.microsoft.com/office/drawing/2014/main" id="{E35177F6-8075-4136-5486-3689E56A7362}"/>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149225</xdr:rowOff>
    </xdr:to>
    <xdr:sp macro="" textlink="">
      <xdr:nvSpPr>
        <xdr:cNvPr id="430103" name="Text Box 23" hidden="1">
          <a:extLst>
            <a:ext uri="{FF2B5EF4-FFF2-40B4-BE49-F238E27FC236}">
              <a16:creationId xmlns:a16="http://schemas.microsoft.com/office/drawing/2014/main" id="{0388498D-C09D-D952-81CC-0467FB5EAEBC}"/>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101600</xdr:rowOff>
    </xdr:to>
    <xdr:sp macro="" textlink="">
      <xdr:nvSpPr>
        <xdr:cNvPr id="430102" name="Text Box 22" hidden="1">
          <a:extLst>
            <a:ext uri="{FF2B5EF4-FFF2-40B4-BE49-F238E27FC236}">
              <a16:creationId xmlns:a16="http://schemas.microsoft.com/office/drawing/2014/main" id="{9412C413-4544-859F-B592-A94FFEC05000}"/>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46</xdr:col>
      <xdr:colOff>323850</xdr:colOff>
      <xdr:row>51</xdr:row>
      <xdr:rowOff>123825</xdr:rowOff>
    </xdr:to>
    <xdr:sp macro="" textlink="">
      <xdr:nvSpPr>
        <xdr:cNvPr id="430101" name="Text Box 21" hidden="1">
          <a:extLst>
            <a:ext uri="{FF2B5EF4-FFF2-40B4-BE49-F238E27FC236}">
              <a16:creationId xmlns:a16="http://schemas.microsoft.com/office/drawing/2014/main" id="{03BF8D86-9BAE-CB7A-4DB5-0726C66F963E}"/>
            </a:ext>
          </a:extLst>
        </xdr:cNvPr>
        <xdr:cNvSpPr txBox="1">
          <a:spLocks noChangeArrowheads="1"/>
        </xdr:cNvSpPr>
      </xdr:nvSpPr>
      <xdr:spPr bwMode="auto">
        <a:xfrm>
          <a:off x="29933900" y="7277100"/>
          <a:ext cx="43624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133350</xdr:rowOff>
    </xdr:from>
    <xdr:to>
      <xdr:col>27</xdr:col>
      <xdr:colOff>152400</xdr:colOff>
      <xdr:row>37</xdr:row>
      <xdr:rowOff>228600</xdr:rowOff>
    </xdr:to>
    <xdr:sp macro="" textlink="">
      <xdr:nvSpPr>
        <xdr:cNvPr id="431111" name="Text Box 7" hidden="1">
          <a:extLst>
            <a:ext uri="{FF2B5EF4-FFF2-40B4-BE49-F238E27FC236}">
              <a16:creationId xmlns:a16="http://schemas.microsoft.com/office/drawing/2014/main" id="{0B8FCF1A-BFDA-F588-26F9-FEB59F3F967D}"/>
            </a:ext>
          </a:extLst>
        </xdr:cNvPr>
        <xdr:cNvSpPr txBox="1">
          <a:spLocks noChangeArrowheads="1"/>
        </xdr:cNvSpPr>
      </xdr:nvSpPr>
      <xdr:spPr bwMode="auto">
        <a:xfrm>
          <a:off x="16236950" y="3879850"/>
          <a:ext cx="32639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133350</xdr:rowOff>
    </xdr:from>
    <xdr:to>
      <xdr:col>28</xdr:col>
      <xdr:colOff>152400</xdr:colOff>
      <xdr:row>37</xdr:row>
      <xdr:rowOff>228600</xdr:rowOff>
    </xdr:to>
    <xdr:sp macro="" textlink="">
      <xdr:nvSpPr>
        <xdr:cNvPr id="431110" name="Text Box 6" hidden="1">
          <a:extLst>
            <a:ext uri="{FF2B5EF4-FFF2-40B4-BE49-F238E27FC236}">
              <a16:creationId xmlns:a16="http://schemas.microsoft.com/office/drawing/2014/main" id="{A64C5437-8117-18B4-77B7-D92867F3F4FF}"/>
            </a:ext>
          </a:extLst>
        </xdr:cNvPr>
        <xdr:cNvSpPr txBox="1">
          <a:spLocks noChangeArrowheads="1"/>
        </xdr:cNvSpPr>
      </xdr:nvSpPr>
      <xdr:spPr bwMode="auto">
        <a:xfrm>
          <a:off x="16878300" y="3879850"/>
          <a:ext cx="35306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34</xdr:row>
      <xdr:rowOff>219075</xdr:rowOff>
    </xdr:from>
    <xdr:to>
      <xdr:col>28</xdr:col>
      <xdr:colOff>133350</xdr:colOff>
      <xdr:row>55</xdr:row>
      <xdr:rowOff>161925</xdr:rowOff>
    </xdr:to>
    <xdr:sp macro="" textlink="">
      <xdr:nvSpPr>
        <xdr:cNvPr id="431109" name="Text Box 5" hidden="1">
          <a:extLst>
            <a:ext uri="{FF2B5EF4-FFF2-40B4-BE49-F238E27FC236}">
              <a16:creationId xmlns:a16="http://schemas.microsoft.com/office/drawing/2014/main" id="{46382B0E-C2F6-E3B9-9BF0-4B0E82B81144}"/>
            </a:ext>
          </a:extLst>
        </xdr:cNvPr>
        <xdr:cNvSpPr txBox="1">
          <a:spLocks noChangeArrowheads="1"/>
        </xdr:cNvSpPr>
      </xdr:nvSpPr>
      <xdr:spPr bwMode="auto">
        <a:xfrm>
          <a:off x="16878300" y="8147050"/>
          <a:ext cx="35115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34</xdr:row>
      <xdr:rowOff>219075</xdr:rowOff>
    </xdr:from>
    <xdr:to>
      <xdr:col>45</xdr:col>
      <xdr:colOff>647700</xdr:colOff>
      <xdr:row>55</xdr:row>
      <xdr:rowOff>161925</xdr:rowOff>
    </xdr:to>
    <xdr:sp macro="" textlink="">
      <xdr:nvSpPr>
        <xdr:cNvPr id="431108" name="Text Box 4" hidden="1">
          <a:extLst>
            <a:ext uri="{FF2B5EF4-FFF2-40B4-BE49-F238E27FC236}">
              <a16:creationId xmlns:a16="http://schemas.microsoft.com/office/drawing/2014/main" id="{8D052A6E-6085-7897-F28D-CE0B259ACD47}"/>
            </a:ext>
          </a:extLst>
        </xdr:cNvPr>
        <xdr:cNvSpPr txBox="1">
          <a:spLocks noChangeArrowheads="1"/>
        </xdr:cNvSpPr>
      </xdr:nvSpPr>
      <xdr:spPr bwMode="auto">
        <a:xfrm>
          <a:off x="29495750" y="8147050"/>
          <a:ext cx="4362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35</xdr:row>
      <xdr:rowOff>209550</xdr:rowOff>
    </xdr:from>
    <xdr:to>
      <xdr:col>27</xdr:col>
      <xdr:colOff>133350</xdr:colOff>
      <xdr:row>57</xdr:row>
      <xdr:rowOff>292100</xdr:rowOff>
    </xdr:to>
    <xdr:sp macro="" textlink="">
      <xdr:nvSpPr>
        <xdr:cNvPr id="431107" name="Text Box 3" hidden="1">
          <a:extLst>
            <a:ext uri="{FF2B5EF4-FFF2-40B4-BE49-F238E27FC236}">
              <a16:creationId xmlns:a16="http://schemas.microsoft.com/office/drawing/2014/main" id="{ED918B1B-17B5-F9B2-AB1E-9F3F2B7BE6AF}"/>
            </a:ext>
          </a:extLst>
        </xdr:cNvPr>
        <xdr:cNvSpPr txBox="1">
          <a:spLocks noChangeArrowheads="1"/>
        </xdr:cNvSpPr>
      </xdr:nvSpPr>
      <xdr:spPr bwMode="auto">
        <a:xfrm>
          <a:off x="16236950" y="8375650"/>
          <a:ext cx="324485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23</xdr:row>
      <xdr:rowOff>34925</xdr:rowOff>
    </xdr:from>
    <xdr:to>
      <xdr:col>7</xdr:col>
      <xdr:colOff>0</xdr:colOff>
      <xdr:row>44</xdr:row>
      <xdr:rowOff>6350</xdr:rowOff>
    </xdr:to>
    <xdr:sp macro="" textlink="">
      <xdr:nvSpPr>
        <xdr:cNvPr id="431106" name="Text Box 2" hidden="1">
          <a:extLst>
            <a:ext uri="{FF2B5EF4-FFF2-40B4-BE49-F238E27FC236}">
              <a16:creationId xmlns:a16="http://schemas.microsoft.com/office/drawing/2014/main" id="{859A0572-CFDB-7D22-1AB6-91B9E3910787}"/>
            </a:ext>
          </a:extLst>
        </xdr:cNvPr>
        <xdr:cNvSpPr txBox="1">
          <a:spLocks noChangeArrowheads="1"/>
        </xdr:cNvSpPr>
      </xdr:nvSpPr>
      <xdr:spPr bwMode="auto">
        <a:xfrm>
          <a:off x="3403600" y="5410200"/>
          <a:ext cx="35306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36</xdr:row>
      <xdr:rowOff>47625</xdr:rowOff>
    </xdr:from>
    <xdr:to>
      <xdr:col>46</xdr:col>
      <xdr:colOff>647700</xdr:colOff>
      <xdr:row>57</xdr:row>
      <xdr:rowOff>292100</xdr:rowOff>
    </xdr:to>
    <xdr:sp macro="" textlink="">
      <xdr:nvSpPr>
        <xdr:cNvPr id="431105" name="Text Box 1" hidden="1">
          <a:extLst>
            <a:ext uri="{FF2B5EF4-FFF2-40B4-BE49-F238E27FC236}">
              <a16:creationId xmlns:a16="http://schemas.microsoft.com/office/drawing/2014/main" id="{38381C2C-3720-9212-DDF3-52FAE36D4905}"/>
            </a:ext>
          </a:extLst>
        </xdr:cNvPr>
        <xdr:cNvSpPr txBox="1">
          <a:spLocks noChangeArrowheads="1"/>
        </xdr:cNvSpPr>
      </xdr:nvSpPr>
      <xdr:spPr bwMode="auto">
        <a:xfrm>
          <a:off x="30257750" y="8451850"/>
          <a:ext cx="436245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6" name="Text Box 12" hidden="1">
          <a:extLst>
            <a:ext uri="{FF2B5EF4-FFF2-40B4-BE49-F238E27FC236}">
              <a16:creationId xmlns:a16="http://schemas.microsoft.com/office/drawing/2014/main" id="{ADE81D1F-47C4-9029-0216-B3A719E3CDA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5" name="Text Box 11" hidden="1">
          <a:extLst>
            <a:ext uri="{FF2B5EF4-FFF2-40B4-BE49-F238E27FC236}">
              <a16:creationId xmlns:a16="http://schemas.microsoft.com/office/drawing/2014/main" id="{1A66238E-0259-8B33-5957-3782ADCAC59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4" name="Text Box 10" hidden="1">
          <a:extLst>
            <a:ext uri="{FF2B5EF4-FFF2-40B4-BE49-F238E27FC236}">
              <a16:creationId xmlns:a16="http://schemas.microsoft.com/office/drawing/2014/main" id="{2010141F-ADB0-7BC1-3F26-8FE653DD18F2}"/>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2131" name="Text Box 3" hidden="1">
          <a:extLst>
            <a:ext uri="{FF2B5EF4-FFF2-40B4-BE49-F238E27FC236}">
              <a16:creationId xmlns:a16="http://schemas.microsoft.com/office/drawing/2014/main" id="{C2D995C0-B745-9EEF-CE9C-176E02CA1F9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2130" name="Text Box 2" hidden="1">
          <a:extLst>
            <a:ext uri="{FF2B5EF4-FFF2-40B4-BE49-F238E27FC236}">
              <a16:creationId xmlns:a16="http://schemas.microsoft.com/office/drawing/2014/main" id="{29CD8E49-C94F-9655-191C-D801435A9EB0}"/>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2129" name="Text Box 1" hidden="1">
          <a:extLst>
            <a:ext uri="{FF2B5EF4-FFF2-40B4-BE49-F238E27FC236}">
              <a16:creationId xmlns:a16="http://schemas.microsoft.com/office/drawing/2014/main" id="{3CC41C37-AAD3-586B-C348-167D3838BA24}"/>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2" name="Text Box 4" hidden="1">
          <a:extLst>
            <a:ext uri="{FF2B5EF4-FFF2-40B4-BE49-F238E27FC236}">
              <a16:creationId xmlns:a16="http://schemas.microsoft.com/office/drawing/2014/main" id="{3AE49AD5-C53F-C6FB-FA4F-360D2A01BC7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3153" name="Text Box 1" hidden="1">
          <a:extLst>
            <a:ext uri="{FF2B5EF4-FFF2-40B4-BE49-F238E27FC236}">
              <a16:creationId xmlns:a16="http://schemas.microsoft.com/office/drawing/2014/main" id="{E0B17EBF-9FA0-E478-2B84-6C21872CC8A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353382</xdr:colOff>
      <xdr:row>87</xdr:row>
      <xdr:rowOff>330629</xdr:rowOff>
    </xdr:from>
    <xdr:to>
      <xdr:col>7</xdr:col>
      <xdr:colOff>370163</xdr:colOff>
      <xdr:row>87</xdr:row>
      <xdr:rowOff>330629</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2008868</xdr:colOff>
      <xdr:row>47</xdr:row>
      <xdr:rowOff>9749</xdr:rowOff>
    </xdr:from>
    <xdr:to>
      <xdr:col>1</xdr:col>
      <xdr:colOff>3589094</xdr:colOff>
      <xdr:row>49</xdr:row>
      <xdr:rowOff>504087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87</xdr:row>
      <xdr:rowOff>330629</xdr:rowOff>
    </xdr:from>
    <xdr:to>
      <xdr:col>7</xdr:col>
      <xdr:colOff>370163</xdr:colOff>
      <xdr:row>87</xdr:row>
      <xdr:rowOff>330629</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323265</xdr:colOff>
      <xdr:row>70</xdr:row>
      <xdr:rowOff>76516</xdr:rowOff>
    </xdr:from>
    <xdr:to>
      <xdr:col>7</xdr:col>
      <xdr:colOff>349571</xdr:colOff>
      <xdr:row>70</xdr:row>
      <xdr:rowOff>76516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306812</xdr:colOff>
      <xdr:row>70</xdr:row>
      <xdr:rowOff>76516</xdr:rowOff>
    </xdr:from>
    <xdr:to>
      <xdr:col>10</xdr:col>
      <xdr:colOff>306812</xdr:colOff>
      <xdr:row>70</xdr:row>
      <xdr:rowOff>76516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3530674</xdr:colOff>
      <xdr:row>32</xdr:row>
      <xdr:rowOff>372470</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649712</xdr:colOff>
      <xdr:row>30</xdr:row>
      <xdr:rowOff>73368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649712</xdr:colOff>
      <xdr:row>28</xdr:row>
      <xdr:rowOff>225579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610184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276390</xdr:colOff>
      <xdr:row>15</xdr:row>
      <xdr:rowOff>53975</xdr:rowOff>
    </xdr:from>
    <xdr:to>
      <xdr:col>22</xdr:col>
      <xdr:colOff>96473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152554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85</xdr:row>
      <xdr:rowOff>12252</xdr:rowOff>
    </xdr:from>
    <xdr:to>
      <xdr:col>32</xdr:col>
      <xdr:colOff>0</xdr:colOff>
      <xdr:row>87</xdr:row>
      <xdr:rowOff>12563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369069</xdr:rowOff>
    </xdr:from>
    <xdr:to>
      <xdr:col>19</xdr:col>
      <xdr:colOff>742950</xdr:colOff>
      <xdr:row>65</xdr:row>
      <xdr:rowOff>104638</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369069</xdr:rowOff>
    </xdr:from>
    <xdr:to>
      <xdr:col>23</xdr:col>
      <xdr:colOff>742950</xdr:colOff>
      <xdr:row>65</xdr:row>
      <xdr:rowOff>104638</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369069</xdr:rowOff>
    </xdr:from>
    <xdr:to>
      <xdr:col>27</xdr:col>
      <xdr:colOff>742950</xdr:colOff>
      <xdr:row>65</xdr:row>
      <xdr:rowOff>104638</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154151</xdr:rowOff>
    </xdr:from>
    <xdr:to>
      <xdr:col>21</xdr:col>
      <xdr:colOff>19050</xdr:colOff>
      <xdr:row>76</xdr:row>
      <xdr:rowOff>295117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154151</xdr:rowOff>
    </xdr:from>
    <xdr:to>
      <xdr:col>25</xdr:col>
      <xdr:colOff>19050</xdr:colOff>
      <xdr:row>76</xdr:row>
      <xdr:rowOff>295117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154151</xdr:rowOff>
    </xdr:from>
    <xdr:to>
      <xdr:col>29</xdr:col>
      <xdr:colOff>19050</xdr:colOff>
      <xdr:row>76</xdr:row>
      <xdr:rowOff>295117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19</xdr:col>
      <xdr:colOff>628650</xdr:colOff>
      <xdr:row>49</xdr:row>
      <xdr:rowOff>201706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19</xdr:col>
      <xdr:colOff>628650</xdr:colOff>
      <xdr:row>48</xdr:row>
      <xdr:rowOff>11206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17462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76200</xdr:colOff>
      <xdr:row>48</xdr:row>
      <xdr:rowOff>171450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76200</xdr:colOff>
      <xdr:row>172</xdr:row>
      <xdr:rowOff>84275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81</xdr:row>
      <xdr:rowOff>58544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81</xdr:row>
      <xdr:rowOff>58544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81</xdr:row>
      <xdr:rowOff>58544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105833</xdr:colOff>
      <xdr:row>33</xdr:row>
      <xdr:rowOff>333903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46</xdr:row>
      <xdr:rowOff>21696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27</xdr:col>
      <xdr:colOff>152400</xdr:colOff>
      <xdr:row>62</xdr:row>
      <xdr:rowOff>354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5</xdr:col>
      <xdr:colOff>177800</xdr:colOff>
      <xdr:row>172</xdr:row>
      <xdr:rowOff>84275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68</xdr:row>
      <xdr:rowOff>154793</xdr:rowOff>
    </xdr:from>
    <xdr:to>
      <xdr:col>10</xdr:col>
      <xdr:colOff>323850</xdr:colOff>
      <xdr:row>87</xdr:row>
      <xdr:rowOff>325989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68</xdr:row>
      <xdr:rowOff>154793</xdr:rowOff>
    </xdr:from>
    <xdr:to>
      <xdr:col>13</xdr:col>
      <xdr:colOff>285750</xdr:colOff>
      <xdr:row>87</xdr:row>
      <xdr:rowOff>325989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6350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47</xdr:row>
      <xdr:rowOff>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47</xdr:row>
      <xdr:rowOff>158750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155</xdr:row>
      <xdr:rowOff>93801</xdr:rowOff>
    </xdr:from>
    <xdr:to>
      <xdr:col>5</xdr:col>
      <xdr:colOff>177800</xdr:colOff>
      <xdr:row>175</xdr:row>
      <xdr:rowOff>162063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64</xdr:row>
      <xdr:rowOff>45394</xdr:rowOff>
    </xdr:from>
    <xdr:to>
      <xdr:col>23</xdr:col>
      <xdr:colOff>742950</xdr:colOff>
      <xdr:row>81</xdr:row>
      <xdr:rowOff>133442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64</xdr:row>
      <xdr:rowOff>45394</xdr:rowOff>
    </xdr:from>
    <xdr:to>
      <xdr:col>27</xdr:col>
      <xdr:colOff>742950</xdr:colOff>
      <xdr:row>81</xdr:row>
      <xdr:rowOff>133442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64</xdr:row>
      <xdr:rowOff>45394</xdr:rowOff>
    </xdr:from>
    <xdr:to>
      <xdr:col>31</xdr:col>
      <xdr:colOff>742950</xdr:colOff>
      <xdr:row>81</xdr:row>
      <xdr:rowOff>133442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47</xdr:row>
      <xdr:rowOff>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325553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21</xdr:col>
      <xdr:colOff>190500</xdr:colOff>
      <xdr:row>10</xdr:row>
      <xdr:rowOff>114300</xdr:rowOff>
    </xdr:from>
    <xdr:to>
      <xdr:col>22</xdr:col>
      <xdr:colOff>752475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752475</xdr:colOff>
      <xdr:row>24</xdr:row>
      <xdr:rowOff>34925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752475</xdr:colOff>
      <xdr:row>24</xdr:row>
      <xdr:rowOff>34925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752475</xdr:colOff>
      <xdr:row>25</xdr:row>
      <xdr:rowOff>7938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752475</xdr:colOff>
      <xdr:row>25</xdr:row>
      <xdr:rowOff>295275</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752475</xdr:colOff>
      <xdr:row>27</xdr:row>
      <xdr:rowOff>84137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752475</xdr:colOff>
      <xdr:row>27</xdr:row>
      <xdr:rowOff>84137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752475</xdr:colOff>
      <xdr:row>29</xdr:row>
      <xdr:rowOff>20637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36512</xdr:rowOff>
    </xdr:from>
    <xdr:to>
      <xdr:col>2</xdr:col>
      <xdr:colOff>752475</xdr:colOff>
      <xdr:row>29</xdr:row>
      <xdr:rowOff>285750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752475</xdr:colOff>
      <xdr:row>42</xdr:row>
      <xdr:rowOff>77787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752475</xdr:colOff>
      <xdr:row>75</xdr:row>
      <xdr:rowOff>301625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35" name="Text Box 1095" hidden="1">
          <a:extLst>
            <a:ext uri="{FF2B5EF4-FFF2-40B4-BE49-F238E27FC236}">
              <a16:creationId xmlns:a16="http://schemas.microsoft.com/office/drawing/2014/main" id="{AB39A7D1-F16B-C319-EBF7-474FD32A8CD0}"/>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34" name="Text Box 1094" hidden="1">
          <a:extLst>
            <a:ext uri="{FF2B5EF4-FFF2-40B4-BE49-F238E27FC236}">
              <a16:creationId xmlns:a16="http://schemas.microsoft.com/office/drawing/2014/main" id="{EED1E748-5B62-868A-924E-F468B4673489}"/>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33" name="Text Box 1093" hidden="1">
          <a:extLst>
            <a:ext uri="{FF2B5EF4-FFF2-40B4-BE49-F238E27FC236}">
              <a16:creationId xmlns:a16="http://schemas.microsoft.com/office/drawing/2014/main" id="{00389E56-A8E7-5949-68CB-02D44BBFE93F}"/>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32" name="Text Box 1092" hidden="1">
          <a:extLst>
            <a:ext uri="{FF2B5EF4-FFF2-40B4-BE49-F238E27FC236}">
              <a16:creationId xmlns:a16="http://schemas.microsoft.com/office/drawing/2014/main" id="{49806A67-7596-365A-4A58-2810311E4E90}"/>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31" name="Text Box 1091" hidden="1">
          <a:extLst>
            <a:ext uri="{FF2B5EF4-FFF2-40B4-BE49-F238E27FC236}">
              <a16:creationId xmlns:a16="http://schemas.microsoft.com/office/drawing/2014/main" id="{77E1CD09-B628-F0CE-202A-D374EE9C6DF3}"/>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30" name="Text Box 1090" hidden="1">
          <a:extLst>
            <a:ext uri="{FF2B5EF4-FFF2-40B4-BE49-F238E27FC236}">
              <a16:creationId xmlns:a16="http://schemas.microsoft.com/office/drawing/2014/main" id="{C6466A6D-B93D-5E87-DAB5-F8E5D44D9E51}"/>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29" name="Text Box 1089" hidden="1">
          <a:extLst>
            <a:ext uri="{FF2B5EF4-FFF2-40B4-BE49-F238E27FC236}">
              <a16:creationId xmlns:a16="http://schemas.microsoft.com/office/drawing/2014/main" id="{7BF743E7-B931-D17F-C893-2352FFA0246B}"/>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28" name="Text Box 1088" hidden="1">
          <a:extLst>
            <a:ext uri="{FF2B5EF4-FFF2-40B4-BE49-F238E27FC236}">
              <a16:creationId xmlns:a16="http://schemas.microsoft.com/office/drawing/2014/main" id="{3EDD17F7-60C0-F0F3-5F54-AB1023DF6EFD}"/>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27" name="Text Box 1087" hidden="1">
          <a:extLst>
            <a:ext uri="{FF2B5EF4-FFF2-40B4-BE49-F238E27FC236}">
              <a16:creationId xmlns:a16="http://schemas.microsoft.com/office/drawing/2014/main" id="{EBCB8FBA-EC6A-EC2B-8781-89F4D6181636}"/>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26" name="Text Box 1086" hidden="1">
          <a:extLst>
            <a:ext uri="{FF2B5EF4-FFF2-40B4-BE49-F238E27FC236}">
              <a16:creationId xmlns:a16="http://schemas.microsoft.com/office/drawing/2014/main" id="{A9CB7C03-1C6C-F65E-2ED2-B92057EB858C}"/>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25" name="Text Box 1085" hidden="1">
          <a:extLst>
            <a:ext uri="{FF2B5EF4-FFF2-40B4-BE49-F238E27FC236}">
              <a16:creationId xmlns:a16="http://schemas.microsoft.com/office/drawing/2014/main" id="{FA4A9569-94B1-F015-3E75-0C6F2B5BF34B}"/>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30</xdr:row>
      <xdr:rowOff>400050</xdr:rowOff>
    </xdr:to>
    <xdr:sp macro="" textlink="">
      <xdr:nvSpPr>
        <xdr:cNvPr id="446546" name="Text Box 1106" hidden="1">
          <a:extLst>
            <a:ext uri="{FF2B5EF4-FFF2-40B4-BE49-F238E27FC236}">
              <a16:creationId xmlns:a16="http://schemas.microsoft.com/office/drawing/2014/main" id="{25E399F5-0276-654F-B8F2-9E813A195531}"/>
            </a:ext>
          </a:extLst>
        </xdr:cNvPr>
        <xdr:cNvSpPr txBox="1">
          <a:spLocks noChangeArrowheads="1"/>
        </xdr:cNvSpPr>
      </xdr:nvSpPr>
      <xdr:spPr bwMode="auto">
        <a:xfrm>
          <a:off x="21202650" y="1079500"/>
          <a:ext cx="436245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22</xdr:row>
      <xdr:rowOff>149225</xdr:rowOff>
    </xdr:from>
    <xdr:to>
      <xdr:col>37</xdr:col>
      <xdr:colOff>742950</xdr:colOff>
      <xdr:row>42</xdr:row>
      <xdr:rowOff>152400</xdr:rowOff>
    </xdr:to>
    <xdr:sp macro="" textlink="">
      <xdr:nvSpPr>
        <xdr:cNvPr id="446544" name="Text Box 1104" hidden="1">
          <a:extLst>
            <a:ext uri="{FF2B5EF4-FFF2-40B4-BE49-F238E27FC236}">
              <a16:creationId xmlns:a16="http://schemas.microsoft.com/office/drawing/2014/main" id="{66B17E83-B6F5-B899-53F6-51B1AE592B3E}"/>
            </a:ext>
          </a:extLst>
        </xdr:cNvPr>
        <xdr:cNvSpPr txBox="1">
          <a:spLocks noChangeArrowheads="1"/>
        </xdr:cNvSpPr>
      </xdr:nvSpPr>
      <xdr:spPr bwMode="auto">
        <a:xfrm>
          <a:off x="29584650" y="3632200"/>
          <a:ext cx="4362450" cy="748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34925</xdr:rowOff>
    </xdr:from>
    <xdr:to>
      <xdr:col>37</xdr:col>
      <xdr:colOff>742950</xdr:colOff>
      <xdr:row>44</xdr:row>
      <xdr:rowOff>161925</xdr:rowOff>
    </xdr:to>
    <xdr:sp macro="" textlink="">
      <xdr:nvSpPr>
        <xdr:cNvPr id="446543" name="Text Box 1103" hidden="1">
          <a:extLst>
            <a:ext uri="{FF2B5EF4-FFF2-40B4-BE49-F238E27FC236}">
              <a16:creationId xmlns:a16="http://schemas.microsoft.com/office/drawing/2014/main" id="{1C3DA80E-4EE1-C4F0-A706-3A962508E738}"/>
            </a:ext>
          </a:extLst>
        </xdr:cNvPr>
        <xdr:cNvSpPr txBox="1">
          <a:spLocks noChangeArrowheads="1"/>
        </xdr:cNvSpPr>
      </xdr:nvSpPr>
      <xdr:spPr bwMode="auto">
        <a:xfrm>
          <a:off x="29584650" y="4000500"/>
          <a:ext cx="4362450" cy="748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19050</xdr:rowOff>
    </xdr:from>
    <xdr:to>
      <xdr:col>25</xdr:col>
      <xdr:colOff>742950</xdr:colOff>
      <xdr:row>45</xdr:row>
      <xdr:rowOff>53975</xdr:rowOff>
    </xdr:to>
    <xdr:sp macro="" textlink="">
      <xdr:nvSpPr>
        <xdr:cNvPr id="446540" name="Text Box 1100" hidden="1">
          <a:extLst>
            <a:ext uri="{FF2B5EF4-FFF2-40B4-BE49-F238E27FC236}">
              <a16:creationId xmlns:a16="http://schemas.microsoft.com/office/drawing/2014/main" id="{7C165510-FE67-DA09-1295-7C04A60E05AD}"/>
            </a:ext>
          </a:extLst>
        </xdr:cNvPr>
        <xdr:cNvSpPr txBox="1">
          <a:spLocks noChangeArrowheads="1"/>
        </xdr:cNvSpPr>
      </xdr:nvSpPr>
      <xdr:spPr bwMode="auto">
        <a:xfrm>
          <a:off x="20440650" y="4260850"/>
          <a:ext cx="4362450" cy="730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30</xdr:row>
      <xdr:rowOff>149225</xdr:rowOff>
    </xdr:from>
    <xdr:to>
      <xdr:col>6</xdr:col>
      <xdr:colOff>711200</xdr:colOff>
      <xdr:row>50</xdr:row>
      <xdr:rowOff>158750</xdr:rowOff>
    </xdr:to>
    <xdr:sp macro="" textlink="">
      <xdr:nvSpPr>
        <xdr:cNvPr id="446538" name="Text Box 1098" hidden="1">
          <a:extLst>
            <a:ext uri="{FF2B5EF4-FFF2-40B4-BE49-F238E27FC236}">
              <a16:creationId xmlns:a16="http://schemas.microsoft.com/office/drawing/2014/main" id="{6A67EF16-934D-B895-DAD7-C024D294CAA0}"/>
            </a:ext>
          </a:extLst>
        </xdr:cNvPr>
        <xdr:cNvSpPr txBox="1">
          <a:spLocks noChangeArrowheads="1"/>
        </xdr:cNvSpPr>
      </xdr:nvSpPr>
      <xdr:spPr bwMode="auto">
        <a:xfrm>
          <a:off x="5829300" y="6159500"/>
          <a:ext cx="4419600" cy="682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41</xdr:row>
      <xdr:rowOff>152400</xdr:rowOff>
    </xdr:from>
    <xdr:to>
      <xdr:col>27</xdr:col>
      <xdr:colOff>742950</xdr:colOff>
      <xdr:row>61</xdr:row>
      <xdr:rowOff>44450</xdr:rowOff>
    </xdr:to>
    <xdr:sp macro="" textlink="">
      <xdr:nvSpPr>
        <xdr:cNvPr id="446537" name="Text Box 1097" hidden="1">
          <a:extLst>
            <a:ext uri="{FF2B5EF4-FFF2-40B4-BE49-F238E27FC236}">
              <a16:creationId xmlns:a16="http://schemas.microsoft.com/office/drawing/2014/main" id="{C79CA0B4-724B-AD12-8885-D763DDAA0ED2}"/>
            </a:ext>
          </a:extLst>
        </xdr:cNvPr>
        <xdr:cNvSpPr txBox="1">
          <a:spLocks noChangeArrowheads="1"/>
        </xdr:cNvSpPr>
      </xdr:nvSpPr>
      <xdr:spPr bwMode="auto">
        <a:xfrm>
          <a:off x="21964650" y="10928350"/>
          <a:ext cx="4362450" cy="497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19050</xdr:rowOff>
    </xdr:from>
    <xdr:to>
      <xdr:col>6</xdr:col>
      <xdr:colOff>711200</xdr:colOff>
      <xdr:row>98</xdr:row>
      <xdr:rowOff>114300</xdr:rowOff>
    </xdr:to>
    <xdr:sp macro="" textlink="">
      <xdr:nvSpPr>
        <xdr:cNvPr id="446536" name="Text Box 1096" hidden="1">
          <a:extLst>
            <a:ext uri="{FF2B5EF4-FFF2-40B4-BE49-F238E27FC236}">
              <a16:creationId xmlns:a16="http://schemas.microsoft.com/office/drawing/2014/main" id="{9BC49C21-1BE4-FBD3-E276-1BBF079A8E09}"/>
            </a:ext>
          </a:extLst>
        </xdr:cNvPr>
        <xdr:cNvSpPr txBox="1">
          <a:spLocks noChangeArrowheads="1"/>
        </xdr:cNvSpPr>
      </xdr:nvSpPr>
      <xdr:spPr bwMode="auto">
        <a:xfrm>
          <a:off x="5829300" y="21355050"/>
          <a:ext cx="4419600" cy="572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190500</xdr:colOff>
      <xdr:row>65</xdr:row>
      <xdr:rowOff>114300</xdr:rowOff>
    </xdr:from>
    <xdr:to>
      <xdr:col>36</xdr:col>
      <xdr:colOff>742950</xdr:colOff>
      <xdr:row>85</xdr:row>
      <xdr:rowOff>282575</xdr:rowOff>
    </xdr:to>
    <xdr:sp macro="" textlink="">
      <xdr:nvSpPr>
        <xdr:cNvPr id="446547" name="Text Box 1107" hidden="1">
          <a:extLst>
            <a:ext uri="{FF2B5EF4-FFF2-40B4-BE49-F238E27FC236}">
              <a16:creationId xmlns:a16="http://schemas.microsoft.com/office/drawing/2014/main" id="{9843636D-85F9-11B4-587B-258781A43052}"/>
            </a:ext>
          </a:extLst>
        </xdr:cNvPr>
        <xdr:cNvSpPr txBox="1">
          <a:spLocks noChangeArrowheads="1"/>
        </xdr:cNvSpPr>
      </xdr:nvSpPr>
      <xdr:spPr bwMode="auto">
        <a:xfrm>
          <a:off x="28822650" y="16967200"/>
          <a:ext cx="4362450" cy="619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25</xdr:row>
      <xdr:rowOff>400050</xdr:rowOff>
    </xdr:from>
    <xdr:to>
      <xdr:col>24</xdr:col>
      <xdr:colOff>752475</xdr:colOff>
      <xdr:row>46</xdr:row>
      <xdr:rowOff>0</xdr:rowOff>
    </xdr:to>
    <xdr:sp macro="" textlink="">
      <xdr:nvSpPr>
        <xdr:cNvPr id="446548" name="Text Box 1108" hidden="1">
          <a:extLst>
            <a:ext uri="{FF2B5EF4-FFF2-40B4-BE49-F238E27FC236}">
              <a16:creationId xmlns:a16="http://schemas.microsoft.com/office/drawing/2014/main" id="{287424DE-95A8-8D9F-9127-A4899E41EF0A}"/>
            </a:ext>
          </a:extLst>
        </xdr:cNvPr>
        <xdr:cNvSpPr txBox="1">
          <a:spLocks noChangeArrowheads="1"/>
        </xdr:cNvSpPr>
      </xdr:nvSpPr>
      <xdr:spPr bwMode="auto">
        <a:xfrm>
          <a:off x="19678650" y="4641850"/>
          <a:ext cx="4368800" cy="705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68" name="Text Box 80" hidden="1">
          <a:extLst>
            <a:ext uri="{FF2B5EF4-FFF2-40B4-BE49-F238E27FC236}">
              <a16:creationId xmlns:a16="http://schemas.microsoft.com/office/drawing/2014/main" id="{BA900AC1-9A25-6F20-F1F7-411914B37054}"/>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67" name="Text Box 79" hidden="1">
          <a:extLst>
            <a:ext uri="{FF2B5EF4-FFF2-40B4-BE49-F238E27FC236}">
              <a16:creationId xmlns:a16="http://schemas.microsoft.com/office/drawing/2014/main" id="{494B71BA-AC6A-0EA4-4F82-2D5852303244}"/>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66" name="Text Box 78" hidden="1">
          <a:extLst>
            <a:ext uri="{FF2B5EF4-FFF2-40B4-BE49-F238E27FC236}">
              <a16:creationId xmlns:a16="http://schemas.microsoft.com/office/drawing/2014/main" id="{DB03D290-2465-15BA-96F2-5C326205366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65" name="Text Box 77" hidden="1">
          <a:extLst>
            <a:ext uri="{FF2B5EF4-FFF2-40B4-BE49-F238E27FC236}">
              <a16:creationId xmlns:a16="http://schemas.microsoft.com/office/drawing/2014/main" id="{4B9A00EC-C43D-2615-A948-90C3FCD9EAA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64" name="Text Box 76" hidden="1">
          <a:extLst>
            <a:ext uri="{FF2B5EF4-FFF2-40B4-BE49-F238E27FC236}">
              <a16:creationId xmlns:a16="http://schemas.microsoft.com/office/drawing/2014/main" id="{7399F3D8-C600-F0FD-8411-16AD51A52501}"/>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63" name="Text Box 75" hidden="1">
          <a:extLst>
            <a:ext uri="{FF2B5EF4-FFF2-40B4-BE49-F238E27FC236}">
              <a16:creationId xmlns:a16="http://schemas.microsoft.com/office/drawing/2014/main" id="{A449A515-0C0A-3A81-CA17-06075B3A117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62" name="Text Box 74" hidden="1">
          <a:extLst>
            <a:ext uri="{FF2B5EF4-FFF2-40B4-BE49-F238E27FC236}">
              <a16:creationId xmlns:a16="http://schemas.microsoft.com/office/drawing/2014/main" id="{E0201F71-F574-8D0B-7308-BC7324723E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61" name="Text Box 73" hidden="1">
          <a:extLst>
            <a:ext uri="{FF2B5EF4-FFF2-40B4-BE49-F238E27FC236}">
              <a16:creationId xmlns:a16="http://schemas.microsoft.com/office/drawing/2014/main" id="{C19FEB15-8256-378E-515A-8697A50B08F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60" name="Text Box 72" hidden="1">
          <a:extLst>
            <a:ext uri="{FF2B5EF4-FFF2-40B4-BE49-F238E27FC236}">
              <a16:creationId xmlns:a16="http://schemas.microsoft.com/office/drawing/2014/main" id="{19FFC850-5359-1711-AC17-B0705E670B8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59" name="Text Box 71" hidden="1">
          <a:extLst>
            <a:ext uri="{FF2B5EF4-FFF2-40B4-BE49-F238E27FC236}">
              <a16:creationId xmlns:a16="http://schemas.microsoft.com/office/drawing/2014/main" id="{A300BE9D-22E9-3075-18DF-E299487400E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58" name="Text Box 70" hidden="1">
          <a:extLst>
            <a:ext uri="{FF2B5EF4-FFF2-40B4-BE49-F238E27FC236}">
              <a16:creationId xmlns:a16="http://schemas.microsoft.com/office/drawing/2014/main" id="{0545F6AF-EC78-FC47-06D8-A424D1B2972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57" name="Text Box 69" hidden="1">
          <a:extLst>
            <a:ext uri="{FF2B5EF4-FFF2-40B4-BE49-F238E27FC236}">
              <a16:creationId xmlns:a16="http://schemas.microsoft.com/office/drawing/2014/main" id="{84657DB3-994C-44C0-2047-7E3BEB99349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56" name="Text Box 68" hidden="1">
          <a:extLst>
            <a:ext uri="{FF2B5EF4-FFF2-40B4-BE49-F238E27FC236}">
              <a16:creationId xmlns:a16="http://schemas.microsoft.com/office/drawing/2014/main" id="{7B10DD5F-5683-EBBE-1BD9-B02BD9DB31B0}"/>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55" name="Text Box 67" hidden="1">
          <a:extLst>
            <a:ext uri="{FF2B5EF4-FFF2-40B4-BE49-F238E27FC236}">
              <a16:creationId xmlns:a16="http://schemas.microsoft.com/office/drawing/2014/main" id="{2736FE74-5258-CDB5-4E09-1FA5ED3A5040}"/>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54" name="Text Box 66" hidden="1">
          <a:extLst>
            <a:ext uri="{FF2B5EF4-FFF2-40B4-BE49-F238E27FC236}">
              <a16:creationId xmlns:a16="http://schemas.microsoft.com/office/drawing/2014/main" id="{3417ACEC-EFE3-4D2C-4837-A776171032DA}"/>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53" name="Text Box 65" hidden="1">
          <a:extLst>
            <a:ext uri="{FF2B5EF4-FFF2-40B4-BE49-F238E27FC236}">
              <a16:creationId xmlns:a16="http://schemas.microsoft.com/office/drawing/2014/main" id="{0026065C-F521-486C-E0B1-C50CCA953C7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84" name="Text Box 96" hidden="1">
          <a:extLst>
            <a:ext uri="{FF2B5EF4-FFF2-40B4-BE49-F238E27FC236}">
              <a16:creationId xmlns:a16="http://schemas.microsoft.com/office/drawing/2014/main" id="{8028CD7B-7FF9-0C01-3C6E-0CDB2A2517B5}"/>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83" name="Text Box 95" hidden="1">
          <a:extLst>
            <a:ext uri="{FF2B5EF4-FFF2-40B4-BE49-F238E27FC236}">
              <a16:creationId xmlns:a16="http://schemas.microsoft.com/office/drawing/2014/main" id="{F0F22B47-1EA0-BB21-4473-CA2E8231255A}"/>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82" name="Text Box 94" hidden="1">
          <a:extLst>
            <a:ext uri="{FF2B5EF4-FFF2-40B4-BE49-F238E27FC236}">
              <a16:creationId xmlns:a16="http://schemas.microsoft.com/office/drawing/2014/main" id="{A01701DD-E582-8CA8-2F05-E165FDD6915B}"/>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81" name="Text Box 93" hidden="1">
          <a:extLst>
            <a:ext uri="{FF2B5EF4-FFF2-40B4-BE49-F238E27FC236}">
              <a16:creationId xmlns:a16="http://schemas.microsoft.com/office/drawing/2014/main" id="{EEC243EE-CCDD-1337-0227-C170B95C516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80" name="Text Box 92" hidden="1">
          <a:extLst>
            <a:ext uri="{FF2B5EF4-FFF2-40B4-BE49-F238E27FC236}">
              <a16:creationId xmlns:a16="http://schemas.microsoft.com/office/drawing/2014/main" id="{E934CBDD-1E39-42C3-7429-B77A7A01A1E8}"/>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79" name="Text Box 91" hidden="1">
          <a:extLst>
            <a:ext uri="{FF2B5EF4-FFF2-40B4-BE49-F238E27FC236}">
              <a16:creationId xmlns:a16="http://schemas.microsoft.com/office/drawing/2014/main" id="{BE576668-6D33-BE3A-7595-402D2848E3F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78" name="Text Box 90" hidden="1">
          <a:extLst>
            <a:ext uri="{FF2B5EF4-FFF2-40B4-BE49-F238E27FC236}">
              <a16:creationId xmlns:a16="http://schemas.microsoft.com/office/drawing/2014/main" id="{F3A5FD17-6AC4-BA8A-A7E6-429C55E488A4}"/>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77" name="Text Box 89" hidden="1">
          <a:extLst>
            <a:ext uri="{FF2B5EF4-FFF2-40B4-BE49-F238E27FC236}">
              <a16:creationId xmlns:a16="http://schemas.microsoft.com/office/drawing/2014/main" id="{1FD8E37E-8F9D-0784-7B8F-58C405EB501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76" name="Text Box 88" hidden="1">
          <a:extLst>
            <a:ext uri="{FF2B5EF4-FFF2-40B4-BE49-F238E27FC236}">
              <a16:creationId xmlns:a16="http://schemas.microsoft.com/office/drawing/2014/main" id="{6A5B3C9C-FC53-1DC1-CFAF-EE0BD290B37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75" name="Text Box 87" hidden="1">
          <a:extLst>
            <a:ext uri="{FF2B5EF4-FFF2-40B4-BE49-F238E27FC236}">
              <a16:creationId xmlns:a16="http://schemas.microsoft.com/office/drawing/2014/main" id="{998A331C-F586-5E6E-95C3-86E8D96721C0}"/>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74" name="Text Box 86" hidden="1">
          <a:extLst>
            <a:ext uri="{FF2B5EF4-FFF2-40B4-BE49-F238E27FC236}">
              <a16:creationId xmlns:a16="http://schemas.microsoft.com/office/drawing/2014/main" id="{D5FD9D9F-40A1-AB6F-00DF-59D53DC97C5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73" name="Text Box 85" hidden="1">
          <a:extLst>
            <a:ext uri="{FF2B5EF4-FFF2-40B4-BE49-F238E27FC236}">
              <a16:creationId xmlns:a16="http://schemas.microsoft.com/office/drawing/2014/main" id="{62A1B16C-A762-5A87-BC2C-C197D16ADC5B}"/>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72" name="Text Box 84" hidden="1">
          <a:extLst>
            <a:ext uri="{FF2B5EF4-FFF2-40B4-BE49-F238E27FC236}">
              <a16:creationId xmlns:a16="http://schemas.microsoft.com/office/drawing/2014/main" id="{5E43F04A-2CF0-DE6B-96FE-B52AC33D076A}"/>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71" name="Text Box 83" hidden="1">
          <a:extLst>
            <a:ext uri="{FF2B5EF4-FFF2-40B4-BE49-F238E27FC236}">
              <a16:creationId xmlns:a16="http://schemas.microsoft.com/office/drawing/2014/main" id="{894A01FA-25AE-0BF4-EC35-71083B4A4351}"/>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70" name="Text Box 82" hidden="1">
          <a:extLst>
            <a:ext uri="{FF2B5EF4-FFF2-40B4-BE49-F238E27FC236}">
              <a16:creationId xmlns:a16="http://schemas.microsoft.com/office/drawing/2014/main" id="{8CDC36E1-462E-3169-51DD-3E371E08F02D}"/>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69" name="Text Box 81" hidden="1">
          <a:extLst>
            <a:ext uri="{FF2B5EF4-FFF2-40B4-BE49-F238E27FC236}">
              <a16:creationId xmlns:a16="http://schemas.microsoft.com/office/drawing/2014/main" id="{432C4494-351E-6674-BE3C-81E69902E797}"/>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76" name="Text Box 64" hidden="1">
          <a:extLst>
            <a:ext uri="{FF2B5EF4-FFF2-40B4-BE49-F238E27FC236}">
              <a16:creationId xmlns:a16="http://schemas.microsoft.com/office/drawing/2014/main" id="{8260CF4C-1676-5CDB-9BC4-34344E86B51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75" name="Text Box 63" hidden="1">
          <a:extLst>
            <a:ext uri="{FF2B5EF4-FFF2-40B4-BE49-F238E27FC236}">
              <a16:creationId xmlns:a16="http://schemas.microsoft.com/office/drawing/2014/main" id="{888DE2EF-766D-CE9D-EEA1-A39402676A75}"/>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74" name="Text Box 62" hidden="1">
          <a:extLst>
            <a:ext uri="{FF2B5EF4-FFF2-40B4-BE49-F238E27FC236}">
              <a16:creationId xmlns:a16="http://schemas.microsoft.com/office/drawing/2014/main" id="{F81E45CE-C481-EE30-D28D-AD00331B9AF0}"/>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73" name="Text Box 61" hidden="1">
          <a:extLst>
            <a:ext uri="{FF2B5EF4-FFF2-40B4-BE49-F238E27FC236}">
              <a16:creationId xmlns:a16="http://schemas.microsoft.com/office/drawing/2014/main" id="{A3BBBE2A-E252-D68D-5E9A-B5F93BAA9285}"/>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72" name="Text Box 60" hidden="1">
          <a:extLst>
            <a:ext uri="{FF2B5EF4-FFF2-40B4-BE49-F238E27FC236}">
              <a16:creationId xmlns:a16="http://schemas.microsoft.com/office/drawing/2014/main" id="{ABD54AF8-1650-3BDB-4E3C-A0D53012505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71" name="Text Box 59" hidden="1">
          <a:extLst>
            <a:ext uri="{FF2B5EF4-FFF2-40B4-BE49-F238E27FC236}">
              <a16:creationId xmlns:a16="http://schemas.microsoft.com/office/drawing/2014/main" id="{FA7A2E3C-D92C-ECB7-7675-6408A98E1BD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70" name="Text Box 58" hidden="1">
          <a:extLst>
            <a:ext uri="{FF2B5EF4-FFF2-40B4-BE49-F238E27FC236}">
              <a16:creationId xmlns:a16="http://schemas.microsoft.com/office/drawing/2014/main" id="{95ABD973-2BBA-56F2-005F-EF337BCCFC48}"/>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69" name="Text Box 57" hidden="1">
          <a:extLst>
            <a:ext uri="{FF2B5EF4-FFF2-40B4-BE49-F238E27FC236}">
              <a16:creationId xmlns:a16="http://schemas.microsoft.com/office/drawing/2014/main" id="{C5FDDD13-4330-36D9-BF42-D80A7387C026}"/>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68" name="Text Box 56" hidden="1">
          <a:extLst>
            <a:ext uri="{FF2B5EF4-FFF2-40B4-BE49-F238E27FC236}">
              <a16:creationId xmlns:a16="http://schemas.microsoft.com/office/drawing/2014/main" id="{E4756076-A73A-67F3-C314-403737ACFB33}"/>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67" name="Text Box 55" hidden="1">
          <a:extLst>
            <a:ext uri="{FF2B5EF4-FFF2-40B4-BE49-F238E27FC236}">
              <a16:creationId xmlns:a16="http://schemas.microsoft.com/office/drawing/2014/main" id="{0CEE8429-A69B-2B92-10CC-F365ACB64640}"/>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66" name="Text Box 54" hidden="1">
          <a:extLst>
            <a:ext uri="{FF2B5EF4-FFF2-40B4-BE49-F238E27FC236}">
              <a16:creationId xmlns:a16="http://schemas.microsoft.com/office/drawing/2014/main" id="{CF51AB6F-C35D-3104-CE00-34BEF323C040}"/>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65" name="Text Box 53" hidden="1">
          <a:extLst>
            <a:ext uri="{FF2B5EF4-FFF2-40B4-BE49-F238E27FC236}">
              <a16:creationId xmlns:a16="http://schemas.microsoft.com/office/drawing/2014/main" id="{AD367E09-506D-FD5B-E4B7-438FF01A63D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64" name="Text Box 52" hidden="1">
          <a:extLst>
            <a:ext uri="{FF2B5EF4-FFF2-40B4-BE49-F238E27FC236}">
              <a16:creationId xmlns:a16="http://schemas.microsoft.com/office/drawing/2014/main" id="{2D94DFA0-FA91-201A-9A34-C4D0B51DFA36}"/>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63" name="Text Box 51" hidden="1">
          <a:extLst>
            <a:ext uri="{FF2B5EF4-FFF2-40B4-BE49-F238E27FC236}">
              <a16:creationId xmlns:a16="http://schemas.microsoft.com/office/drawing/2014/main" id="{1C288B59-D81E-C402-3986-48D4D23EE1B0}"/>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62" name="Text Box 50" hidden="1">
          <a:extLst>
            <a:ext uri="{FF2B5EF4-FFF2-40B4-BE49-F238E27FC236}">
              <a16:creationId xmlns:a16="http://schemas.microsoft.com/office/drawing/2014/main" id="{A8BAE41E-46F1-E652-1243-E4261876564C}"/>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61" name="Text Box 49" hidden="1">
          <a:extLst>
            <a:ext uri="{FF2B5EF4-FFF2-40B4-BE49-F238E27FC236}">
              <a16:creationId xmlns:a16="http://schemas.microsoft.com/office/drawing/2014/main" id="{FFD147F0-08EE-9648-24E6-32B86CC77D8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92" name="Text Box 80" hidden="1">
          <a:extLst>
            <a:ext uri="{FF2B5EF4-FFF2-40B4-BE49-F238E27FC236}">
              <a16:creationId xmlns:a16="http://schemas.microsoft.com/office/drawing/2014/main" id="{68A93B6F-1BAC-91D6-496A-4EE5A4038426}"/>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91" name="Text Box 79" hidden="1">
          <a:extLst>
            <a:ext uri="{FF2B5EF4-FFF2-40B4-BE49-F238E27FC236}">
              <a16:creationId xmlns:a16="http://schemas.microsoft.com/office/drawing/2014/main" id="{A74FC52A-F457-B51E-8E97-92F6609A97A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90" name="Text Box 78" hidden="1">
          <a:extLst>
            <a:ext uri="{FF2B5EF4-FFF2-40B4-BE49-F238E27FC236}">
              <a16:creationId xmlns:a16="http://schemas.microsoft.com/office/drawing/2014/main" id="{146CBE05-D2B3-A904-17D0-B606692DAD4E}"/>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89" name="Text Box 77" hidden="1">
          <a:extLst>
            <a:ext uri="{FF2B5EF4-FFF2-40B4-BE49-F238E27FC236}">
              <a16:creationId xmlns:a16="http://schemas.microsoft.com/office/drawing/2014/main" id="{54D039B3-9157-30FD-8C30-3CC970445BD9}"/>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88" name="Text Box 76" hidden="1">
          <a:extLst>
            <a:ext uri="{FF2B5EF4-FFF2-40B4-BE49-F238E27FC236}">
              <a16:creationId xmlns:a16="http://schemas.microsoft.com/office/drawing/2014/main" id="{363C23FB-9139-7DA2-5848-B9A4D01A184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87" name="Text Box 75" hidden="1">
          <a:extLst>
            <a:ext uri="{FF2B5EF4-FFF2-40B4-BE49-F238E27FC236}">
              <a16:creationId xmlns:a16="http://schemas.microsoft.com/office/drawing/2014/main" id="{F3A68B5E-68EF-7032-1E81-B550059BA59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86" name="Text Box 74" hidden="1">
          <a:extLst>
            <a:ext uri="{FF2B5EF4-FFF2-40B4-BE49-F238E27FC236}">
              <a16:creationId xmlns:a16="http://schemas.microsoft.com/office/drawing/2014/main" id="{6DA14A67-4D48-6674-77A0-BBA969545927}"/>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85" name="Text Box 73" hidden="1">
          <a:extLst>
            <a:ext uri="{FF2B5EF4-FFF2-40B4-BE49-F238E27FC236}">
              <a16:creationId xmlns:a16="http://schemas.microsoft.com/office/drawing/2014/main" id="{906DC40A-F368-BE27-AB7C-73982876E3B4}"/>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84" name="Text Box 72" hidden="1">
          <a:extLst>
            <a:ext uri="{FF2B5EF4-FFF2-40B4-BE49-F238E27FC236}">
              <a16:creationId xmlns:a16="http://schemas.microsoft.com/office/drawing/2014/main" id="{00F05910-04BE-CD3D-5455-7DE113B9D696}"/>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83" name="Text Box 71" hidden="1">
          <a:extLst>
            <a:ext uri="{FF2B5EF4-FFF2-40B4-BE49-F238E27FC236}">
              <a16:creationId xmlns:a16="http://schemas.microsoft.com/office/drawing/2014/main" id="{EFCFA36F-C59F-B8D9-C1BE-8014AE4F0D25}"/>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82" name="Text Box 70" hidden="1">
          <a:extLst>
            <a:ext uri="{FF2B5EF4-FFF2-40B4-BE49-F238E27FC236}">
              <a16:creationId xmlns:a16="http://schemas.microsoft.com/office/drawing/2014/main" id="{983D105E-4395-AD2F-C0A9-9237CA1EB66E}"/>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81" name="Text Box 69" hidden="1">
          <a:extLst>
            <a:ext uri="{FF2B5EF4-FFF2-40B4-BE49-F238E27FC236}">
              <a16:creationId xmlns:a16="http://schemas.microsoft.com/office/drawing/2014/main" id="{057AF91B-FFD4-CCC8-4898-6695002B4B53}"/>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80" name="Text Box 68" hidden="1">
          <a:extLst>
            <a:ext uri="{FF2B5EF4-FFF2-40B4-BE49-F238E27FC236}">
              <a16:creationId xmlns:a16="http://schemas.microsoft.com/office/drawing/2014/main" id="{04D40DF4-E431-49DE-A287-F54D4F841C92}"/>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79" name="Text Box 67" hidden="1">
          <a:extLst>
            <a:ext uri="{FF2B5EF4-FFF2-40B4-BE49-F238E27FC236}">
              <a16:creationId xmlns:a16="http://schemas.microsoft.com/office/drawing/2014/main" id="{17408B19-AC4B-06CE-FF3D-A35D60969B6D}"/>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78" name="Text Box 66" hidden="1">
          <a:extLst>
            <a:ext uri="{FF2B5EF4-FFF2-40B4-BE49-F238E27FC236}">
              <a16:creationId xmlns:a16="http://schemas.microsoft.com/office/drawing/2014/main" id="{EB353F03-8B13-31D5-2D04-C5CBEA852F0D}"/>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77" name="Text Box 65" hidden="1">
          <a:extLst>
            <a:ext uri="{FF2B5EF4-FFF2-40B4-BE49-F238E27FC236}">
              <a16:creationId xmlns:a16="http://schemas.microsoft.com/office/drawing/2014/main" id="{EF213DB6-C3E1-9657-CBD3-030CEB9A41BA}"/>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8" name="Text Box 2" hidden="1">
          <a:extLst>
            <a:ext uri="{FF2B5EF4-FFF2-40B4-BE49-F238E27FC236}">
              <a16:creationId xmlns:a16="http://schemas.microsoft.com/office/drawing/2014/main" id="{4F9056D2-AAD8-8B02-1151-6121E7ABCEF7}"/>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9" name="Text Box 3" hidden="1">
          <a:extLst>
            <a:ext uri="{FF2B5EF4-FFF2-40B4-BE49-F238E27FC236}">
              <a16:creationId xmlns:a16="http://schemas.microsoft.com/office/drawing/2014/main" id="{9729D246-50E6-6763-0805-C7154108286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3</xdr:col>
      <xdr:colOff>0</xdr:colOff>
      <xdr:row>27</xdr:row>
      <xdr:rowOff>171450</xdr:rowOff>
    </xdr:to>
    <xdr:sp macro="" textlink="">
      <xdr:nvSpPr>
        <xdr:cNvPr id="506887" name="Text Box 1031" hidden="1">
          <a:extLst>
            <a:ext uri="{FF2B5EF4-FFF2-40B4-BE49-F238E27FC236}">
              <a16:creationId xmlns:a16="http://schemas.microsoft.com/office/drawing/2014/main" id="{D8836BE8-E382-5FD6-FB09-8D814A6CD787}"/>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6" name="Text Box 1030" hidden="1">
          <a:extLst>
            <a:ext uri="{FF2B5EF4-FFF2-40B4-BE49-F238E27FC236}">
              <a16:creationId xmlns:a16="http://schemas.microsoft.com/office/drawing/2014/main" id="{A5BC71CC-03F3-B5D4-1888-62B3E31D90D1}"/>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5" name="Text Box 1029" hidden="1">
          <a:extLst>
            <a:ext uri="{FF2B5EF4-FFF2-40B4-BE49-F238E27FC236}">
              <a16:creationId xmlns:a16="http://schemas.microsoft.com/office/drawing/2014/main" id="{50090FDA-B30B-529B-1294-74F364DA4248}"/>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7</xdr:col>
      <xdr:colOff>0</xdr:colOff>
      <xdr:row>27</xdr:row>
      <xdr:rowOff>171450</xdr:rowOff>
    </xdr:to>
    <xdr:sp macro="" textlink="">
      <xdr:nvSpPr>
        <xdr:cNvPr id="506890" name="Text Box 1034" hidden="1">
          <a:extLst>
            <a:ext uri="{FF2B5EF4-FFF2-40B4-BE49-F238E27FC236}">
              <a16:creationId xmlns:a16="http://schemas.microsoft.com/office/drawing/2014/main" id="{EBC35853-02B2-A814-7E21-B997261B3F85}"/>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7</xdr:col>
      <xdr:colOff>0</xdr:colOff>
      <xdr:row>20</xdr:row>
      <xdr:rowOff>57150</xdr:rowOff>
    </xdr:to>
    <xdr:sp macro="" textlink="">
      <xdr:nvSpPr>
        <xdr:cNvPr id="506889" name="Text Box 1033" hidden="1">
          <a:extLst>
            <a:ext uri="{FF2B5EF4-FFF2-40B4-BE49-F238E27FC236}">
              <a16:creationId xmlns:a16="http://schemas.microsoft.com/office/drawing/2014/main" id="{1FE9D516-C375-A8DE-8D65-D09F6138E346}"/>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3</xdr:col>
      <xdr:colOff>2277035</xdr:colOff>
      <xdr:row>85</xdr:row>
      <xdr:rowOff>88365</xdr:rowOff>
    </xdr:from>
    <xdr:to>
      <xdr:col>3</xdr:col>
      <xdr:colOff>3620247</xdr:colOff>
      <xdr:row>90</xdr:row>
      <xdr:rowOff>115756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87</xdr:row>
      <xdr:rowOff>9288</xdr:rowOff>
    </xdr:from>
    <xdr:to>
      <xdr:col>3</xdr:col>
      <xdr:colOff>3620247</xdr:colOff>
      <xdr:row>91</xdr:row>
      <xdr:rowOff>142934</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87</xdr:row>
      <xdr:rowOff>273077</xdr:rowOff>
    </xdr:from>
    <xdr:to>
      <xdr:col>3</xdr:col>
      <xdr:colOff>3620247</xdr:colOff>
      <xdr:row>92</xdr:row>
      <xdr:rowOff>68641</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88</xdr:row>
      <xdr:rowOff>77912</xdr:rowOff>
    </xdr:from>
    <xdr:to>
      <xdr:col>3</xdr:col>
      <xdr:colOff>3620247</xdr:colOff>
      <xdr:row>94</xdr:row>
      <xdr:rowOff>28051</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112</xdr:row>
      <xdr:rowOff>174190</xdr:rowOff>
    </xdr:from>
    <xdr:to>
      <xdr:col>3</xdr:col>
      <xdr:colOff>3620247</xdr:colOff>
      <xdr:row>140</xdr:row>
      <xdr:rowOff>65428</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113</xdr:row>
      <xdr:rowOff>65030</xdr:rowOff>
    </xdr:from>
    <xdr:to>
      <xdr:col>3</xdr:col>
      <xdr:colOff>3620247</xdr:colOff>
      <xdr:row>124</xdr:row>
      <xdr:rowOff>107817</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68</xdr:row>
      <xdr:rowOff>64341</xdr:rowOff>
    </xdr:from>
    <xdr:to>
      <xdr:col>3</xdr:col>
      <xdr:colOff>3620247</xdr:colOff>
      <xdr:row>85</xdr:row>
      <xdr:rowOff>116440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68</xdr:row>
      <xdr:rowOff>64341</xdr:rowOff>
    </xdr:from>
    <xdr:to>
      <xdr:col>3</xdr:col>
      <xdr:colOff>3620247</xdr:colOff>
      <xdr:row>80</xdr:row>
      <xdr:rowOff>55432</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68</xdr:row>
      <xdr:rowOff>64341</xdr:rowOff>
    </xdr:from>
    <xdr:to>
      <xdr:col>3</xdr:col>
      <xdr:colOff>3620247</xdr:colOff>
      <xdr:row>74</xdr:row>
      <xdr:rowOff>107621</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70</xdr:row>
      <xdr:rowOff>158987</xdr:rowOff>
    </xdr:from>
    <xdr:to>
      <xdr:col>3</xdr:col>
      <xdr:colOff>3620247</xdr:colOff>
      <xdr:row>74</xdr:row>
      <xdr:rowOff>30049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71</xdr:row>
      <xdr:rowOff>47147</xdr:rowOff>
    </xdr:from>
    <xdr:to>
      <xdr:col>3</xdr:col>
      <xdr:colOff>3620247</xdr:colOff>
      <xdr:row>73</xdr:row>
      <xdr:rowOff>1447</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126912</xdr:rowOff>
    </xdr:from>
    <xdr:to>
      <xdr:col>4</xdr:col>
      <xdr:colOff>459254</xdr:colOff>
      <xdr:row>122</xdr:row>
      <xdr:rowOff>25487</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26558</xdr:rowOff>
    </xdr:from>
    <xdr:to>
      <xdr:col>16</xdr:col>
      <xdr:colOff>420416</xdr:colOff>
      <xdr:row>23</xdr:row>
      <xdr:rowOff>125903</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23</xdr:row>
      <xdr:rowOff>84766</xdr:rowOff>
    </xdr:from>
    <xdr:to>
      <xdr:col>17</xdr:col>
      <xdr:colOff>484878</xdr:colOff>
      <xdr:row>27</xdr:row>
      <xdr:rowOff>86562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67</xdr:row>
      <xdr:rowOff>142759</xdr:rowOff>
    </xdr:from>
    <xdr:to>
      <xdr:col>3</xdr:col>
      <xdr:colOff>3620247</xdr:colOff>
      <xdr:row>72</xdr:row>
      <xdr:rowOff>159295</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68</xdr:row>
      <xdr:rowOff>105076</xdr:rowOff>
    </xdr:from>
    <xdr:to>
      <xdr:col>3</xdr:col>
      <xdr:colOff>3620247</xdr:colOff>
      <xdr:row>73</xdr:row>
      <xdr:rowOff>60181</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69</xdr:row>
      <xdr:rowOff>145835</xdr:rowOff>
    </xdr:from>
    <xdr:to>
      <xdr:col>3</xdr:col>
      <xdr:colOff>3620247</xdr:colOff>
      <xdr:row>74</xdr:row>
      <xdr:rowOff>124313</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70</xdr:row>
      <xdr:rowOff>145270</xdr:rowOff>
    </xdr:from>
    <xdr:to>
      <xdr:col>3</xdr:col>
      <xdr:colOff>3620247</xdr:colOff>
      <xdr:row>75</xdr:row>
      <xdr:rowOff>106404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94</xdr:row>
      <xdr:rowOff>45648</xdr:rowOff>
    </xdr:from>
    <xdr:to>
      <xdr:col>3</xdr:col>
      <xdr:colOff>3620247</xdr:colOff>
      <xdr:row>119</xdr:row>
      <xdr:rowOff>86443</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95</xdr:row>
      <xdr:rowOff>67446</xdr:rowOff>
    </xdr:from>
    <xdr:to>
      <xdr:col>3</xdr:col>
      <xdr:colOff>3620247</xdr:colOff>
      <xdr:row>105</xdr:row>
      <xdr:rowOff>139828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53</xdr:row>
      <xdr:rowOff>103297</xdr:rowOff>
    </xdr:from>
    <xdr:to>
      <xdr:col>3</xdr:col>
      <xdr:colOff>3620247</xdr:colOff>
      <xdr:row>68</xdr:row>
      <xdr:rowOff>10505</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53</xdr:row>
      <xdr:rowOff>126644</xdr:rowOff>
    </xdr:from>
    <xdr:to>
      <xdr:col>3</xdr:col>
      <xdr:colOff>3620247</xdr:colOff>
      <xdr:row>63</xdr:row>
      <xdr:rowOff>57442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53</xdr:row>
      <xdr:rowOff>126644</xdr:rowOff>
    </xdr:from>
    <xdr:to>
      <xdr:col>3</xdr:col>
      <xdr:colOff>3620247</xdr:colOff>
      <xdr:row>59</xdr:row>
      <xdr:rowOff>155373</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160948</xdr:rowOff>
    </xdr:from>
    <xdr:to>
      <xdr:col>3</xdr:col>
      <xdr:colOff>3620247</xdr:colOff>
      <xdr:row>58</xdr:row>
      <xdr:rowOff>487629</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57</xdr:row>
      <xdr:rowOff>126121</xdr:rowOff>
    </xdr:from>
    <xdr:to>
      <xdr:col>3</xdr:col>
      <xdr:colOff>3620247</xdr:colOff>
      <xdr:row>58</xdr:row>
      <xdr:rowOff>306679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158860</xdr:rowOff>
    </xdr:from>
    <xdr:to>
      <xdr:col>4</xdr:col>
      <xdr:colOff>459254</xdr:colOff>
      <xdr:row>103</xdr:row>
      <xdr:rowOff>250607</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26558</xdr:rowOff>
    </xdr:from>
    <xdr:to>
      <xdr:col>16</xdr:col>
      <xdr:colOff>420416</xdr:colOff>
      <xdr:row>23</xdr:row>
      <xdr:rowOff>125903</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23</xdr:row>
      <xdr:rowOff>46666</xdr:rowOff>
    </xdr:from>
    <xdr:to>
      <xdr:col>17</xdr:col>
      <xdr:colOff>411787</xdr:colOff>
      <xdr:row>27</xdr:row>
      <xdr:rowOff>86562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352221</xdr:rowOff>
    </xdr:from>
    <xdr:to>
      <xdr:col>3</xdr:col>
      <xdr:colOff>3620247</xdr:colOff>
      <xdr:row>93</xdr:row>
      <xdr:rowOff>84559</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30622</xdr:rowOff>
    </xdr:from>
    <xdr:to>
      <xdr:col>3</xdr:col>
      <xdr:colOff>3620247</xdr:colOff>
      <xdr:row>94</xdr:row>
      <xdr:rowOff>45798</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161774</xdr:rowOff>
    </xdr:from>
    <xdr:to>
      <xdr:col>3</xdr:col>
      <xdr:colOff>3620247</xdr:colOff>
      <xdr:row>95</xdr:row>
      <xdr:rowOff>65457</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68482</xdr:rowOff>
    </xdr:from>
    <xdr:to>
      <xdr:col>3</xdr:col>
      <xdr:colOff>3620247</xdr:colOff>
      <xdr:row>95</xdr:row>
      <xdr:rowOff>158769</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116</xdr:row>
      <xdr:rowOff>47286</xdr:rowOff>
    </xdr:from>
    <xdr:to>
      <xdr:col>3</xdr:col>
      <xdr:colOff>3620247</xdr:colOff>
      <xdr:row>131</xdr:row>
      <xdr:rowOff>64213</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239</xdr:rowOff>
    </xdr:from>
    <xdr:to>
      <xdr:col>3</xdr:col>
      <xdr:colOff>3620247</xdr:colOff>
      <xdr:row>90</xdr:row>
      <xdr:rowOff>76804</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145843</xdr:rowOff>
    </xdr:from>
    <xdr:to>
      <xdr:col>3</xdr:col>
      <xdr:colOff>3620247</xdr:colOff>
      <xdr:row>85</xdr:row>
      <xdr:rowOff>63569</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71</xdr:row>
      <xdr:rowOff>165092</xdr:rowOff>
    </xdr:from>
    <xdr:to>
      <xdr:col>3</xdr:col>
      <xdr:colOff>3620247</xdr:colOff>
      <xdr:row>79</xdr:row>
      <xdr:rowOff>111338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133776</xdr:rowOff>
    </xdr:from>
    <xdr:to>
      <xdr:col>3</xdr:col>
      <xdr:colOff>3620247</xdr:colOff>
      <xdr:row>78</xdr:row>
      <xdr:rowOff>144320</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140017</xdr:rowOff>
    </xdr:from>
    <xdr:to>
      <xdr:col>3</xdr:col>
      <xdr:colOff>3620247</xdr:colOff>
      <xdr:row>77</xdr:row>
      <xdr:rowOff>140017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116</xdr:row>
      <xdr:rowOff>47286</xdr:rowOff>
    </xdr:from>
    <xdr:to>
      <xdr:col>4</xdr:col>
      <xdr:colOff>459254</xdr:colOff>
      <xdr:row>129</xdr:row>
      <xdr:rowOff>144131</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894100</xdr:colOff>
      <xdr:row>40</xdr:row>
      <xdr:rowOff>124866</xdr:rowOff>
    </xdr:from>
    <xdr:to>
      <xdr:col>16</xdr:col>
      <xdr:colOff>534716</xdr:colOff>
      <xdr:row>45</xdr:row>
      <xdr:rowOff>27390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715692</xdr:colOff>
      <xdr:row>45</xdr:row>
      <xdr:rowOff>57</xdr:rowOff>
    </xdr:from>
    <xdr:to>
      <xdr:col>17</xdr:col>
      <xdr:colOff>564129</xdr:colOff>
      <xdr:row>49</xdr:row>
      <xdr:rowOff>44852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93863</xdr:rowOff>
    </xdr:from>
    <xdr:to>
      <xdr:col>3</xdr:col>
      <xdr:colOff>3620247</xdr:colOff>
      <xdr:row>70</xdr:row>
      <xdr:rowOff>75038</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124406</xdr:rowOff>
    </xdr:from>
    <xdr:to>
      <xdr:col>3</xdr:col>
      <xdr:colOff>3620247</xdr:colOff>
      <xdr:row>71</xdr:row>
      <xdr:rowOff>46331</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143515</xdr:rowOff>
    </xdr:from>
    <xdr:to>
      <xdr:col>3</xdr:col>
      <xdr:colOff>3620247</xdr:colOff>
      <xdr:row>71</xdr:row>
      <xdr:rowOff>122070</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84662</xdr:rowOff>
    </xdr:from>
    <xdr:to>
      <xdr:col>3</xdr:col>
      <xdr:colOff>3620247</xdr:colOff>
      <xdr:row>71</xdr:row>
      <xdr:rowOff>159378</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24</xdr:rowOff>
    </xdr:from>
    <xdr:to>
      <xdr:col>3</xdr:col>
      <xdr:colOff>3620247</xdr:colOff>
      <xdr:row>105</xdr:row>
      <xdr:rowOff>140930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114002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45063</xdr:rowOff>
    </xdr:from>
    <xdr:to>
      <xdr:col>3</xdr:col>
      <xdr:colOff>3620247</xdr:colOff>
      <xdr:row>62</xdr:row>
      <xdr:rowOff>86413</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125824</xdr:rowOff>
    </xdr:from>
    <xdr:to>
      <xdr:col>3</xdr:col>
      <xdr:colOff>3620247</xdr:colOff>
      <xdr:row>58</xdr:row>
      <xdr:rowOff>238667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58</xdr:row>
      <xdr:rowOff>200567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161062</xdr:rowOff>
    </xdr:from>
    <xdr:to>
      <xdr:col>3</xdr:col>
      <xdr:colOff>3620247</xdr:colOff>
      <xdr:row>58</xdr:row>
      <xdr:rowOff>12397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24</xdr:rowOff>
    </xdr:from>
    <xdr:to>
      <xdr:col>4</xdr:col>
      <xdr:colOff>459254</xdr:colOff>
      <xdr:row>103</xdr:row>
      <xdr:rowOff>229768</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93863</xdr:rowOff>
    </xdr:from>
    <xdr:to>
      <xdr:col>3</xdr:col>
      <xdr:colOff>3620247</xdr:colOff>
      <xdr:row>70</xdr:row>
      <xdr:rowOff>75038</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124406</xdr:rowOff>
    </xdr:from>
    <xdr:to>
      <xdr:col>3</xdr:col>
      <xdr:colOff>3620247</xdr:colOff>
      <xdr:row>71</xdr:row>
      <xdr:rowOff>46331</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143515</xdr:rowOff>
    </xdr:from>
    <xdr:to>
      <xdr:col>3</xdr:col>
      <xdr:colOff>3620247</xdr:colOff>
      <xdr:row>71</xdr:row>
      <xdr:rowOff>122070</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84662</xdr:rowOff>
    </xdr:from>
    <xdr:to>
      <xdr:col>3</xdr:col>
      <xdr:colOff>3620247</xdr:colOff>
      <xdr:row>71</xdr:row>
      <xdr:rowOff>159378</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24</xdr:rowOff>
    </xdr:from>
    <xdr:to>
      <xdr:col>3</xdr:col>
      <xdr:colOff>3620247</xdr:colOff>
      <xdr:row>105</xdr:row>
      <xdr:rowOff>140930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114002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45063</xdr:rowOff>
    </xdr:from>
    <xdr:to>
      <xdr:col>3</xdr:col>
      <xdr:colOff>3620247</xdr:colOff>
      <xdr:row>62</xdr:row>
      <xdr:rowOff>86413</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125824</xdr:rowOff>
    </xdr:from>
    <xdr:to>
      <xdr:col>3</xdr:col>
      <xdr:colOff>3620247</xdr:colOff>
      <xdr:row>58</xdr:row>
      <xdr:rowOff>238667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58</xdr:row>
      <xdr:rowOff>200567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161062</xdr:rowOff>
    </xdr:from>
    <xdr:to>
      <xdr:col>3</xdr:col>
      <xdr:colOff>3620247</xdr:colOff>
      <xdr:row>57</xdr:row>
      <xdr:rowOff>161062</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24</xdr:rowOff>
    </xdr:from>
    <xdr:to>
      <xdr:col>4</xdr:col>
      <xdr:colOff>459254</xdr:colOff>
      <xdr:row>103</xdr:row>
      <xdr:rowOff>229768</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93863</xdr:rowOff>
    </xdr:from>
    <xdr:to>
      <xdr:col>3</xdr:col>
      <xdr:colOff>3620247</xdr:colOff>
      <xdr:row>70</xdr:row>
      <xdr:rowOff>75038</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124406</xdr:rowOff>
    </xdr:from>
    <xdr:to>
      <xdr:col>3</xdr:col>
      <xdr:colOff>3620247</xdr:colOff>
      <xdr:row>71</xdr:row>
      <xdr:rowOff>46331</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143515</xdr:rowOff>
    </xdr:from>
    <xdr:to>
      <xdr:col>3</xdr:col>
      <xdr:colOff>3620247</xdr:colOff>
      <xdr:row>71</xdr:row>
      <xdr:rowOff>122070</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84662</xdr:rowOff>
    </xdr:from>
    <xdr:to>
      <xdr:col>3</xdr:col>
      <xdr:colOff>3620247</xdr:colOff>
      <xdr:row>71</xdr:row>
      <xdr:rowOff>159378</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154157</xdr:rowOff>
    </xdr:from>
    <xdr:to>
      <xdr:col>3</xdr:col>
      <xdr:colOff>3620247</xdr:colOff>
      <xdr:row>105</xdr:row>
      <xdr:rowOff>140930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114002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45063</xdr:rowOff>
    </xdr:from>
    <xdr:to>
      <xdr:col>3</xdr:col>
      <xdr:colOff>3620247</xdr:colOff>
      <xdr:row>62</xdr:row>
      <xdr:rowOff>86413</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125824</xdr:rowOff>
    </xdr:from>
    <xdr:to>
      <xdr:col>3</xdr:col>
      <xdr:colOff>3620247</xdr:colOff>
      <xdr:row>58</xdr:row>
      <xdr:rowOff>238667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58</xdr:row>
      <xdr:rowOff>200567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161062</xdr:rowOff>
    </xdr:from>
    <xdr:to>
      <xdr:col>3</xdr:col>
      <xdr:colOff>3620247</xdr:colOff>
      <xdr:row>57</xdr:row>
      <xdr:rowOff>161062</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24</xdr:rowOff>
    </xdr:from>
    <xdr:to>
      <xdr:col>4</xdr:col>
      <xdr:colOff>459254</xdr:colOff>
      <xdr:row>103</xdr:row>
      <xdr:rowOff>229768</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93863</xdr:rowOff>
    </xdr:from>
    <xdr:to>
      <xdr:col>3</xdr:col>
      <xdr:colOff>3620247</xdr:colOff>
      <xdr:row>70</xdr:row>
      <xdr:rowOff>75038</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124406</xdr:rowOff>
    </xdr:from>
    <xdr:to>
      <xdr:col>3</xdr:col>
      <xdr:colOff>3620247</xdr:colOff>
      <xdr:row>71</xdr:row>
      <xdr:rowOff>46331</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143515</xdr:rowOff>
    </xdr:from>
    <xdr:to>
      <xdr:col>3</xdr:col>
      <xdr:colOff>3620247</xdr:colOff>
      <xdr:row>71</xdr:row>
      <xdr:rowOff>122070</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84662</xdr:rowOff>
    </xdr:from>
    <xdr:to>
      <xdr:col>3</xdr:col>
      <xdr:colOff>3620247</xdr:colOff>
      <xdr:row>71</xdr:row>
      <xdr:rowOff>159378</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154157</xdr:rowOff>
    </xdr:from>
    <xdr:to>
      <xdr:col>3</xdr:col>
      <xdr:colOff>3620247</xdr:colOff>
      <xdr:row>105</xdr:row>
      <xdr:rowOff>140930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114002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45063</xdr:rowOff>
    </xdr:from>
    <xdr:to>
      <xdr:col>3</xdr:col>
      <xdr:colOff>3620247</xdr:colOff>
      <xdr:row>62</xdr:row>
      <xdr:rowOff>86413</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125824</xdr:rowOff>
    </xdr:from>
    <xdr:to>
      <xdr:col>3</xdr:col>
      <xdr:colOff>3620247</xdr:colOff>
      <xdr:row>58</xdr:row>
      <xdr:rowOff>238667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58</xdr:row>
      <xdr:rowOff>200567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161062</xdr:rowOff>
    </xdr:from>
    <xdr:to>
      <xdr:col>3</xdr:col>
      <xdr:colOff>3620247</xdr:colOff>
      <xdr:row>57</xdr:row>
      <xdr:rowOff>161062</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154157</xdr:rowOff>
    </xdr:from>
    <xdr:to>
      <xdr:col>4</xdr:col>
      <xdr:colOff>459254</xdr:colOff>
      <xdr:row>103</xdr:row>
      <xdr:rowOff>229768</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304725</xdr:colOff>
      <xdr:row>58</xdr:row>
      <xdr:rowOff>6893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304725</xdr:colOff>
      <xdr:row>58</xdr:row>
      <xdr:rowOff>231259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104627</xdr:rowOff>
    </xdr:from>
    <xdr:to>
      <xdr:col>4</xdr:col>
      <xdr:colOff>304725</xdr:colOff>
      <xdr:row>59</xdr:row>
      <xdr:rowOff>158942</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304725</xdr:colOff>
      <xdr:row>59</xdr:row>
      <xdr:rowOff>383901</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304725</xdr:colOff>
      <xdr:row>60</xdr:row>
      <xdr:rowOff>210399</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196907</xdr:rowOff>
    </xdr:from>
    <xdr:to>
      <xdr:col>4</xdr:col>
      <xdr:colOff>304725</xdr:colOff>
      <xdr:row>76</xdr:row>
      <xdr:rowOff>29453</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139704</xdr:rowOff>
    </xdr:from>
    <xdr:to>
      <xdr:col>4</xdr:col>
      <xdr:colOff>304725</xdr:colOff>
      <xdr:row>76</xdr:row>
      <xdr:rowOff>133352</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21933</xdr:rowOff>
    </xdr:from>
    <xdr:to>
      <xdr:col>4</xdr:col>
      <xdr:colOff>304725</xdr:colOff>
      <xdr:row>77</xdr:row>
      <xdr:rowOff>164992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124070</xdr:rowOff>
    </xdr:from>
    <xdr:to>
      <xdr:col>4</xdr:col>
      <xdr:colOff>304725</xdr:colOff>
      <xdr:row>78</xdr:row>
      <xdr:rowOff>144014</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27929</xdr:rowOff>
    </xdr:from>
    <xdr:to>
      <xdr:col>4</xdr:col>
      <xdr:colOff>304725</xdr:colOff>
      <xdr:row>97</xdr:row>
      <xdr:rowOff>173836</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304725</xdr:colOff>
      <xdr:row>99</xdr:row>
      <xdr:rowOff>122628</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304725</xdr:colOff>
      <xdr:row>101</xdr:row>
      <xdr:rowOff>122243</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304725</xdr:colOff>
      <xdr:row>58</xdr:row>
      <xdr:rowOff>6893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304725</xdr:colOff>
      <xdr:row>58</xdr:row>
      <xdr:rowOff>231259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104627</xdr:rowOff>
    </xdr:from>
    <xdr:to>
      <xdr:col>4</xdr:col>
      <xdr:colOff>304725</xdr:colOff>
      <xdr:row>59</xdr:row>
      <xdr:rowOff>158942</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304725</xdr:colOff>
      <xdr:row>59</xdr:row>
      <xdr:rowOff>383901</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304725</xdr:colOff>
      <xdr:row>60</xdr:row>
      <xdr:rowOff>210399</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196907</xdr:rowOff>
    </xdr:from>
    <xdr:to>
      <xdr:col>4</xdr:col>
      <xdr:colOff>304725</xdr:colOff>
      <xdr:row>76</xdr:row>
      <xdr:rowOff>29453</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139704</xdr:rowOff>
    </xdr:from>
    <xdr:to>
      <xdr:col>4</xdr:col>
      <xdr:colOff>304725</xdr:colOff>
      <xdr:row>76</xdr:row>
      <xdr:rowOff>133352</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21933</xdr:rowOff>
    </xdr:from>
    <xdr:to>
      <xdr:col>4</xdr:col>
      <xdr:colOff>304725</xdr:colOff>
      <xdr:row>77</xdr:row>
      <xdr:rowOff>164992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124070</xdr:rowOff>
    </xdr:from>
    <xdr:to>
      <xdr:col>4</xdr:col>
      <xdr:colOff>304725</xdr:colOff>
      <xdr:row>78</xdr:row>
      <xdr:rowOff>144014</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27929</xdr:rowOff>
    </xdr:from>
    <xdr:to>
      <xdr:col>4</xdr:col>
      <xdr:colOff>304725</xdr:colOff>
      <xdr:row>97</xdr:row>
      <xdr:rowOff>173836</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304725</xdr:colOff>
      <xdr:row>99</xdr:row>
      <xdr:rowOff>122628</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304725</xdr:colOff>
      <xdr:row>101</xdr:row>
      <xdr:rowOff>122243</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304725</xdr:colOff>
      <xdr:row>58</xdr:row>
      <xdr:rowOff>6893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304725</xdr:colOff>
      <xdr:row>58</xdr:row>
      <xdr:rowOff>231259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50142</xdr:rowOff>
    </xdr:from>
    <xdr:to>
      <xdr:col>4</xdr:col>
      <xdr:colOff>304725</xdr:colOff>
      <xdr:row>59</xdr:row>
      <xdr:rowOff>155070</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304725</xdr:colOff>
      <xdr:row>59</xdr:row>
      <xdr:rowOff>359190</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304725</xdr:colOff>
      <xdr:row>60</xdr:row>
      <xdr:rowOff>210399</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114467</xdr:rowOff>
    </xdr:from>
    <xdr:to>
      <xdr:col>4</xdr:col>
      <xdr:colOff>304725</xdr:colOff>
      <xdr:row>76</xdr:row>
      <xdr:rowOff>29453</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102663</xdr:rowOff>
    </xdr:from>
    <xdr:to>
      <xdr:col>4</xdr:col>
      <xdr:colOff>304725</xdr:colOff>
      <xdr:row>76</xdr:row>
      <xdr:rowOff>133352</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35748</xdr:rowOff>
    </xdr:from>
    <xdr:to>
      <xdr:col>4</xdr:col>
      <xdr:colOff>304725</xdr:colOff>
      <xdr:row>77</xdr:row>
      <xdr:rowOff>164992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85970</xdr:rowOff>
    </xdr:from>
    <xdr:to>
      <xdr:col>4</xdr:col>
      <xdr:colOff>304725</xdr:colOff>
      <xdr:row>78</xdr:row>
      <xdr:rowOff>144014</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84559</xdr:rowOff>
    </xdr:from>
    <xdr:to>
      <xdr:col>4</xdr:col>
      <xdr:colOff>304725</xdr:colOff>
      <xdr:row>97</xdr:row>
      <xdr:rowOff>173836</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304725</xdr:colOff>
      <xdr:row>99</xdr:row>
      <xdr:rowOff>122628</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304725</xdr:colOff>
      <xdr:row>101</xdr:row>
      <xdr:rowOff>122243</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276785</xdr:colOff>
      <xdr:row>58</xdr:row>
      <xdr:rowOff>6893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276785</xdr:colOff>
      <xdr:row>58</xdr:row>
      <xdr:rowOff>231259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50142</xdr:rowOff>
    </xdr:from>
    <xdr:to>
      <xdr:col>4</xdr:col>
      <xdr:colOff>276785</xdr:colOff>
      <xdr:row>59</xdr:row>
      <xdr:rowOff>155070</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276785</xdr:colOff>
      <xdr:row>59</xdr:row>
      <xdr:rowOff>359190</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276785</xdr:colOff>
      <xdr:row>60</xdr:row>
      <xdr:rowOff>210399</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114467</xdr:rowOff>
    </xdr:from>
    <xdr:to>
      <xdr:col>4</xdr:col>
      <xdr:colOff>276785</xdr:colOff>
      <xdr:row>76</xdr:row>
      <xdr:rowOff>29453</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102663</xdr:rowOff>
    </xdr:from>
    <xdr:to>
      <xdr:col>4</xdr:col>
      <xdr:colOff>276785</xdr:colOff>
      <xdr:row>76</xdr:row>
      <xdr:rowOff>133352</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35748</xdr:rowOff>
    </xdr:from>
    <xdr:to>
      <xdr:col>4</xdr:col>
      <xdr:colOff>276785</xdr:colOff>
      <xdr:row>77</xdr:row>
      <xdr:rowOff>164992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85970</xdr:rowOff>
    </xdr:from>
    <xdr:to>
      <xdr:col>4</xdr:col>
      <xdr:colOff>276785</xdr:colOff>
      <xdr:row>78</xdr:row>
      <xdr:rowOff>144014</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84559</xdr:rowOff>
    </xdr:from>
    <xdr:to>
      <xdr:col>4</xdr:col>
      <xdr:colOff>276785</xdr:colOff>
      <xdr:row>97</xdr:row>
      <xdr:rowOff>173836</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276785</xdr:colOff>
      <xdr:row>99</xdr:row>
      <xdr:rowOff>122628</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276785</xdr:colOff>
      <xdr:row>101</xdr:row>
      <xdr:rowOff>122243</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276785</xdr:colOff>
      <xdr:row>58</xdr:row>
      <xdr:rowOff>6893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276785</xdr:colOff>
      <xdr:row>58</xdr:row>
      <xdr:rowOff>231259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50142</xdr:rowOff>
    </xdr:from>
    <xdr:to>
      <xdr:col>4</xdr:col>
      <xdr:colOff>276785</xdr:colOff>
      <xdr:row>59</xdr:row>
      <xdr:rowOff>155070</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276785</xdr:colOff>
      <xdr:row>59</xdr:row>
      <xdr:rowOff>359190</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276785</xdr:colOff>
      <xdr:row>60</xdr:row>
      <xdr:rowOff>210399</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114467</xdr:rowOff>
    </xdr:from>
    <xdr:to>
      <xdr:col>4</xdr:col>
      <xdr:colOff>276785</xdr:colOff>
      <xdr:row>76</xdr:row>
      <xdr:rowOff>29453</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102663</xdr:rowOff>
    </xdr:from>
    <xdr:to>
      <xdr:col>4</xdr:col>
      <xdr:colOff>276785</xdr:colOff>
      <xdr:row>76</xdr:row>
      <xdr:rowOff>133352</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35748</xdr:rowOff>
    </xdr:from>
    <xdr:to>
      <xdr:col>4</xdr:col>
      <xdr:colOff>276785</xdr:colOff>
      <xdr:row>77</xdr:row>
      <xdr:rowOff>164992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85970</xdr:rowOff>
    </xdr:from>
    <xdr:to>
      <xdr:col>4</xdr:col>
      <xdr:colOff>276785</xdr:colOff>
      <xdr:row>78</xdr:row>
      <xdr:rowOff>144014</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84559</xdr:rowOff>
    </xdr:from>
    <xdr:to>
      <xdr:col>4</xdr:col>
      <xdr:colOff>276785</xdr:colOff>
      <xdr:row>97</xdr:row>
      <xdr:rowOff>173836</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276785</xdr:colOff>
      <xdr:row>99</xdr:row>
      <xdr:rowOff>122628</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276785</xdr:colOff>
      <xdr:row>101</xdr:row>
      <xdr:rowOff>122243</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139711</xdr:rowOff>
    </xdr:from>
    <xdr:to>
      <xdr:col>4</xdr:col>
      <xdr:colOff>459254</xdr:colOff>
      <xdr:row>103</xdr:row>
      <xdr:rowOff>187564</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12678</xdr:rowOff>
    </xdr:from>
    <xdr:to>
      <xdr:col>4</xdr:col>
      <xdr:colOff>276785</xdr:colOff>
      <xdr:row>58</xdr:row>
      <xdr:rowOff>6893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12679</xdr:rowOff>
    </xdr:from>
    <xdr:to>
      <xdr:col>4</xdr:col>
      <xdr:colOff>276785</xdr:colOff>
      <xdr:row>58</xdr:row>
      <xdr:rowOff>231259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50142</xdr:rowOff>
    </xdr:from>
    <xdr:to>
      <xdr:col>4</xdr:col>
      <xdr:colOff>276785</xdr:colOff>
      <xdr:row>59</xdr:row>
      <xdr:rowOff>155070</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44993</xdr:rowOff>
    </xdr:from>
    <xdr:to>
      <xdr:col>4</xdr:col>
      <xdr:colOff>276785</xdr:colOff>
      <xdr:row>59</xdr:row>
      <xdr:rowOff>359190</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287518</xdr:rowOff>
    </xdr:from>
    <xdr:to>
      <xdr:col>4</xdr:col>
      <xdr:colOff>276785</xdr:colOff>
      <xdr:row>60</xdr:row>
      <xdr:rowOff>210399</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114467</xdr:rowOff>
    </xdr:from>
    <xdr:to>
      <xdr:col>4</xdr:col>
      <xdr:colOff>276785</xdr:colOff>
      <xdr:row>76</xdr:row>
      <xdr:rowOff>29453</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102663</xdr:rowOff>
    </xdr:from>
    <xdr:to>
      <xdr:col>4</xdr:col>
      <xdr:colOff>276785</xdr:colOff>
      <xdr:row>76</xdr:row>
      <xdr:rowOff>133352</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35748</xdr:rowOff>
    </xdr:from>
    <xdr:to>
      <xdr:col>4</xdr:col>
      <xdr:colOff>276785</xdr:colOff>
      <xdr:row>77</xdr:row>
      <xdr:rowOff>164992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85970</xdr:rowOff>
    </xdr:from>
    <xdr:to>
      <xdr:col>4</xdr:col>
      <xdr:colOff>276785</xdr:colOff>
      <xdr:row>78</xdr:row>
      <xdr:rowOff>144014</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84559</xdr:rowOff>
    </xdr:from>
    <xdr:to>
      <xdr:col>4</xdr:col>
      <xdr:colOff>276785</xdr:colOff>
      <xdr:row>97</xdr:row>
      <xdr:rowOff>173836</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87463</xdr:rowOff>
    </xdr:from>
    <xdr:to>
      <xdr:col>4</xdr:col>
      <xdr:colOff>276785</xdr:colOff>
      <xdr:row>99</xdr:row>
      <xdr:rowOff>122628</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64799</xdr:rowOff>
    </xdr:from>
    <xdr:to>
      <xdr:col>4</xdr:col>
      <xdr:colOff>276785</xdr:colOff>
      <xdr:row>101</xdr:row>
      <xdr:rowOff>122243</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65671</xdr:rowOff>
    </xdr:from>
    <xdr:to>
      <xdr:col>4</xdr:col>
      <xdr:colOff>459254</xdr:colOff>
      <xdr:row>106</xdr:row>
      <xdr:rowOff>88549</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159533</xdr:rowOff>
    </xdr:from>
    <xdr:to>
      <xdr:col>4</xdr:col>
      <xdr:colOff>276785</xdr:colOff>
      <xdr:row>62</xdr:row>
      <xdr:rowOff>105718</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104866</xdr:rowOff>
    </xdr:from>
    <xdr:to>
      <xdr:col>4</xdr:col>
      <xdr:colOff>276785</xdr:colOff>
      <xdr:row>62</xdr:row>
      <xdr:rowOff>153930</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400131</xdr:rowOff>
    </xdr:from>
    <xdr:to>
      <xdr:col>4</xdr:col>
      <xdr:colOff>276785</xdr:colOff>
      <xdr:row>61</xdr:row>
      <xdr:rowOff>47347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227482</xdr:rowOff>
    </xdr:from>
    <xdr:to>
      <xdr:col>4</xdr:col>
      <xdr:colOff>276785</xdr:colOff>
      <xdr:row>61</xdr:row>
      <xdr:rowOff>67715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11129</xdr:rowOff>
    </xdr:from>
    <xdr:to>
      <xdr:col>4</xdr:col>
      <xdr:colOff>276785</xdr:colOff>
      <xdr:row>61</xdr:row>
      <xdr:rowOff>342630</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172088</xdr:rowOff>
    </xdr:from>
    <xdr:to>
      <xdr:col>4</xdr:col>
      <xdr:colOff>276785</xdr:colOff>
      <xdr:row>79</xdr:row>
      <xdr:rowOff>113693</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29934</xdr:rowOff>
    </xdr:from>
    <xdr:to>
      <xdr:col>4</xdr:col>
      <xdr:colOff>276785</xdr:colOff>
      <xdr:row>79</xdr:row>
      <xdr:rowOff>297423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64544</xdr:rowOff>
    </xdr:from>
    <xdr:to>
      <xdr:col>4</xdr:col>
      <xdr:colOff>276785</xdr:colOff>
      <xdr:row>80</xdr:row>
      <xdr:rowOff>40993</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103549</xdr:rowOff>
    </xdr:from>
    <xdr:to>
      <xdr:col>4</xdr:col>
      <xdr:colOff>276785</xdr:colOff>
      <xdr:row>81</xdr:row>
      <xdr:rowOff>38246</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164440</xdr:rowOff>
    </xdr:from>
    <xdr:to>
      <xdr:col>4</xdr:col>
      <xdr:colOff>276785</xdr:colOff>
      <xdr:row>101</xdr:row>
      <xdr:rowOff>143068</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143068</xdr:rowOff>
    </xdr:from>
    <xdr:to>
      <xdr:col>4</xdr:col>
      <xdr:colOff>276785</xdr:colOff>
      <xdr:row>107</xdr:row>
      <xdr:rowOff>168624</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143068</xdr:rowOff>
    </xdr:from>
    <xdr:to>
      <xdr:col>4</xdr:col>
      <xdr:colOff>276785</xdr:colOff>
      <xdr:row>106</xdr:row>
      <xdr:rowOff>193334</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25819</xdr:rowOff>
    </xdr:from>
    <xdr:to>
      <xdr:col>4</xdr:col>
      <xdr:colOff>487194</xdr:colOff>
      <xdr:row>130</xdr:row>
      <xdr:rowOff>121597</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77</xdr:row>
      <xdr:rowOff>123775</xdr:rowOff>
    </xdr:from>
    <xdr:to>
      <xdr:col>4</xdr:col>
      <xdr:colOff>276785</xdr:colOff>
      <xdr:row>90</xdr:row>
      <xdr:rowOff>900</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75</xdr:row>
      <xdr:rowOff>145053</xdr:rowOff>
    </xdr:from>
    <xdr:to>
      <xdr:col>4</xdr:col>
      <xdr:colOff>304725</xdr:colOff>
      <xdr:row>87</xdr:row>
      <xdr:rowOff>306299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79</xdr:row>
      <xdr:rowOff>201827</xdr:rowOff>
    </xdr:from>
    <xdr:to>
      <xdr:col>4</xdr:col>
      <xdr:colOff>276785</xdr:colOff>
      <xdr:row>82</xdr:row>
      <xdr:rowOff>20544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39015</xdr:rowOff>
    </xdr:from>
    <xdr:to>
      <xdr:col>4</xdr:col>
      <xdr:colOff>276785</xdr:colOff>
      <xdr:row>82</xdr:row>
      <xdr:rowOff>116252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172133</xdr:rowOff>
    </xdr:from>
    <xdr:to>
      <xdr:col>4</xdr:col>
      <xdr:colOff>276785</xdr:colOff>
      <xdr:row>83</xdr:row>
      <xdr:rowOff>65125</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145627</xdr:rowOff>
    </xdr:from>
    <xdr:to>
      <xdr:col>4</xdr:col>
      <xdr:colOff>276785</xdr:colOff>
      <xdr:row>101</xdr:row>
      <xdr:rowOff>141991</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98</xdr:row>
      <xdr:rowOff>8868</xdr:rowOff>
    </xdr:from>
    <xdr:to>
      <xdr:col>4</xdr:col>
      <xdr:colOff>276785</xdr:colOff>
      <xdr:row>102</xdr:row>
      <xdr:rowOff>122988</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99</xdr:row>
      <xdr:rowOff>12553</xdr:rowOff>
    </xdr:from>
    <xdr:to>
      <xdr:col>4</xdr:col>
      <xdr:colOff>276785</xdr:colOff>
      <xdr:row>103</xdr:row>
      <xdr:rowOff>122755</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100</xdr:row>
      <xdr:rowOff>66504</xdr:rowOff>
    </xdr:from>
    <xdr:to>
      <xdr:col>4</xdr:col>
      <xdr:colOff>276785</xdr:colOff>
      <xdr:row>104</xdr:row>
      <xdr:rowOff>46685</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123</xdr:row>
      <xdr:rowOff>174575</xdr:rowOff>
    </xdr:from>
    <xdr:to>
      <xdr:col>4</xdr:col>
      <xdr:colOff>276785</xdr:colOff>
      <xdr:row>124</xdr:row>
      <xdr:rowOff>34</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159373</xdr:rowOff>
    </xdr:from>
    <xdr:to>
      <xdr:col>4</xdr:col>
      <xdr:colOff>276785</xdr:colOff>
      <xdr:row>147</xdr:row>
      <xdr:rowOff>172592</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159373</xdr:rowOff>
    </xdr:from>
    <xdr:to>
      <xdr:col>4</xdr:col>
      <xdr:colOff>276785</xdr:colOff>
      <xdr:row>146</xdr:row>
      <xdr:rowOff>83669</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121</xdr:row>
      <xdr:rowOff>107757</xdr:rowOff>
    </xdr:from>
    <xdr:to>
      <xdr:col>4</xdr:col>
      <xdr:colOff>478304</xdr:colOff>
      <xdr:row>135</xdr:row>
      <xdr:rowOff>173833</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79</xdr:row>
      <xdr:rowOff>143753</xdr:rowOff>
    </xdr:from>
    <xdr:to>
      <xdr:col>4</xdr:col>
      <xdr:colOff>295835</xdr:colOff>
      <xdr:row>93</xdr:row>
      <xdr:rowOff>49559</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79</xdr:row>
      <xdr:rowOff>201827</xdr:rowOff>
    </xdr:from>
    <xdr:to>
      <xdr:col>4</xdr:col>
      <xdr:colOff>295835</xdr:colOff>
      <xdr:row>93</xdr:row>
      <xdr:rowOff>29474</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12193</xdr:rowOff>
    </xdr:from>
    <xdr:to>
      <xdr:col>4</xdr:col>
      <xdr:colOff>295835</xdr:colOff>
      <xdr:row>84</xdr:row>
      <xdr:rowOff>144957</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153031</xdr:rowOff>
    </xdr:from>
    <xdr:to>
      <xdr:col>4</xdr:col>
      <xdr:colOff>295835</xdr:colOff>
      <xdr:row>83</xdr:row>
      <xdr:rowOff>159923</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86</xdr:row>
      <xdr:rowOff>174575</xdr:rowOff>
    </xdr:from>
    <xdr:to>
      <xdr:col>4</xdr:col>
      <xdr:colOff>276785</xdr:colOff>
      <xdr:row>87</xdr:row>
      <xdr:rowOff>324784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102</xdr:row>
      <xdr:rowOff>84010</xdr:rowOff>
    </xdr:from>
    <xdr:to>
      <xdr:col>4</xdr:col>
      <xdr:colOff>276785</xdr:colOff>
      <xdr:row>105</xdr:row>
      <xdr:rowOff>133235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103</xdr:row>
      <xdr:rowOff>65230</xdr:rowOff>
    </xdr:from>
    <xdr:to>
      <xdr:col>4</xdr:col>
      <xdr:colOff>276785</xdr:colOff>
      <xdr:row>106</xdr:row>
      <xdr:rowOff>78873</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103</xdr:row>
      <xdr:rowOff>225585</xdr:rowOff>
    </xdr:from>
    <xdr:to>
      <xdr:col>4</xdr:col>
      <xdr:colOff>276785</xdr:colOff>
      <xdr:row>107</xdr:row>
      <xdr:rowOff>26395</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161957</xdr:rowOff>
    </xdr:from>
    <xdr:to>
      <xdr:col>4</xdr:col>
      <xdr:colOff>276785</xdr:colOff>
      <xdr:row>107</xdr:row>
      <xdr:rowOff>169657</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128</xdr:row>
      <xdr:rowOff>174113</xdr:rowOff>
    </xdr:from>
    <xdr:to>
      <xdr:col>4</xdr:col>
      <xdr:colOff>276785</xdr:colOff>
      <xdr:row>129</xdr:row>
      <xdr:rowOff>45259</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121972</xdr:rowOff>
    </xdr:from>
    <xdr:to>
      <xdr:col>4</xdr:col>
      <xdr:colOff>276785</xdr:colOff>
      <xdr:row>197</xdr:row>
      <xdr:rowOff>46162</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121972</xdr:rowOff>
    </xdr:from>
    <xdr:to>
      <xdr:col>4</xdr:col>
      <xdr:colOff>276785</xdr:colOff>
      <xdr:row>195</xdr:row>
      <xdr:rowOff>160424</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31631</xdr:rowOff>
    </xdr:from>
    <xdr:to>
      <xdr:col>4</xdr:col>
      <xdr:colOff>478304</xdr:colOff>
      <xdr:row>112</xdr:row>
      <xdr:rowOff>84392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139891</xdr:rowOff>
    </xdr:from>
    <xdr:to>
      <xdr:col>4</xdr:col>
      <xdr:colOff>295835</xdr:colOff>
      <xdr:row>70</xdr:row>
      <xdr:rowOff>159832</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200177</xdr:rowOff>
    </xdr:from>
    <xdr:to>
      <xdr:col>4</xdr:col>
      <xdr:colOff>295835</xdr:colOff>
      <xdr:row>70</xdr:row>
      <xdr:rowOff>159480</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84592</xdr:rowOff>
    </xdr:from>
    <xdr:to>
      <xdr:col>4</xdr:col>
      <xdr:colOff>295835</xdr:colOff>
      <xdr:row>65</xdr:row>
      <xdr:rowOff>2511</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21847</xdr:rowOff>
    </xdr:from>
    <xdr:to>
      <xdr:col>4</xdr:col>
      <xdr:colOff>295835</xdr:colOff>
      <xdr:row>64</xdr:row>
      <xdr:rowOff>123074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49162</xdr:rowOff>
    </xdr:from>
    <xdr:to>
      <xdr:col>4</xdr:col>
      <xdr:colOff>276785</xdr:colOff>
      <xdr:row>68</xdr:row>
      <xdr:rowOff>206588</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116849</xdr:rowOff>
    </xdr:from>
    <xdr:to>
      <xdr:col>4</xdr:col>
      <xdr:colOff>276785</xdr:colOff>
      <xdr:row>84</xdr:row>
      <xdr:rowOff>144724</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115695</xdr:rowOff>
    </xdr:from>
    <xdr:to>
      <xdr:col>4</xdr:col>
      <xdr:colOff>276785</xdr:colOff>
      <xdr:row>85</xdr:row>
      <xdr:rowOff>141132</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77569</xdr:rowOff>
    </xdr:from>
    <xdr:to>
      <xdr:col>4</xdr:col>
      <xdr:colOff>276785</xdr:colOff>
      <xdr:row>87</xdr:row>
      <xdr:rowOff>9435</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7653</xdr:rowOff>
    </xdr:from>
    <xdr:to>
      <xdr:col>4</xdr:col>
      <xdr:colOff>276785</xdr:colOff>
      <xdr:row>87</xdr:row>
      <xdr:rowOff>140735</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107</xdr:row>
      <xdr:rowOff>88125</xdr:rowOff>
    </xdr:from>
    <xdr:to>
      <xdr:col>4</xdr:col>
      <xdr:colOff>276785</xdr:colOff>
      <xdr:row>107</xdr:row>
      <xdr:rowOff>116578</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31322</xdr:rowOff>
    </xdr:from>
    <xdr:to>
      <xdr:col>4</xdr:col>
      <xdr:colOff>276785</xdr:colOff>
      <xdr:row>130</xdr:row>
      <xdr:rowOff>174276</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31322</xdr:rowOff>
    </xdr:from>
    <xdr:to>
      <xdr:col>4</xdr:col>
      <xdr:colOff>276785</xdr:colOff>
      <xdr:row>129</xdr:row>
      <xdr:rowOff>172567</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63860</xdr:rowOff>
    </xdr:from>
    <xdr:to>
      <xdr:col>4</xdr:col>
      <xdr:colOff>459254</xdr:colOff>
      <xdr:row>105</xdr:row>
      <xdr:rowOff>1124</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381219</xdr:rowOff>
    </xdr:from>
    <xdr:to>
      <xdr:col>4</xdr:col>
      <xdr:colOff>276785</xdr:colOff>
      <xdr:row>62</xdr:row>
      <xdr:rowOff>106076</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117131</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323885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77781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123232</xdr:rowOff>
    </xdr:from>
    <xdr:to>
      <xdr:col>4</xdr:col>
      <xdr:colOff>276785</xdr:colOff>
      <xdr:row>103</xdr:row>
      <xdr:rowOff>174231</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54306</xdr:rowOff>
    </xdr:from>
    <xdr:to>
      <xdr:col>4</xdr:col>
      <xdr:colOff>276785</xdr:colOff>
      <xdr:row>130</xdr:row>
      <xdr:rowOff>63777</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54306</xdr:rowOff>
    </xdr:from>
    <xdr:to>
      <xdr:col>4</xdr:col>
      <xdr:colOff>276785</xdr:colOff>
      <xdr:row>130</xdr:row>
      <xdr:rowOff>63777</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63860</xdr:rowOff>
    </xdr:from>
    <xdr:to>
      <xdr:col>4</xdr:col>
      <xdr:colOff>459254</xdr:colOff>
      <xdr:row>105</xdr:row>
      <xdr:rowOff>1124</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84422</xdr:rowOff>
    </xdr:from>
    <xdr:to>
      <xdr:col>4</xdr:col>
      <xdr:colOff>276785</xdr:colOff>
      <xdr:row>103</xdr:row>
      <xdr:rowOff>143328</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12321</xdr:rowOff>
    </xdr:from>
    <xdr:to>
      <xdr:col>4</xdr:col>
      <xdr:colOff>276785</xdr:colOff>
      <xdr:row>130</xdr:row>
      <xdr:rowOff>63777</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12321</xdr:rowOff>
    </xdr:from>
    <xdr:to>
      <xdr:col>4</xdr:col>
      <xdr:colOff>276785</xdr:colOff>
      <xdr:row>130</xdr:row>
      <xdr:rowOff>63777</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63860</xdr:rowOff>
    </xdr:from>
    <xdr:to>
      <xdr:col>4</xdr:col>
      <xdr:colOff>459254</xdr:colOff>
      <xdr:row>105</xdr:row>
      <xdr:rowOff>1124</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84422</xdr:rowOff>
    </xdr:from>
    <xdr:to>
      <xdr:col>4</xdr:col>
      <xdr:colOff>276785</xdr:colOff>
      <xdr:row>103</xdr:row>
      <xdr:rowOff>143328</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12321</xdr:rowOff>
    </xdr:from>
    <xdr:to>
      <xdr:col>4</xdr:col>
      <xdr:colOff>276785</xdr:colOff>
      <xdr:row>130</xdr:row>
      <xdr:rowOff>63777</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12321</xdr:rowOff>
    </xdr:from>
    <xdr:to>
      <xdr:col>4</xdr:col>
      <xdr:colOff>276785</xdr:colOff>
      <xdr:row>130</xdr:row>
      <xdr:rowOff>63777</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46233</xdr:rowOff>
    </xdr:from>
    <xdr:to>
      <xdr:col>4</xdr:col>
      <xdr:colOff>459254</xdr:colOff>
      <xdr:row>204</xdr:row>
      <xdr:rowOff>173627</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82969</xdr:rowOff>
    </xdr:from>
    <xdr:to>
      <xdr:col>4</xdr:col>
      <xdr:colOff>276785</xdr:colOff>
      <xdr:row>202</xdr:row>
      <xdr:rowOff>107816</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142972</xdr:rowOff>
    </xdr:from>
    <xdr:to>
      <xdr:col>17</xdr:col>
      <xdr:colOff>390621</xdr:colOff>
      <xdr:row>44</xdr:row>
      <xdr:rowOff>9768</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64342</xdr:rowOff>
    </xdr:from>
    <xdr:to>
      <xdr:col>4</xdr:col>
      <xdr:colOff>285675</xdr:colOff>
      <xdr:row>109</xdr:row>
      <xdr:rowOff>141808</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172089</xdr:rowOff>
    </xdr:from>
    <xdr:to>
      <xdr:col>4</xdr:col>
      <xdr:colOff>285675</xdr:colOff>
      <xdr:row>111</xdr:row>
      <xdr:rowOff>83534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110</xdr:row>
      <xdr:rowOff>26272</xdr:rowOff>
    </xdr:from>
    <xdr:to>
      <xdr:col>4</xdr:col>
      <xdr:colOff>285675</xdr:colOff>
      <xdr:row>114</xdr:row>
      <xdr:rowOff>140299</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111</xdr:row>
      <xdr:rowOff>83442</xdr:rowOff>
    </xdr:from>
    <xdr:to>
      <xdr:col>4</xdr:col>
      <xdr:colOff>285675</xdr:colOff>
      <xdr:row>115</xdr:row>
      <xdr:rowOff>120982</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64133</xdr:rowOff>
    </xdr:from>
    <xdr:to>
      <xdr:col>4</xdr:col>
      <xdr:colOff>285675</xdr:colOff>
      <xdr:row>104</xdr:row>
      <xdr:rowOff>46686</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83353</xdr:rowOff>
    </xdr:from>
    <xdr:to>
      <xdr:col>4</xdr:col>
      <xdr:colOff>285675</xdr:colOff>
      <xdr:row>104</xdr:row>
      <xdr:rowOff>188705</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84755</xdr:rowOff>
    </xdr:from>
    <xdr:to>
      <xdr:col>4</xdr:col>
      <xdr:colOff>285675</xdr:colOff>
      <xdr:row>105</xdr:row>
      <xdr:rowOff>170775</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64338</xdr:rowOff>
    </xdr:from>
    <xdr:to>
      <xdr:col>4</xdr:col>
      <xdr:colOff>285675</xdr:colOff>
      <xdr:row>106</xdr:row>
      <xdr:rowOff>78873</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46233</xdr:rowOff>
    </xdr:from>
    <xdr:to>
      <xdr:col>4</xdr:col>
      <xdr:colOff>459254</xdr:colOff>
      <xdr:row>204</xdr:row>
      <xdr:rowOff>173627</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82969</xdr:rowOff>
    </xdr:from>
    <xdr:to>
      <xdr:col>4</xdr:col>
      <xdr:colOff>276785</xdr:colOff>
      <xdr:row>202</xdr:row>
      <xdr:rowOff>107816</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142972</xdr:rowOff>
    </xdr:from>
    <xdr:to>
      <xdr:col>17</xdr:col>
      <xdr:colOff>390621</xdr:colOff>
      <xdr:row>44</xdr:row>
      <xdr:rowOff>9768</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64342</xdr:rowOff>
    </xdr:from>
    <xdr:to>
      <xdr:col>4</xdr:col>
      <xdr:colOff>285675</xdr:colOff>
      <xdr:row>109</xdr:row>
      <xdr:rowOff>141808</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172089</xdr:rowOff>
    </xdr:from>
    <xdr:to>
      <xdr:col>4</xdr:col>
      <xdr:colOff>285675</xdr:colOff>
      <xdr:row>111</xdr:row>
      <xdr:rowOff>83534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110</xdr:row>
      <xdr:rowOff>26272</xdr:rowOff>
    </xdr:from>
    <xdr:to>
      <xdr:col>4</xdr:col>
      <xdr:colOff>285675</xdr:colOff>
      <xdr:row>114</xdr:row>
      <xdr:rowOff>140299</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111</xdr:row>
      <xdr:rowOff>83442</xdr:rowOff>
    </xdr:from>
    <xdr:to>
      <xdr:col>4</xdr:col>
      <xdr:colOff>285675</xdr:colOff>
      <xdr:row>115</xdr:row>
      <xdr:rowOff>120982</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64133</xdr:rowOff>
    </xdr:from>
    <xdr:to>
      <xdr:col>4</xdr:col>
      <xdr:colOff>285675</xdr:colOff>
      <xdr:row>104</xdr:row>
      <xdr:rowOff>46686</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83353</xdr:rowOff>
    </xdr:from>
    <xdr:to>
      <xdr:col>4</xdr:col>
      <xdr:colOff>285675</xdr:colOff>
      <xdr:row>104</xdr:row>
      <xdr:rowOff>188705</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84755</xdr:rowOff>
    </xdr:from>
    <xdr:to>
      <xdr:col>4</xdr:col>
      <xdr:colOff>285675</xdr:colOff>
      <xdr:row>105</xdr:row>
      <xdr:rowOff>170775</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64338</xdr:rowOff>
    </xdr:from>
    <xdr:to>
      <xdr:col>4</xdr:col>
      <xdr:colOff>285675</xdr:colOff>
      <xdr:row>106</xdr:row>
      <xdr:rowOff>78873</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46233</xdr:rowOff>
    </xdr:from>
    <xdr:to>
      <xdr:col>4</xdr:col>
      <xdr:colOff>459254</xdr:colOff>
      <xdr:row>204</xdr:row>
      <xdr:rowOff>173627</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82969</xdr:rowOff>
    </xdr:from>
    <xdr:to>
      <xdr:col>4</xdr:col>
      <xdr:colOff>276785</xdr:colOff>
      <xdr:row>202</xdr:row>
      <xdr:rowOff>107816</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142972</xdr:rowOff>
    </xdr:from>
    <xdr:to>
      <xdr:col>17</xdr:col>
      <xdr:colOff>390621</xdr:colOff>
      <xdr:row>44</xdr:row>
      <xdr:rowOff>9768</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64342</xdr:rowOff>
    </xdr:from>
    <xdr:to>
      <xdr:col>4</xdr:col>
      <xdr:colOff>285675</xdr:colOff>
      <xdr:row>109</xdr:row>
      <xdr:rowOff>141808</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108</xdr:row>
      <xdr:rowOff>172089</xdr:rowOff>
    </xdr:from>
    <xdr:to>
      <xdr:col>4</xdr:col>
      <xdr:colOff>285675</xdr:colOff>
      <xdr:row>111</xdr:row>
      <xdr:rowOff>83534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110</xdr:row>
      <xdr:rowOff>26272</xdr:rowOff>
    </xdr:from>
    <xdr:to>
      <xdr:col>4</xdr:col>
      <xdr:colOff>285675</xdr:colOff>
      <xdr:row>114</xdr:row>
      <xdr:rowOff>140299</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111</xdr:row>
      <xdr:rowOff>83442</xdr:rowOff>
    </xdr:from>
    <xdr:to>
      <xdr:col>4</xdr:col>
      <xdr:colOff>285675</xdr:colOff>
      <xdr:row>115</xdr:row>
      <xdr:rowOff>120982</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64133</xdr:rowOff>
    </xdr:from>
    <xdr:to>
      <xdr:col>4</xdr:col>
      <xdr:colOff>285675</xdr:colOff>
      <xdr:row>104</xdr:row>
      <xdr:rowOff>46686</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83353</xdr:rowOff>
    </xdr:from>
    <xdr:to>
      <xdr:col>4</xdr:col>
      <xdr:colOff>285675</xdr:colOff>
      <xdr:row>104</xdr:row>
      <xdr:rowOff>188705</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84755</xdr:rowOff>
    </xdr:from>
    <xdr:to>
      <xdr:col>4</xdr:col>
      <xdr:colOff>285675</xdr:colOff>
      <xdr:row>105</xdr:row>
      <xdr:rowOff>170775</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64338</xdr:rowOff>
    </xdr:from>
    <xdr:to>
      <xdr:col>4</xdr:col>
      <xdr:colOff>285675</xdr:colOff>
      <xdr:row>106</xdr:row>
      <xdr:rowOff>78873</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83448</xdr:rowOff>
    </xdr:from>
    <xdr:to>
      <xdr:col>4</xdr:col>
      <xdr:colOff>459254</xdr:colOff>
      <xdr:row>204</xdr:row>
      <xdr:rowOff>173627</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46774</xdr:rowOff>
    </xdr:from>
    <xdr:to>
      <xdr:col>4</xdr:col>
      <xdr:colOff>276785</xdr:colOff>
      <xdr:row>202</xdr:row>
      <xdr:rowOff>59064</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120849</xdr:rowOff>
    </xdr:from>
    <xdr:to>
      <xdr:col>17</xdr:col>
      <xdr:colOff>390621</xdr:colOff>
      <xdr:row>44</xdr:row>
      <xdr:rowOff>215</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12256</xdr:rowOff>
    </xdr:from>
    <xdr:to>
      <xdr:col>4</xdr:col>
      <xdr:colOff>284405</xdr:colOff>
      <xdr:row>109</xdr:row>
      <xdr:rowOff>141808</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172089</xdr:rowOff>
    </xdr:from>
    <xdr:to>
      <xdr:col>4</xdr:col>
      <xdr:colOff>284405</xdr:colOff>
      <xdr:row>111</xdr:row>
      <xdr:rowOff>102902</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26272</xdr:rowOff>
    </xdr:from>
    <xdr:to>
      <xdr:col>4</xdr:col>
      <xdr:colOff>284405</xdr:colOff>
      <xdr:row>114</xdr:row>
      <xdr:rowOff>140299</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83442</xdr:rowOff>
    </xdr:from>
    <xdr:to>
      <xdr:col>4</xdr:col>
      <xdr:colOff>284405</xdr:colOff>
      <xdr:row>115</xdr:row>
      <xdr:rowOff>120982</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64133</xdr:rowOff>
    </xdr:from>
    <xdr:to>
      <xdr:col>4</xdr:col>
      <xdr:colOff>284405</xdr:colOff>
      <xdr:row>104</xdr:row>
      <xdr:rowOff>46686</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83353</xdr:rowOff>
    </xdr:from>
    <xdr:to>
      <xdr:col>4</xdr:col>
      <xdr:colOff>284405</xdr:colOff>
      <xdr:row>104</xdr:row>
      <xdr:rowOff>188705</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84755</xdr:rowOff>
    </xdr:from>
    <xdr:to>
      <xdr:col>4</xdr:col>
      <xdr:colOff>284405</xdr:colOff>
      <xdr:row>105</xdr:row>
      <xdr:rowOff>170775</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64338</xdr:rowOff>
    </xdr:from>
    <xdr:to>
      <xdr:col>4</xdr:col>
      <xdr:colOff>284405</xdr:colOff>
      <xdr:row>106</xdr:row>
      <xdr:rowOff>78873</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83448</xdr:rowOff>
    </xdr:from>
    <xdr:to>
      <xdr:col>4</xdr:col>
      <xdr:colOff>459254</xdr:colOff>
      <xdr:row>204</xdr:row>
      <xdr:rowOff>173627</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46774</xdr:rowOff>
    </xdr:from>
    <xdr:to>
      <xdr:col>4</xdr:col>
      <xdr:colOff>276785</xdr:colOff>
      <xdr:row>202</xdr:row>
      <xdr:rowOff>59064</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120849</xdr:rowOff>
    </xdr:from>
    <xdr:to>
      <xdr:col>17</xdr:col>
      <xdr:colOff>390621</xdr:colOff>
      <xdr:row>44</xdr:row>
      <xdr:rowOff>215</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12256</xdr:rowOff>
    </xdr:from>
    <xdr:to>
      <xdr:col>4</xdr:col>
      <xdr:colOff>284405</xdr:colOff>
      <xdr:row>109</xdr:row>
      <xdr:rowOff>141808</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172089</xdr:rowOff>
    </xdr:from>
    <xdr:to>
      <xdr:col>4</xdr:col>
      <xdr:colOff>284405</xdr:colOff>
      <xdr:row>111</xdr:row>
      <xdr:rowOff>102902</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26272</xdr:rowOff>
    </xdr:from>
    <xdr:to>
      <xdr:col>4</xdr:col>
      <xdr:colOff>284405</xdr:colOff>
      <xdr:row>114</xdr:row>
      <xdr:rowOff>140299</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83442</xdr:rowOff>
    </xdr:from>
    <xdr:to>
      <xdr:col>4</xdr:col>
      <xdr:colOff>284405</xdr:colOff>
      <xdr:row>115</xdr:row>
      <xdr:rowOff>120982</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64133</xdr:rowOff>
    </xdr:from>
    <xdr:to>
      <xdr:col>4</xdr:col>
      <xdr:colOff>284405</xdr:colOff>
      <xdr:row>104</xdr:row>
      <xdr:rowOff>46686</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83353</xdr:rowOff>
    </xdr:from>
    <xdr:to>
      <xdr:col>4</xdr:col>
      <xdr:colOff>284405</xdr:colOff>
      <xdr:row>104</xdr:row>
      <xdr:rowOff>188705</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84755</xdr:rowOff>
    </xdr:from>
    <xdr:to>
      <xdr:col>4</xdr:col>
      <xdr:colOff>284405</xdr:colOff>
      <xdr:row>105</xdr:row>
      <xdr:rowOff>170775</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64338</xdr:rowOff>
    </xdr:from>
    <xdr:to>
      <xdr:col>4</xdr:col>
      <xdr:colOff>284405</xdr:colOff>
      <xdr:row>106</xdr:row>
      <xdr:rowOff>78873</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83448</xdr:rowOff>
    </xdr:from>
    <xdr:to>
      <xdr:col>4</xdr:col>
      <xdr:colOff>459254</xdr:colOff>
      <xdr:row>204</xdr:row>
      <xdr:rowOff>173627</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46774</xdr:rowOff>
    </xdr:from>
    <xdr:to>
      <xdr:col>4</xdr:col>
      <xdr:colOff>276785</xdr:colOff>
      <xdr:row>202</xdr:row>
      <xdr:rowOff>59064</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120849</xdr:rowOff>
    </xdr:from>
    <xdr:to>
      <xdr:col>17</xdr:col>
      <xdr:colOff>390621</xdr:colOff>
      <xdr:row>44</xdr:row>
      <xdr:rowOff>215</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12256</xdr:rowOff>
    </xdr:from>
    <xdr:to>
      <xdr:col>4</xdr:col>
      <xdr:colOff>284405</xdr:colOff>
      <xdr:row>109</xdr:row>
      <xdr:rowOff>141808</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172089</xdr:rowOff>
    </xdr:from>
    <xdr:to>
      <xdr:col>4</xdr:col>
      <xdr:colOff>284405</xdr:colOff>
      <xdr:row>111</xdr:row>
      <xdr:rowOff>102902</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26272</xdr:rowOff>
    </xdr:from>
    <xdr:to>
      <xdr:col>4</xdr:col>
      <xdr:colOff>284405</xdr:colOff>
      <xdr:row>114</xdr:row>
      <xdr:rowOff>140299</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83442</xdr:rowOff>
    </xdr:from>
    <xdr:to>
      <xdr:col>4</xdr:col>
      <xdr:colOff>284405</xdr:colOff>
      <xdr:row>115</xdr:row>
      <xdr:rowOff>120982</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64133</xdr:rowOff>
    </xdr:from>
    <xdr:to>
      <xdr:col>4</xdr:col>
      <xdr:colOff>284405</xdr:colOff>
      <xdr:row>104</xdr:row>
      <xdr:rowOff>46686</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83353</xdr:rowOff>
    </xdr:from>
    <xdr:to>
      <xdr:col>4</xdr:col>
      <xdr:colOff>284405</xdr:colOff>
      <xdr:row>104</xdr:row>
      <xdr:rowOff>188705</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84755</xdr:rowOff>
    </xdr:from>
    <xdr:to>
      <xdr:col>4</xdr:col>
      <xdr:colOff>284405</xdr:colOff>
      <xdr:row>105</xdr:row>
      <xdr:rowOff>170775</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64338</xdr:rowOff>
    </xdr:from>
    <xdr:to>
      <xdr:col>4</xdr:col>
      <xdr:colOff>284405</xdr:colOff>
      <xdr:row>106</xdr:row>
      <xdr:rowOff>78873</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28060</xdr:rowOff>
    </xdr:from>
    <xdr:to>
      <xdr:col>4</xdr:col>
      <xdr:colOff>459254</xdr:colOff>
      <xdr:row>204</xdr:row>
      <xdr:rowOff>173627</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46774</xdr:rowOff>
    </xdr:from>
    <xdr:to>
      <xdr:col>4</xdr:col>
      <xdr:colOff>276785</xdr:colOff>
      <xdr:row>202</xdr:row>
      <xdr:rowOff>59064</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143291</xdr:rowOff>
    </xdr:from>
    <xdr:to>
      <xdr:col>4</xdr:col>
      <xdr:colOff>276785</xdr:colOff>
      <xdr:row>230</xdr:row>
      <xdr:rowOff>182</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677592</xdr:colOff>
      <xdr:row>39</xdr:row>
      <xdr:rowOff>120849</xdr:rowOff>
    </xdr:from>
    <xdr:to>
      <xdr:col>17</xdr:col>
      <xdr:colOff>390621</xdr:colOff>
      <xdr:row>44</xdr:row>
      <xdr:rowOff>215</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12256</xdr:rowOff>
    </xdr:from>
    <xdr:to>
      <xdr:col>4</xdr:col>
      <xdr:colOff>276785</xdr:colOff>
      <xdr:row>109</xdr:row>
      <xdr:rowOff>141808</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172089</xdr:rowOff>
    </xdr:from>
    <xdr:to>
      <xdr:col>4</xdr:col>
      <xdr:colOff>276785</xdr:colOff>
      <xdr:row>111</xdr:row>
      <xdr:rowOff>102902</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26272</xdr:rowOff>
    </xdr:from>
    <xdr:to>
      <xdr:col>4</xdr:col>
      <xdr:colOff>276785</xdr:colOff>
      <xdr:row>114</xdr:row>
      <xdr:rowOff>140299</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83442</xdr:rowOff>
    </xdr:from>
    <xdr:to>
      <xdr:col>4</xdr:col>
      <xdr:colOff>276785</xdr:colOff>
      <xdr:row>115</xdr:row>
      <xdr:rowOff>120982</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64133</xdr:rowOff>
    </xdr:from>
    <xdr:to>
      <xdr:col>4</xdr:col>
      <xdr:colOff>276785</xdr:colOff>
      <xdr:row>104</xdr:row>
      <xdr:rowOff>46686</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83353</xdr:rowOff>
    </xdr:from>
    <xdr:to>
      <xdr:col>4</xdr:col>
      <xdr:colOff>276785</xdr:colOff>
      <xdr:row>104</xdr:row>
      <xdr:rowOff>188705</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84755</xdr:rowOff>
    </xdr:from>
    <xdr:to>
      <xdr:col>4</xdr:col>
      <xdr:colOff>276785</xdr:colOff>
      <xdr:row>105</xdr:row>
      <xdr:rowOff>170775</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64338</xdr:rowOff>
    </xdr:from>
    <xdr:to>
      <xdr:col>4</xdr:col>
      <xdr:colOff>276785</xdr:colOff>
      <xdr:row>106</xdr:row>
      <xdr:rowOff>78873</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173907</xdr:rowOff>
    </xdr:from>
    <xdr:to>
      <xdr:col>4</xdr:col>
      <xdr:colOff>459254</xdr:colOff>
      <xdr:row>104</xdr:row>
      <xdr:rowOff>212200</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143263</xdr:rowOff>
    </xdr:from>
    <xdr:to>
      <xdr:col>4</xdr:col>
      <xdr:colOff>276785</xdr:colOff>
      <xdr:row>102</xdr:row>
      <xdr:rowOff>84120</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64338</xdr:rowOff>
    </xdr:from>
    <xdr:to>
      <xdr:col>4</xdr:col>
      <xdr:colOff>276785</xdr:colOff>
      <xdr:row>127</xdr:row>
      <xdr:rowOff>174178</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64338</xdr:rowOff>
    </xdr:from>
    <xdr:to>
      <xdr:col>4</xdr:col>
      <xdr:colOff>276785</xdr:colOff>
      <xdr:row>127</xdr:row>
      <xdr:rowOff>174178</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122139</xdr:rowOff>
    </xdr:from>
    <xdr:to>
      <xdr:col>4</xdr:col>
      <xdr:colOff>276785</xdr:colOff>
      <xdr:row>204</xdr:row>
      <xdr:rowOff>65802</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46986</xdr:rowOff>
    </xdr:from>
    <xdr:to>
      <xdr:col>4</xdr:col>
      <xdr:colOff>276785</xdr:colOff>
      <xdr:row>204</xdr:row>
      <xdr:rowOff>122615</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65652</xdr:rowOff>
    </xdr:from>
    <xdr:to>
      <xdr:col>4</xdr:col>
      <xdr:colOff>276785</xdr:colOff>
      <xdr:row>207</xdr:row>
      <xdr:rowOff>173809</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65167</xdr:rowOff>
    </xdr:from>
    <xdr:to>
      <xdr:col>4</xdr:col>
      <xdr:colOff>276785</xdr:colOff>
      <xdr:row>208</xdr:row>
      <xdr:rowOff>168730</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172358</xdr:rowOff>
    </xdr:from>
    <xdr:to>
      <xdr:col>4</xdr:col>
      <xdr:colOff>276785</xdr:colOff>
      <xdr:row>150</xdr:row>
      <xdr:rowOff>86607</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276785</xdr:colOff>
      <xdr:row>195</xdr:row>
      <xdr:rowOff>84188</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6651</xdr:rowOff>
    </xdr:from>
    <xdr:to>
      <xdr:col>4</xdr:col>
      <xdr:colOff>276785</xdr:colOff>
      <xdr:row>195</xdr:row>
      <xdr:rowOff>145224</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6650</xdr:rowOff>
    </xdr:from>
    <xdr:to>
      <xdr:col>4</xdr:col>
      <xdr:colOff>276785</xdr:colOff>
      <xdr:row>197</xdr:row>
      <xdr:rowOff>26881</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103089</xdr:rowOff>
    </xdr:from>
    <xdr:to>
      <xdr:col>4</xdr:col>
      <xdr:colOff>459254</xdr:colOff>
      <xdr:row>104</xdr:row>
      <xdr:rowOff>160130</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382562</xdr:rowOff>
    </xdr:from>
    <xdr:to>
      <xdr:col>4</xdr:col>
      <xdr:colOff>276785</xdr:colOff>
      <xdr:row>69</xdr:row>
      <xdr:rowOff>135742</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246743</xdr:rowOff>
    </xdr:from>
    <xdr:to>
      <xdr:col>4</xdr:col>
      <xdr:colOff>276785</xdr:colOff>
      <xdr:row>62</xdr:row>
      <xdr:rowOff>106230</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359472</xdr:rowOff>
    </xdr:from>
    <xdr:to>
      <xdr:col>4</xdr:col>
      <xdr:colOff>276785</xdr:colOff>
      <xdr:row>62</xdr:row>
      <xdr:rowOff>66619</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123359</xdr:rowOff>
    </xdr:from>
    <xdr:to>
      <xdr:col>4</xdr:col>
      <xdr:colOff>276785</xdr:colOff>
      <xdr:row>65</xdr:row>
      <xdr:rowOff>153961</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48366</xdr:rowOff>
    </xdr:from>
    <xdr:to>
      <xdr:col>4</xdr:col>
      <xdr:colOff>276785</xdr:colOff>
      <xdr:row>79</xdr:row>
      <xdr:rowOff>325790</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82</xdr:row>
      <xdr:rowOff>78399</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59481</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83</xdr:row>
      <xdr:rowOff>59481</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141993</xdr:rowOff>
    </xdr:from>
    <xdr:to>
      <xdr:col>4</xdr:col>
      <xdr:colOff>276785</xdr:colOff>
      <xdr:row>102</xdr:row>
      <xdr:rowOff>27290</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64338</xdr:rowOff>
    </xdr:from>
    <xdr:to>
      <xdr:col>4</xdr:col>
      <xdr:colOff>276785</xdr:colOff>
      <xdr:row>128</xdr:row>
      <xdr:rowOff>188</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64338</xdr:rowOff>
    </xdr:from>
    <xdr:to>
      <xdr:col>4</xdr:col>
      <xdr:colOff>276785</xdr:colOff>
      <xdr:row>128</xdr:row>
      <xdr:rowOff>188</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83498</xdr:rowOff>
    </xdr:from>
    <xdr:to>
      <xdr:col>4</xdr:col>
      <xdr:colOff>276785</xdr:colOff>
      <xdr:row>204</xdr:row>
      <xdr:rowOff>65802</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65391</xdr:rowOff>
    </xdr:from>
    <xdr:to>
      <xdr:col>4</xdr:col>
      <xdr:colOff>276785</xdr:colOff>
      <xdr:row>204</xdr:row>
      <xdr:rowOff>121466</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65389</xdr:rowOff>
    </xdr:from>
    <xdr:to>
      <xdr:col>4</xdr:col>
      <xdr:colOff>276785</xdr:colOff>
      <xdr:row>207</xdr:row>
      <xdr:rowOff>142214</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27705</xdr:rowOff>
    </xdr:from>
    <xdr:to>
      <xdr:col>4</xdr:col>
      <xdr:colOff>276785</xdr:colOff>
      <xdr:row>208</xdr:row>
      <xdr:rowOff>164920</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6705</xdr:rowOff>
    </xdr:from>
    <xdr:to>
      <xdr:col>4</xdr:col>
      <xdr:colOff>276785</xdr:colOff>
      <xdr:row>150</xdr:row>
      <xdr:rowOff>86607</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276785</xdr:colOff>
      <xdr:row>195</xdr:row>
      <xdr:rowOff>103873</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276785</xdr:colOff>
      <xdr:row>195</xdr:row>
      <xdr:rowOff>160463</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276785</xdr:colOff>
      <xdr:row>197</xdr:row>
      <xdr:rowOff>26881</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105</xdr:row>
      <xdr:rowOff>133235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238276</xdr:rowOff>
    </xdr:from>
    <xdr:to>
      <xdr:col>4</xdr:col>
      <xdr:colOff>276785</xdr:colOff>
      <xdr:row>71</xdr:row>
      <xdr:rowOff>102648</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238276</xdr:rowOff>
    </xdr:from>
    <xdr:to>
      <xdr:col>4</xdr:col>
      <xdr:colOff>276785</xdr:colOff>
      <xdr:row>71</xdr:row>
      <xdr:rowOff>102648</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47817</xdr:rowOff>
    </xdr:from>
    <xdr:to>
      <xdr:col>4</xdr:col>
      <xdr:colOff>276785</xdr:colOff>
      <xdr:row>63</xdr:row>
      <xdr:rowOff>131552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189219</xdr:rowOff>
    </xdr:from>
    <xdr:to>
      <xdr:col>4</xdr:col>
      <xdr:colOff>276785</xdr:colOff>
      <xdr:row>63</xdr:row>
      <xdr:rowOff>19191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131552</xdr:rowOff>
    </xdr:from>
    <xdr:to>
      <xdr:col>4</xdr:col>
      <xdr:colOff>276785</xdr:colOff>
      <xdr:row>66</xdr:row>
      <xdr:rowOff>124405</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80</xdr:row>
      <xdr:rowOff>73295</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9770</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84</xdr:row>
      <xdr:rowOff>29303</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63502</xdr:rowOff>
    </xdr:from>
    <xdr:to>
      <xdr:col>4</xdr:col>
      <xdr:colOff>276785</xdr:colOff>
      <xdr:row>84</xdr:row>
      <xdr:rowOff>29303</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121570</xdr:rowOff>
    </xdr:from>
    <xdr:to>
      <xdr:col>4</xdr:col>
      <xdr:colOff>276785</xdr:colOff>
      <xdr:row>102</xdr:row>
      <xdr:rowOff>141539</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35869</xdr:rowOff>
    </xdr:from>
    <xdr:to>
      <xdr:col>4</xdr:col>
      <xdr:colOff>276785</xdr:colOff>
      <xdr:row>128</xdr:row>
      <xdr:rowOff>144259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35869</xdr:rowOff>
    </xdr:from>
    <xdr:to>
      <xdr:col>4</xdr:col>
      <xdr:colOff>276785</xdr:colOff>
      <xdr:row>128</xdr:row>
      <xdr:rowOff>144259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65391</xdr:rowOff>
    </xdr:from>
    <xdr:to>
      <xdr:col>4</xdr:col>
      <xdr:colOff>276785</xdr:colOff>
      <xdr:row>205</xdr:row>
      <xdr:rowOff>173625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65389</xdr:rowOff>
    </xdr:from>
    <xdr:to>
      <xdr:col>4</xdr:col>
      <xdr:colOff>276785</xdr:colOff>
      <xdr:row>205</xdr:row>
      <xdr:rowOff>143660</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65802</xdr:rowOff>
    </xdr:from>
    <xdr:to>
      <xdr:col>4</xdr:col>
      <xdr:colOff>276785</xdr:colOff>
      <xdr:row>208</xdr:row>
      <xdr:rowOff>142215</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276785</xdr:colOff>
      <xdr:row>209</xdr:row>
      <xdr:rowOff>142217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144639</xdr:rowOff>
    </xdr:from>
    <xdr:to>
      <xdr:col>4</xdr:col>
      <xdr:colOff>276785</xdr:colOff>
      <xdr:row>196</xdr:row>
      <xdr:rowOff>6745</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276785</xdr:colOff>
      <xdr:row>196</xdr:row>
      <xdr:rowOff>50695</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276785</xdr:colOff>
      <xdr:row>196</xdr:row>
      <xdr:rowOff>126334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164959</xdr:rowOff>
    </xdr:from>
    <xdr:to>
      <xdr:col>4</xdr:col>
      <xdr:colOff>276785</xdr:colOff>
      <xdr:row>197</xdr:row>
      <xdr:rowOff>174511</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105</xdr:row>
      <xdr:rowOff>133235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238276</xdr:rowOff>
    </xdr:from>
    <xdr:to>
      <xdr:col>4</xdr:col>
      <xdr:colOff>276785</xdr:colOff>
      <xdr:row>71</xdr:row>
      <xdr:rowOff>102648</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238276</xdr:rowOff>
    </xdr:from>
    <xdr:to>
      <xdr:col>4</xdr:col>
      <xdr:colOff>276785</xdr:colOff>
      <xdr:row>71</xdr:row>
      <xdr:rowOff>102648</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47817</xdr:rowOff>
    </xdr:from>
    <xdr:to>
      <xdr:col>4</xdr:col>
      <xdr:colOff>276785</xdr:colOff>
      <xdr:row>63</xdr:row>
      <xdr:rowOff>131552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189219</xdr:rowOff>
    </xdr:from>
    <xdr:to>
      <xdr:col>4</xdr:col>
      <xdr:colOff>276785</xdr:colOff>
      <xdr:row>63</xdr:row>
      <xdr:rowOff>19191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131552</xdr:rowOff>
    </xdr:from>
    <xdr:to>
      <xdr:col>4</xdr:col>
      <xdr:colOff>276785</xdr:colOff>
      <xdr:row>66</xdr:row>
      <xdr:rowOff>124405</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86890</xdr:rowOff>
    </xdr:from>
    <xdr:to>
      <xdr:col>4</xdr:col>
      <xdr:colOff>276785</xdr:colOff>
      <xdr:row>80</xdr:row>
      <xdr:rowOff>73295</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44916</xdr:rowOff>
    </xdr:from>
    <xdr:to>
      <xdr:col>4</xdr:col>
      <xdr:colOff>276785</xdr:colOff>
      <xdr:row>83</xdr:row>
      <xdr:rowOff>9770</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103071</xdr:rowOff>
    </xdr:from>
    <xdr:to>
      <xdr:col>4</xdr:col>
      <xdr:colOff>276785</xdr:colOff>
      <xdr:row>84</xdr:row>
      <xdr:rowOff>29303</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63502</xdr:rowOff>
    </xdr:from>
    <xdr:to>
      <xdr:col>4</xdr:col>
      <xdr:colOff>276785</xdr:colOff>
      <xdr:row>84</xdr:row>
      <xdr:rowOff>29303</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121570</xdr:rowOff>
    </xdr:from>
    <xdr:to>
      <xdr:col>4</xdr:col>
      <xdr:colOff>276785</xdr:colOff>
      <xdr:row>102</xdr:row>
      <xdr:rowOff>141539</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35869</xdr:rowOff>
    </xdr:from>
    <xdr:to>
      <xdr:col>4</xdr:col>
      <xdr:colOff>276785</xdr:colOff>
      <xdr:row>128</xdr:row>
      <xdr:rowOff>144259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35869</xdr:rowOff>
    </xdr:from>
    <xdr:to>
      <xdr:col>4</xdr:col>
      <xdr:colOff>276785</xdr:colOff>
      <xdr:row>128</xdr:row>
      <xdr:rowOff>144259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65391</xdr:rowOff>
    </xdr:from>
    <xdr:to>
      <xdr:col>4</xdr:col>
      <xdr:colOff>276785</xdr:colOff>
      <xdr:row>205</xdr:row>
      <xdr:rowOff>173625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65389</xdr:rowOff>
    </xdr:from>
    <xdr:to>
      <xdr:col>4</xdr:col>
      <xdr:colOff>276785</xdr:colOff>
      <xdr:row>205</xdr:row>
      <xdr:rowOff>143660</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65802</xdr:rowOff>
    </xdr:from>
    <xdr:to>
      <xdr:col>4</xdr:col>
      <xdr:colOff>276785</xdr:colOff>
      <xdr:row>208</xdr:row>
      <xdr:rowOff>142215</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276785</xdr:colOff>
      <xdr:row>209</xdr:row>
      <xdr:rowOff>142217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144639</xdr:rowOff>
    </xdr:from>
    <xdr:to>
      <xdr:col>4</xdr:col>
      <xdr:colOff>276785</xdr:colOff>
      <xdr:row>196</xdr:row>
      <xdr:rowOff>6745</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276785</xdr:colOff>
      <xdr:row>196</xdr:row>
      <xdr:rowOff>50695</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276785</xdr:colOff>
      <xdr:row>196</xdr:row>
      <xdr:rowOff>126334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164959</xdr:rowOff>
    </xdr:from>
    <xdr:to>
      <xdr:col>4</xdr:col>
      <xdr:colOff>276785</xdr:colOff>
      <xdr:row>197</xdr:row>
      <xdr:rowOff>174511</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66186</xdr:rowOff>
    </xdr:from>
    <xdr:to>
      <xdr:col>4</xdr:col>
      <xdr:colOff>276785</xdr:colOff>
      <xdr:row>247</xdr:row>
      <xdr:rowOff>101905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27798</xdr:rowOff>
    </xdr:from>
    <xdr:to>
      <xdr:col>4</xdr:col>
      <xdr:colOff>276785</xdr:colOff>
      <xdr:row>246</xdr:row>
      <xdr:rowOff>173598</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276785</xdr:colOff>
      <xdr:row>248</xdr:row>
      <xdr:rowOff>101903</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276785</xdr:colOff>
      <xdr:row>235</xdr:row>
      <xdr:rowOff>174127</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276785</xdr:colOff>
      <xdr:row>212</xdr:row>
      <xdr:rowOff>173599</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64768</xdr:rowOff>
    </xdr:from>
    <xdr:to>
      <xdr:col>4</xdr:col>
      <xdr:colOff>276785</xdr:colOff>
      <xdr:row>214</xdr:row>
      <xdr:rowOff>26740</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46343</xdr:rowOff>
    </xdr:from>
    <xdr:to>
      <xdr:col>4</xdr:col>
      <xdr:colOff>276785</xdr:colOff>
      <xdr:row>215</xdr:row>
      <xdr:rowOff>101903</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276785</xdr:colOff>
      <xdr:row>222</xdr:row>
      <xdr:rowOff>27798</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383737</xdr:rowOff>
    </xdr:from>
    <xdr:to>
      <xdr:col>4</xdr:col>
      <xdr:colOff>295835</xdr:colOff>
      <xdr:row>65</xdr:row>
      <xdr:rowOff>117146</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29403</xdr:rowOff>
    </xdr:from>
    <xdr:to>
      <xdr:col>4</xdr:col>
      <xdr:colOff>295835</xdr:colOff>
      <xdr:row>63</xdr:row>
      <xdr:rowOff>208554</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192469</xdr:rowOff>
    </xdr:from>
    <xdr:to>
      <xdr:col>4</xdr:col>
      <xdr:colOff>295835</xdr:colOff>
      <xdr:row>67</xdr:row>
      <xdr:rowOff>173997</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189982</xdr:rowOff>
    </xdr:from>
    <xdr:to>
      <xdr:col>4</xdr:col>
      <xdr:colOff>295835</xdr:colOff>
      <xdr:row>67</xdr:row>
      <xdr:rowOff>11422</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9888</xdr:rowOff>
    </xdr:from>
    <xdr:to>
      <xdr:col>4</xdr:col>
      <xdr:colOff>295835</xdr:colOff>
      <xdr:row>70</xdr:row>
      <xdr:rowOff>75601</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174322</xdr:rowOff>
    </xdr:from>
    <xdr:to>
      <xdr:col>4</xdr:col>
      <xdr:colOff>295835</xdr:colOff>
      <xdr:row>69</xdr:row>
      <xdr:rowOff>131770</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192781</xdr:rowOff>
    </xdr:from>
    <xdr:to>
      <xdr:col>4</xdr:col>
      <xdr:colOff>295835</xdr:colOff>
      <xdr:row>71</xdr:row>
      <xdr:rowOff>178536</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9561</xdr:rowOff>
    </xdr:from>
    <xdr:to>
      <xdr:col>4</xdr:col>
      <xdr:colOff>295835</xdr:colOff>
      <xdr:row>71</xdr:row>
      <xdr:rowOff>19067</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125841</xdr:rowOff>
    </xdr:from>
    <xdr:to>
      <xdr:col>4</xdr:col>
      <xdr:colOff>295835</xdr:colOff>
      <xdr:row>74</xdr:row>
      <xdr:rowOff>49377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164408</xdr:rowOff>
    </xdr:from>
    <xdr:to>
      <xdr:col>4</xdr:col>
      <xdr:colOff>295835</xdr:colOff>
      <xdr:row>73</xdr:row>
      <xdr:rowOff>460</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177842</xdr:rowOff>
    </xdr:from>
    <xdr:to>
      <xdr:col>4</xdr:col>
      <xdr:colOff>295835</xdr:colOff>
      <xdr:row>90</xdr:row>
      <xdr:rowOff>173333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26739</xdr:rowOff>
    </xdr:from>
    <xdr:to>
      <xdr:col>4</xdr:col>
      <xdr:colOff>295835</xdr:colOff>
      <xdr:row>90</xdr:row>
      <xdr:rowOff>20274</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171780</xdr:rowOff>
    </xdr:from>
    <xdr:to>
      <xdr:col>4</xdr:col>
      <xdr:colOff>295835</xdr:colOff>
      <xdr:row>92</xdr:row>
      <xdr:rowOff>160118</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352215</xdr:rowOff>
    </xdr:from>
    <xdr:to>
      <xdr:col>4</xdr:col>
      <xdr:colOff>295835</xdr:colOff>
      <xdr:row>91</xdr:row>
      <xdr:rowOff>173176</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116590</xdr:rowOff>
    </xdr:from>
    <xdr:to>
      <xdr:col>4</xdr:col>
      <xdr:colOff>295835</xdr:colOff>
      <xdr:row>94</xdr:row>
      <xdr:rowOff>141464</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172192</xdr:rowOff>
    </xdr:from>
    <xdr:to>
      <xdr:col>4</xdr:col>
      <xdr:colOff>295835</xdr:colOff>
      <xdr:row>94</xdr:row>
      <xdr:rowOff>10079</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134189</xdr:rowOff>
    </xdr:from>
    <xdr:to>
      <xdr:col>4</xdr:col>
      <xdr:colOff>295835</xdr:colOff>
      <xdr:row>96</xdr:row>
      <xdr:rowOff>140750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122126</xdr:rowOff>
    </xdr:from>
    <xdr:to>
      <xdr:col>4</xdr:col>
      <xdr:colOff>295835</xdr:colOff>
      <xdr:row>95</xdr:row>
      <xdr:rowOff>141216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45728</xdr:rowOff>
    </xdr:from>
    <xdr:to>
      <xdr:col>4</xdr:col>
      <xdr:colOff>295835</xdr:colOff>
      <xdr:row>119</xdr:row>
      <xdr:rowOff>6838</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101851</xdr:rowOff>
    </xdr:from>
    <xdr:to>
      <xdr:col>4</xdr:col>
      <xdr:colOff>295835</xdr:colOff>
      <xdr:row>117</xdr:row>
      <xdr:rowOff>151834</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105812</xdr:rowOff>
    </xdr:from>
    <xdr:to>
      <xdr:col>4</xdr:col>
      <xdr:colOff>295835</xdr:colOff>
      <xdr:row>120</xdr:row>
      <xdr:rowOff>126542</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83399</xdr:rowOff>
    </xdr:from>
    <xdr:to>
      <xdr:col>4</xdr:col>
      <xdr:colOff>295835</xdr:colOff>
      <xdr:row>119</xdr:row>
      <xdr:rowOff>121571</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65147</xdr:rowOff>
    </xdr:from>
    <xdr:to>
      <xdr:col>4</xdr:col>
      <xdr:colOff>295835</xdr:colOff>
      <xdr:row>122</xdr:row>
      <xdr:rowOff>83020</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85023</xdr:rowOff>
    </xdr:from>
    <xdr:to>
      <xdr:col>4</xdr:col>
      <xdr:colOff>295835</xdr:colOff>
      <xdr:row>121</xdr:row>
      <xdr:rowOff>63988</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64801</xdr:rowOff>
    </xdr:from>
    <xdr:to>
      <xdr:col>4</xdr:col>
      <xdr:colOff>295835</xdr:colOff>
      <xdr:row>124</xdr:row>
      <xdr:rowOff>103135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86378</xdr:rowOff>
    </xdr:from>
    <xdr:to>
      <xdr:col>4</xdr:col>
      <xdr:colOff>295835</xdr:colOff>
      <xdr:row>123</xdr:row>
      <xdr:rowOff>66442</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66186</xdr:rowOff>
    </xdr:from>
    <xdr:to>
      <xdr:col>4</xdr:col>
      <xdr:colOff>276785</xdr:colOff>
      <xdr:row>247</xdr:row>
      <xdr:rowOff>101905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27798</xdr:rowOff>
    </xdr:from>
    <xdr:to>
      <xdr:col>4</xdr:col>
      <xdr:colOff>276785</xdr:colOff>
      <xdr:row>246</xdr:row>
      <xdr:rowOff>173598</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276785</xdr:colOff>
      <xdr:row>248</xdr:row>
      <xdr:rowOff>101903</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276785</xdr:colOff>
      <xdr:row>235</xdr:row>
      <xdr:rowOff>174127</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276785</xdr:colOff>
      <xdr:row>212</xdr:row>
      <xdr:rowOff>173599</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64768</xdr:rowOff>
    </xdr:from>
    <xdr:to>
      <xdr:col>4</xdr:col>
      <xdr:colOff>276785</xdr:colOff>
      <xdr:row>214</xdr:row>
      <xdr:rowOff>26740</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46343</xdr:rowOff>
    </xdr:from>
    <xdr:to>
      <xdr:col>4</xdr:col>
      <xdr:colOff>276785</xdr:colOff>
      <xdr:row>215</xdr:row>
      <xdr:rowOff>101903</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276785</xdr:colOff>
      <xdr:row>222</xdr:row>
      <xdr:rowOff>27798</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383737</xdr:rowOff>
    </xdr:from>
    <xdr:to>
      <xdr:col>4</xdr:col>
      <xdr:colOff>295835</xdr:colOff>
      <xdr:row>65</xdr:row>
      <xdr:rowOff>117146</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29403</xdr:rowOff>
    </xdr:from>
    <xdr:to>
      <xdr:col>4</xdr:col>
      <xdr:colOff>295835</xdr:colOff>
      <xdr:row>63</xdr:row>
      <xdr:rowOff>208554</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192469</xdr:rowOff>
    </xdr:from>
    <xdr:to>
      <xdr:col>4</xdr:col>
      <xdr:colOff>295835</xdr:colOff>
      <xdr:row>67</xdr:row>
      <xdr:rowOff>173997</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189982</xdr:rowOff>
    </xdr:from>
    <xdr:to>
      <xdr:col>4</xdr:col>
      <xdr:colOff>295835</xdr:colOff>
      <xdr:row>67</xdr:row>
      <xdr:rowOff>11422</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9888</xdr:rowOff>
    </xdr:from>
    <xdr:to>
      <xdr:col>4</xdr:col>
      <xdr:colOff>295835</xdr:colOff>
      <xdr:row>70</xdr:row>
      <xdr:rowOff>75601</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174322</xdr:rowOff>
    </xdr:from>
    <xdr:to>
      <xdr:col>4</xdr:col>
      <xdr:colOff>295835</xdr:colOff>
      <xdr:row>69</xdr:row>
      <xdr:rowOff>131770</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192781</xdr:rowOff>
    </xdr:from>
    <xdr:to>
      <xdr:col>4</xdr:col>
      <xdr:colOff>295835</xdr:colOff>
      <xdr:row>71</xdr:row>
      <xdr:rowOff>178536</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9561</xdr:rowOff>
    </xdr:from>
    <xdr:to>
      <xdr:col>4</xdr:col>
      <xdr:colOff>295835</xdr:colOff>
      <xdr:row>71</xdr:row>
      <xdr:rowOff>19067</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125841</xdr:rowOff>
    </xdr:from>
    <xdr:to>
      <xdr:col>4</xdr:col>
      <xdr:colOff>295835</xdr:colOff>
      <xdr:row>74</xdr:row>
      <xdr:rowOff>49377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164408</xdr:rowOff>
    </xdr:from>
    <xdr:to>
      <xdr:col>4</xdr:col>
      <xdr:colOff>295835</xdr:colOff>
      <xdr:row>73</xdr:row>
      <xdr:rowOff>460</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177842</xdr:rowOff>
    </xdr:from>
    <xdr:to>
      <xdr:col>4</xdr:col>
      <xdr:colOff>295835</xdr:colOff>
      <xdr:row>90</xdr:row>
      <xdr:rowOff>173333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26739</xdr:rowOff>
    </xdr:from>
    <xdr:to>
      <xdr:col>4</xdr:col>
      <xdr:colOff>295835</xdr:colOff>
      <xdr:row>90</xdr:row>
      <xdr:rowOff>20274</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171780</xdr:rowOff>
    </xdr:from>
    <xdr:to>
      <xdr:col>4</xdr:col>
      <xdr:colOff>295835</xdr:colOff>
      <xdr:row>92</xdr:row>
      <xdr:rowOff>160118</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352215</xdr:rowOff>
    </xdr:from>
    <xdr:to>
      <xdr:col>4</xdr:col>
      <xdr:colOff>295835</xdr:colOff>
      <xdr:row>91</xdr:row>
      <xdr:rowOff>173176</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116590</xdr:rowOff>
    </xdr:from>
    <xdr:to>
      <xdr:col>4</xdr:col>
      <xdr:colOff>295835</xdr:colOff>
      <xdr:row>94</xdr:row>
      <xdr:rowOff>141464</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172192</xdr:rowOff>
    </xdr:from>
    <xdr:to>
      <xdr:col>4</xdr:col>
      <xdr:colOff>295835</xdr:colOff>
      <xdr:row>94</xdr:row>
      <xdr:rowOff>10079</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134189</xdr:rowOff>
    </xdr:from>
    <xdr:to>
      <xdr:col>4</xdr:col>
      <xdr:colOff>295835</xdr:colOff>
      <xdr:row>96</xdr:row>
      <xdr:rowOff>140750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122126</xdr:rowOff>
    </xdr:from>
    <xdr:to>
      <xdr:col>4</xdr:col>
      <xdr:colOff>295835</xdr:colOff>
      <xdr:row>95</xdr:row>
      <xdr:rowOff>141216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45728</xdr:rowOff>
    </xdr:from>
    <xdr:to>
      <xdr:col>4</xdr:col>
      <xdr:colOff>295835</xdr:colOff>
      <xdr:row>119</xdr:row>
      <xdr:rowOff>6838</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101851</xdr:rowOff>
    </xdr:from>
    <xdr:to>
      <xdr:col>4</xdr:col>
      <xdr:colOff>295835</xdr:colOff>
      <xdr:row>117</xdr:row>
      <xdr:rowOff>151834</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105812</xdr:rowOff>
    </xdr:from>
    <xdr:to>
      <xdr:col>4</xdr:col>
      <xdr:colOff>295835</xdr:colOff>
      <xdr:row>120</xdr:row>
      <xdr:rowOff>126542</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83399</xdr:rowOff>
    </xdr:from>
    <xdr:to>
      <xdr:col>4</xdr:col>
      <xdr:colOff>295835</xdr:colOff>
      <xdr:row>119</xdr:row>
      <xdr:rowOff>121571</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65147</xdr:rowOff>
    </xdr:from>
    <xdr:to>
      <xdr:col>4</xdr:col>
      <xdr:colOff>295835</xdr:colOff>
      <xdr:row>122</xdr:row>
      <xdr:rowOff>83020</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85023</xdr:rowOff>
    </xdr:from>
    <xdr:to>
      <xdr:col>4</xdr:col>
      <xdr:colOff>295835</xdr:colOff>
      <xdr:row>121</xdr:row>
      <xdr:rowOff>63988</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64801</xdr:rowOff>
    </xdr:from>
    <xdr:to>
      <xdr:col>4</xdr:col>
      <xdr:colOff>295835</xdr:colOff>
      <xdr:row>124</xdr:row>
      <xdr:rowOff>103135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86378</xdr:rowOff>
    </xdr:from>
    <xdr:to>
      <xdr:col>4</xdr:col>
      <xdr:colOff>295835</xdr:colOff>
      <xdr:row>123</xdr:row>
      <xdr:rowOff>66442</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66186</xdr:rowOff>
    </xdr:from>
    <xdr:to>
      <xdr:col>4</xdr:col>
      <xdr:colOff>276785</xdr:colOff>
      <xdr:row>247</xdr:row>
      <xdr:rowOff>101905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27798</xdr:rowOff>
    </xdr:from>
    <xdr:to>
      <xdr:col>4</xdr:col>
      <xdr:colOff>276785</xdr:colOff>
      <xdr:row>246</xdr:row>
      <xdr:rowOff>173598</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276785</xdr:colOff>
      <xdr:row>248</xdr:row>
      <xdr:rowOff>101903</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276785</xdr:colOff>
      <xdr:row>235</xdr:row>
      <xdr:rowOff>174127</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276785</xdr:colOff>
      <xdr:row>212</xdr:row>
      <xdr:rowOff>173599</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64768</xdr:rowOff>
    </xdr:from>
    <xdr:to>
      <xdr:col>4</xdr:col>
      <xdr:colOff>276785</xdr:colOff>
      <xdr:row>214</xdr:row>
      <xdr:rowOff>26740</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46343</xdr:rowOff>
    </xdr:from>
    <xdr:to>
      <xdr:col>4</xdr:col>
      <xdr:colOff>276785</xdr:colOff>
      <xdr:row>215</xdr:row>
      <xdr:rowOff>101903</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276785</xdr:colOff>
      <xdr:row>222</xdr:row>
      <xdr:rowOff>27798</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383737</xdr:rowOff>
    </xdr:from>
    <xdr:to>
      <xdr:col>4</xdr:col>
      <xdr:colOff>295835</xdr:colOff>
      <xdr:row>65</xdr:row>
      <xdr:rowOff>117146</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29403</xdr:rowOff>
    </xdr:from>
    <xdr:to>
      <xdr:col>4</xdr:col>
      <xdr:colOff>295835</xdr:colOff>
      <xdr:row>63</xdr:row>
      <xdr:rowOff>208554</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192469</xdr:rowOff>
    </xdr:from>
    <xdr:to>
      <xdr:col>4</xdr:col>
      <xdr:colOff>295835</xdr:colOff>
      <xdr:row>67</xdr:row>
      <xdr:rowOff>173997</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189982</xdr:rowOff>
    </xdr:from>
    <xdr:to>
      <xdr:col>4</xdr:col>
      <xdr:colOff>295835</xdr:colOff>
      <xdr:row>67</xdr:row>
      <xdr:rowOff>11422</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9888</xdr:rowOff>
    </xdr:from>
    <xdr:to>
      <xdr:col>4</xdr:col>
      <xdr:colOff>295835</xdr:colOff>
      <xdr:row>70</xdr:row>
      <xdr:rowOff>75601</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174322</xdr:rowOff>
    </xdr:from>
    <xdr:to>
      <xdr:col>4</xdr:col>
      <xdr:colOff>295835</xdr:colOff>
      <xdr:row>69</xdr:row>
      <xdr:rowOff>131770</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192781</xdr:rowOff>
    </xdr:from>
    <xdr:to>
      <xdr:col>4</xdr:col>
      <xdr:colOff>295835</xdr:colOff>
      <xdr:row>71</xdr:row>
      <xdr:rowOff>178536</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9561</xdr:rowOff>
    </xdr:from>
    <xdr:to>
      <xdr:col>4</xdr:col>
      <xdr:colOff>295835</xdr:colOff>
      <xdr:row>71</xdr:row>
      <xdr:rowOff>19067</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125841</xdr:rowOff>
    </xdr:from>
    <xdr:to>
      <xdr:col>4</xdr:col>
      <xdr:colOff>295835</xdr:colOff>
      <xdr:row>74</xdr:row>
      <xdr:rowOff>49377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164408</xdr:rowOff>
    </xdr:from>
    <xdr:to>
      <xdr:col>4</xdr:col>
      <xdr:colOff>295835</xdr:colOff>
      <xdr:row>73</xdr:row>
      <xdr:rowOff>460</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177842</xdr:rowOff>
    </xdr:from>
    <xdr:to>
      <xdr:col>4</xdr:col>
      <xdr:colOff>295835</xdr:colOff>
      <xdr:row>90</xdr:row>
      <xdr:rowOff>173333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26739</xdr:rowOff>
    </xdr:from>
    <xdr:to>
      <xdr:col>4</xdr:col>
      <xdr:colOff>295835</xdr:colOff>
      <xdr:row>90</xdr:row>
      <xdr:rowOff>20274</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171780</xdr:rowOff>
    </xdr:from>
    <xdr:to>
      <xdr:col>4</xdr:col>
      <xdr:colOff>295835</xdr:colOff>
      <xdr:row>92</xdr:row>
      <xdr:rowOff>160118</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352215</xdr:rowOff>
    </xdr:from>
    <xdr:to>
      <xdr:col>4</xdr:col>
      <xdr:colOff>295835</xdr:colOff>
      <xdr:row>91</xdr:row>
      <xdr:rowOff>173176</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116590</xdr:rowOff>
    </xdr:from>
    <xdr:to>
      <xdr:col>4</xdr:col>
      <xdr:colOff>295835</xdr:colOff>
      <xdr:row>94</xdr:row>
      <xdr:rowOff>141464</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172192</xdr:rowOff>
    </xdr:from>
    <xdr:to>
      <xdr:col>4</xdr:col>
      <xdr:colOff>295835</xdr:colOff>
      <xdr:row>94</xdr:row>
      <xdr:rowOff>10079</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134189</xdr:rowOff>
    </xdr:from>
    <xdr:to>
      <xdr:col>4</xdr:col>
      <xdr:colOff>295835</xdr:colOff>
      <xdr:row>96</xdr:row>
      <xdr:rowOff>140750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122126</xdr:rowOff>
    </xdr:from>
    <xdr:to>
      <xdr:col>4</xdr:col>
      <xdr:colOff>295835</xdr:colOff>
      <xdr:row>95</xdr:row>
      <xdr:rowOff>141216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45728</xdr:rowOff>
    </xdr:from>
    <xdr:to>
      <xdr:col>4</xdr:col>
      <xdr:colOff>295835</xdr:colOff>
      <xdr:row>119</xdr:row>
      <xdr:rowOff>6838</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101851</xdr:rowOff>
    </xdr:from>
    <xdr:to>
      <xdr:col>4</xdr:col>
      <xdr:colOff>295835</xdr:colOff>
      <xdr:row>117</xdr:row>
      <xdr:rowOff>151834</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105812</xdr:rowOff>
    </xdr:from>
    <xdr:to>
      <xdr:col>4</xdr:col>
      <xdr:colOff>295835</xdr:colOff>
      <xdr:row>120</xdr:row>
      <xdr:rowOff>126542</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83399</xdr:rowOff>
    </xdr:from>
    <xdr:to>
      <xdr:col>4</xdr:col>
      <xdr:colOff>295835</xdr:colOff>
      <xdr:row>119</xdr:row>
      <xdr:rowOff>121571</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65147</xdr:rowOff>
    </xdr:from>
    <xdr:to>
      <xdr:col>4</xdr:col>
      <xdr:colOff>295835</xdr:colOff>
      <xdr:row>122</xdr:row>
      <xdr:rowOff>83020</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85023</xdr:rowOff>
    </xdr:from>
    <xdr:to>
      <xdr:col>4</xdr:col>
      <xdr:colOff>295835</xdr:colOff>
      <xdr:row>121</xdr:row>
      <xdr:rowOff>63988</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64801</xdr:rowOff>
    </xdr:from>
    <xdr:to>
      <xdr:col>4</xdr:col>
      <xdr:colOff>295835</xdr:colOff>
      <xdr:row>124</xdr:row>
      <xdr:rowOff>103135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86378</xdr:rowOff>
    </xdr:from>
    <xdr:to>
      <xdr:col>4</xdr:col>
      <xdr:colOff>295835</xdr:colOff>
      <xdr:row>123</xdr:row>
      <xdr:rowOff>66442</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101848</xdr:rowOff>
    </xdr:from>
    <xdr:to>
      <xdr:col>4</xdr:col>
      <xdr:colOff>276785</xdr:colOff>
      <xdr:row>234</xdr:row>
      <xdr:rowOff>83592</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9224</xdr:rowOff>
    </xdr:from>
    <xdr:to>
      <xdr:col>4</xdr:col>
      <xdr:colOff>276785</xdr:colOff>
      <xdr:row>233</xdr:row>
      <xdr:rowOff>173786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74</xdr:rowOff>
    </xdr:from>
    <xdr:to>
      <xdr:col>4</xdr:col>
      <xdr:colOff>276785</xdr:colOff>
      <xdr:row>235</xdr:row>
      <xdr:rowOff>83592</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72</xdr:rowOff>
    </xdr:from>
    <xdr:to>
      <xdr:col>4</xdr:col>
      <xdr:colOff>276785</xdr:colOff>
      <xdr:row>223</xdr:row>
      <xdr:rowOff>484</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483</xdr:rowOff>
    </xdr:from>
    <xdr:to>
      <xdr:col>4</xdr:col>
      <xdr:colOff>276785</xdr:colOff>
      <xdr:row>200</xdr:row>
      <xdr:rowOff>121927</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46385</xdr:rowOff>
    </xdr:from>
    <xdr:to>
      <xdr:col>4</xdr:col>
      <xdr:colOff>276785</xdr:colOff>
      <xdr:row>201</xdr:row>
      <xdr:rowOff>121131</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172316</xdr:rowOff>
    </xdr:from>
    <xdr:to>
      <xdr:col>4</xdr:col>
      <xdr:colOff>276785</xdr:colOff>
      <xdr:row>202</xdr:row>
      <xdr:rowOff>126689</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142949</xdr:rowOff>
    </xdr:from>
    <xdr:to>
      <xdr:col>4</xdr:col>
      <xdr:colOff>276785</xdr:colOff>
      <xdr:row>209</xdr:row>
      <xdr:rowOff>65340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10353</xdr:rowOff>
    </xdr:from>
    <xdr:to>
      <xdr:col>4</xdr:col>
      <xdr:colOff>295835</xdr:colOff>
      <xdr:row>63</xdr:row>
      <xdr:rowOff>208554</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228341</xdr:rowOff>
    </xdr:from>
    <xdr:to>
      <xdr:col>4</xdr:col>
      <xdr:colOff>295835</xdr:colOff>
      <xdr:row>65</xdr:row>
      <xdr:rowOff>966</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208554</xdr:rowOff>
    </xdr:from>
    <xdr:to>
      <xdr:col>4</xdr:col>
      <xdr:colOff>295835</xdr:colOff>
      <xdr:row>67</xdr:row>
      <xdr:rowOff>125022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966</xdr:rowOff>
    </xdr:from>
    <xdr:to>
      <xdr:col>4</xdr:col>
      <xdr:colOff>295835</xdr:colOff>
      <xdr:row>68</xdr:row>
      <xdr:rowOff>150562</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172180</xdr:rowOff>
    </xdr:from>
    <xdr:to>
      <xdr:col>4</xdr:col>
      <xdr:colOff>295835</xdr:colOff>
      <xdr:row>69</xdr:row>
      <xdr:rowOff>95824</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29050</xdr:rowOff>
    </xdr:from>
    <xdr:to>
      <xdr:col>4</xdr:col>
      <xdr:colOff>295835</xdr:colOff>
      <xdr:row>86</xdr:row>
      <xdr:rowOff>83997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172116</xdr:rowOff>
    </xdr:from>
    <xdr:to>
      <xdr:col>4</xdr:col>
      <xdr:colOff>295835</xdr:colOff>
      <xdr:row>87</xdr:row>
      <xdr:rowOff>84065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12164</xdr:rowOff>
    </xdr:from>
    <xdr:to>
      <xdr:col>4</xdr:col>
      <xdr:colOff>295835</xdr:colOff>
      <xdr:row>87</xdr:row>
      <xdr:rowOff>238577</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7487</xdr:rowOff>
    </xdr:from>
    <xdr:to>
      <xdr:col>4</xdr:col>
      <xdr:colOff>295835</xdr:colOff>
      <xdr:row>88</xdr:row>
      <xdr:rowOff>30718</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189383</xdr:rowOff>
    </xdr:from>
    <xdr:to>
      <xdr:col>4</xdr:col>
      <xdr:colOff>295835</xdr:colOff>
      <xdr:row>108</xdr:row>
      <xdr:rowOff>103868</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131915</xdr:rowOff>
    </xdr:from>
    <xdr:to>
      <xdr:col>4</xdr:col>
      <xdr:colOff>295835</xdr:colOff>
      <xdr:row>109</xdr:row>
      <xdr:rowOff>27173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78729</xdr:rowOff>
    </xdr:from>
    <xdr:to>
      <xdr:col>4</xdr:col>
      <xdr:colOff>295835</xdr:colOff>
      <xdr:row>110</xdr:row>
      <xdr:rowOff>31566</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96022</xdr:rowOff>
    </xdr:from>
    <xdr:to>
      <xdr:col>4</xdr:col>
      <xdr:colOff>295835</xdr:colOff>
      <xdr:row>110</xdr:row>
      <xdr:rowOff>63603</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66129</xdr:rowOff>
    </xdr:from>
    <xdr:to>
      <xdr:col>4</xdr:col>
      <xdr:colOff>276785</xdr:colOff>
      <xdr:row>234</xdr:row>
      <xdr:rowOff>25804</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173521</xdr:rowOff>
    </xdr:from>
    <xdr:to>
      <xdr:col>4</xdr:col>
      <xdr:colOff>276785</xdr:colOff>
      <xdr:row>233</xdr:row>
      <xdr:rowOff>142351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173521</xdr:rowOff>
    </xdr:from>
    <xdr:to>
      <xdr:col>4</xdr:col>
      <xdr:colOff>276785</xdr:colOff>
      <xdr:row>235</xdr:row>
      <xdr:rowOff>25804</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276785</xdr:colOff>
      <xdr:row>222</xdr:row>
      <xdr:rowOff>142349</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142348</xdr:rowOff>
    </xdr:from>
    <xdr:to>
      <xdr:col>4</xdr:col>
      <xdr:colOff>276785</xdr:colOff>
      <xdr:row>200</xdr:row>
      <xdr:rowOff>121928</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83593</xdr:rowOff>
    </xdr:from>
    <xdr:to>
      <xdr:col>4</xdr:col>
      <xdr:colOff>276785</xdr:colOff>
      <xdr:row>201</xdr:row>
      <xdr:rowOff>121131</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276785</xdr:colOff>
      <xdr:row>202</xdr:row>
      <xdr:rowOff>126689</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141771</xdr:rowOff>
    </xdr:from>
    <xdr:to>
      <xdr:col>4</xdr:col>
      <xdr:colOff>276785</xdr:colOff>
      <xdr:row>209</xdr:row>
      <xdr:rowOff>45112</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265420</xdr:rowOff>
    </xdr:from>
    <xdr:to>
      <xdr:col>4</xdr:col>
      <xdr:colOff>276785</xdr:colOff>
      <xdr:row>61</xdr:row>
      <xdr:rowOff>67862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228341</xdr:rowOff>
    </xdr:from>
    <xdr:to>
      <xdr:col>4</xdr:col>
      <xdr:colOff>276785</xdr:colOff>
      <xdr:row>62</xdr:row>
      <xdr:rowOff>122147</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208554</xdr:rowOff>
    </xdr:from>
    <xdr:to>
      <xdr:col>4</xdr:col>
      <xdr:colOff>276785</xdr:colOff>
      <xdr:row>68</xdr:row>
      <xdr:rowOff>103373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163485</xdr:rowOff>
    </xdr:from>
    <xdr:to>
      <xdr:col>4</xdr:col>
      <xdr:colOff>276785</xdr:colOff>
      <xdr:row>71</xdr:row>
      <xdr:rowOff>8800</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172180</xdr:rowOff>
    </xdr:from>
    <xdr:to>
      <xdr:col>4</xdr:col>
      <xdr:colOff>276785</xdr:colOff>
      <xdr:row>73</xdr:row>
      <xdr:rowOff>2086</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57968</xdr:rowOff>
    </xdr:from>
    <xdr:to>
      <xdr:col>4</xdr:col>
      <xdr:colOff>276785</xdr:colOff>
      <xdr:row>86</xdr:row>
      <xdr:rowOff>83997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162473</xdr:rowOff>
    </xdr:from>
    <xdr:to>
      <xdr:col>4</xdr:col>
      <xdr:colOff>276785</xdr:colOff>
      <xdr:row>87</xdr:row>
      <xdr:rowOff>84065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162366</xdr:rowOff>
    </xdr:from>
    <xdr:to>
      <xdr:col>4</xdr:col>
      <xdr:colOff>276785</xdr:colOff>
      <xdr:row>87</xdr:row>
      <xdr:rowOff>238577</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144492</xdr:rowOff>
    </xdr:from>
    <xdr:to>
      <xdr:col>4</xdr:col>
      <xdr:colOff>276785</xdr:colOff>
      <xdr:row>88</xdr:row>
      <xdr:rowOff>30718</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160015</xdr:rowOff>
    </xdr:from>
    <xdr:to>
      <xdr:col>4</xdr:col>
      <xdr:colOff>276785</xdr:colOff>
      <xdr:row>108</xdr:row>
      <xdr:rowOff>116705</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140646</xdr:rowOff>
    </xdr:from>
    <xdr:to>
      <xdr:col>4</xdr:col>
      <xdr:colOff>276785</xdr:colOff>
      <xdr:row>108</xdr:row>
      <xdr:rowOff>116705</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77935</xdr:rowOff>
    </xdr:from>
    <xdr:to>
      <xdr:col>4</xdr:col>
      <xdr:colOff>276785</xdr:colOff>
      <xdr:row>109</xdr:row>
      <xdr:rowOff>85304</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57478</xdr:rowOff>
    </xdr:from>
    <xdr:to>
      <xdr:col>4</xdr:col>
      <xdr:colOff>276785</xdr:colOff>
      <xdr:row>109</xdr:row>
      <xdr:rowOff>172846</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63750</xdr:rowOff>
    </xdr:from>
    <xdr:to>
      <xdr:col>4</xdr:col>
      <xdr:colOff>276785</xdr:colOff>
      <xdr:row>235</xdr:row>
      <xdr:rowOff>25804</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173519</xdr:rowOff>
    </xdr:from>
    <xdr:to>
      <xdr:col>4</xdr:col>
      <xdr:colOff>276785</xdr:colOff>
      <xdr:row>234</xdr:row>
      <xdr:rowOff>142348</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276785</xdr:colOff>
      <xdr:row>236</xdr:row>
      <xdr:rowOff>25804</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276785</xdr:colOff>
      <xdr:row>223</xdr:row>
      <xdr:rowOff>142349</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142268</xdr:rowOff>
    </xdr:from>
    <xdr:to>
      <xdr:col>4</xdr:col>
      <xdr:colOff>276785</xdr:colOff>
      <xdr:row>201</xdr:row>
      <xdr:rowOff>63747</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46232</xdr:rowOff>
    </xdr:from>
    <xdr:to>
      <xdr:col>4</xdr:col>
      <xdr:colOff>276785</xdr:colOff>
      <xdr:row>202</xdr:row>
      <xdr:rowOff>101850</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276785</xdr:colOff>
      <xdr:row>203</xdr:row>
      <xdr:rowOff>83593</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121131</xdr:rowOff>
    </xdr:from>
    <xdr:to>
      <xdr:col>4</xdr:col>
      <xdr:colOff>276785</xdr:colOff>
      <xdr:row>210</xdr:row>
      <xdr:rowOff>45110</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245651</xdr:rowOff>
    </xdr:from>
    <xdr:to>
      <xdr:col>4</xdr:col>
      <xdr:colOff>276785</xdr:colOff>
      <xdr:row>63</xdr:row>
      <xdr:rowOff>2104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2104</xdr:rowOff>
    </xdr:from>
    <xdr:to>
      <xdr:col>4</xdr:col>
      <xdr:colOff>276785</xdr:colOff>
      <xdr:row>63</xdr:row>
      <xdr:rowOff>95471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163485</xdr:rowOff>
    </xdr:from>
    <xdr:to>
      <xdr:col>4</xdr:col>
      <xdr:colOff>276785</xdr:colOff>
      <xdr:row>69</xdr:row>
      <xdr:rowOff>76629</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172762</xdr:rowOff>
    </xdr:from>
    <xdr:to>
      <xdr:col>4</xdr:col>
      <xdr:colOff>276785</xdr:colOff>
      <xdr:row>71</xdr:row>
      <xdr:rowOff>125627</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144010</xdr:rowOff>
    </xdr:from>
    <xdr:to>
      <xdr:col>4</xdr:col>
      <xdr:colOff>276785</xdr:colOff>
      <xdr:row>73</xdr:row>
      <xdr:rowOff>115160</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162473</xdr:rowOff>
    </xdr:from>
    <xdr:to>
      <xdr:col>4</xdr:col>
      <xdr:colOff>276785</xdr:colOff>
      <xdr:row>87</xdr:row>
      <xdr:rowOff>84065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162366</xdr:rowOff>
    </xdr:from>
    <xdr:to>
      <xdr:col>4</xdr:col>
      <xdr:colOff>276785</xdr:colOff>
      <xdr:row>87</xdr:row>
      <xdr:rowOff>238577</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144492</xdr:rowOff>
    </xdr:from>
    <xdr:to>
      <xdr:col>4</xdr:col>
      <xdr:colOff>276785</xdr:colOff>
      <xdr:row>88</xdr:row>
      <xdr:rowOff>30718</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140897</xdr:rowOff>
    </xdr:from>
    <xdr:to>
      <xdr:col>4</xdr:col>
      <xdr:colOff>276785</xdr:colOff>
      <xdr:row>89</xdr:row>
      <xdr:rowOff>88474</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140646</xdr:rowOff>
    </xdr:from>
    <xdr:to>
      <xdr:col>4</xdr:col>
      <xdr:colOff>276785</xdr:colOff>
      <xdr:row>110</xdr:row>
      <xdr:rowOff>26063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77935</xdr:rowOff>
    </xdr:from>
    <xdr:to>
      <xdr:col>4</xdr:col>
      <xdr:colOff>276785</xdr:colOff>
      <xdr:row>110</xdr:row>
      <xdr:rowOff>26063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12220</xdr:rowOff>
    </xdr:from>
    <xdr:to>
      <xdr:col>4</xdr:col>
      <xdr:colOff>276785</xdr:colOff>
      <xdr:row>110</xdr:row>
      <xdr:rowOff>30826</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210907</xdr:rowOff>
    </xdr:from>
    <xdr:to>
      <xdr:col>4</xdr:col>
      <xdr:colOff>276785</xdr:colOff>
      <xdr:row>110</xdr:row>
      <xdr:rowOff>164873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753790</xdr:colOff>
      <xdr:row>20</xdr:row>
      <xdr:rowOff>624</xdr:rowOff>
    </xdr:from>
    <xdr:to>
      <xdr:col>20</xdr:col>
      <xdr:colOff>601391</xdr:colOff>
      <xdr:row>24</xdr:row>
      <xdr:rowOff>6840</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715690</xdr:colOff>
      <xdr:row>25</xdr:row>
      <xdr:rowOff>58878</xdr:rowOff>
    </xdr:from>
    <xdr:to>
      <xdr:col>20</xdr:col>
      <xdr:colOff>429941</xdr:colOff>
      <xdr:row>29</xdr:row>
      <xdr:rowOff>66426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715690</xdr:colOff>
      <xdr:row>37</xdr:row>
      <xdr:rowOff>122327</xdr:rowOff>
    </xdr:from>
    <xdr:to>
      <xdr:col>20</xdr:col>
      <xdr:colOff>429941</xdr:colOff>
      <xdr:row>42</xdr:row>
      <xdr:rowOff>11434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715690</xdr:colOff>
      <xdr:row>130</xdr:row>
      <xdr:rowOff>126424</xdr:rowOff>
    </xdr:from>
    <xdr:to>
      <xdr:col>20</xdr:col>
      <xdr:colOff>429941</xdr:colOff>
      <xdr:row>134</xdr:row>
      <xdr:rowOff>168756</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25806</xdr:rowOff>
    </xdr:from>
    <xdr:to>
      <xdr:col>4</xdr:col>
      <xdr:colOff>276785</xdr:colOff>
      <xdr:row>260</xdr:row>
      <xdr:rowOff>25807</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276785</xdr:colOff>
      <xdr:row>259</xdr:row>
      <xdr:rowOff>142348</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241</xdr:row>
      <xdr:rowOff>173519</xdr:rowOff>
    </xdr:from>
    <xdr:to>
      <xdr:col>4</xdr:col>
      <xdr:colOff>276785</xdr:colOff>
      <xdr:row>261</xdr:row>
      <xdr:rowOff>25804</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242</xdr:row>
      <xdr:rowOff>173521</xdr:rowOff>
    </xdr:from>
    <xdr:to>
      <xdr:col>4</xdr:col>
      <xdr:colOff>276785</xdr:colOff>
      <xdr:row>248</xdr:row>
      <xdr:rowOff>142349</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121927</xdr:rowOff>
    </xdr:from>
    <xdr:to>
      <xdr:col>4</xdr:col>
      <xdr:colOff>276785</xdr:colOff>
      <xdr:row>225</xdr:row>
      <xdr:rowOff>142348</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276785</xdr:colOff>
      <xdr:row>226</xdr:row>
      <xdr:rowOff>173520</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173520</xdr:rowOff>
    </xdr:from>
    <xdr:to>
      <xdr:col>4</xdr:col>
      <xdr:colOff>276785</xdr:colOff>
      <xdr:row>228</xdr:row>
      <xdr:rowOff>25804</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173521</xdr:rowOff>
    </xdr:from>
    <xdr:to>
      <xdr:col>4</xdr:col>
      <xdr:colOff>276785</xdr:colOff>
      <xdr:row>234</xdr:row>
      <xdr:rowOff>173519</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27828</xdr:rowOff>
    </xdr:from>
    <xdr:to>
      <xdr:col>4</xdr:col>
      <xdr:colOff>276785</xdr:colOff>
      <xdr:row>25</xdr:row>
      <xdr:rowOff>96978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8281</xdr:rowOff>
    </xdr:from>
    <xdr:to>
      <xdr:col>4</xdr:col>
      <xdr:colOff>276785</xdr:colOff>
      <xdr:row>87</xdr:row>
      <xdr:rowOff>311498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8281</xdr:rowOff>
    </xdr:from>
    <xdr:to>
      <xdr:col>4</xdr:col>
      <xdr:colOff>276785</xdr:colOff>
      <xdr:row>89</xdr:row>
      <xdr:rowOff>49467</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142805</xdr:rowOff>
    </xdr:from>
    <xdr:to>
      <xdr:col>4</xdr:col>
      <xdr:colOff>276785</xdr:colOff>
      <xdr:row>89</xdr:row>
      <xdr:rowOff>134110</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172304</xdr:rowOff>
    </xdr:from>
    <xdr:to>
      <xdr:col>4</xdr:col>
      <xdr:colOff>276785</xdr:colOff>
      <xdr:row>92</xdr:row>
      <xdr:rowOff>87251</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96518</xdr:rowOff>
    </xdr:from>
    <xdr:to>
      <xdr:col>4</xdr:col>
      <xdr:colOff>276785</xdr:colOff>
      <xdr:row>98</xdr:row>
      <xdr:rowOff>47810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67953</xdr:rowOff>
    </xdr:from>
    <xdr:to>
      <xdr:col>4</xdr:col>
      <xdr:colOff>276785</xdr:colOff>
      <xdr:row>108</xdr:row>
      <xdr:rowOff>171611</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1179</xdr:rowOff>
    </xdr:from>
    <xdr:to>
      <xdr:col>4</xdr:col>
      <xdr:colOff>276785</xdr:colOff>
      <xdr:row>109</xdr:row>
      <xdr:rowOff>141682</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168682</xdr:rowOff>
    </xdr:from>
    <xdr:to>
      <xdr:col>4</xdr:col>
      <xdr:colOff>276785</xdr:colOff>
      <xdr:row>111</xdr:row>
      <xdr:rowOff>949</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115591</xdr:rowOff>
    </xdr:from>
    <xdr:to>
      <xdr:col>4</xdr:col>
      <xdr:colOff>276785</xdr:colOff>
      <xdr:row>112</xdr:row>
      <xdr:rowOff>25495</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129</xdr:row>
      <xdr:rowOff>172983</xdr:rowOff>
    </xdr:from>
    <xdr:to>
      <xdr:col>4</xdr:col>
      <xdr:colOff>276785</xdr:colOff>
      <xdr:row>134</xdr:row>
      <xdr:rowOff>172460</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130</xdr:row>
      <xdr:rowOff>126424</xdr:rowOff>
    </xdr:from>
    <xdr:to>
      <xdr:col>4</xdr:col>
      <xdr:colOff>276785</xdr:colOff>
      <xdr:row>134</xdr:row>
      <xdr:rowOff>172460</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102908</xdr:rowOff>
    </xdr:from>
    <xdr:to>
      <xdr:col>4</xdr:col>
      <xdr:colOff>276785</xdr:colOff>
      <xdr:row>134</xdr:row>
      <xdr:rowOff>172460</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47345</xdr:rowOff>
    </xdr:from>
    <xdr:to>
      <xdr:col>4</xdr:col>
      <xdr:colOff>276785</xdr:colOff>
      <xdr:row>134</xdr:row>
      <xdr:rowOff>172460</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37</xdr:row>
      <xdr:rowOff>122327</xdr:rowOff>
    </xdr:from>
    <xdr:to>
      <xdr:col>20</xdr:col>
      <xdr:colOff>429941</xdr:colOff>
      <xdr:row>42</xdr:row>
      <xdr:rowOff>11434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155</xdr:row>
      <xdr:rowOff>64571</xdr:rowOff>
    </xdr:from>
    <xdr:to>
      <xdr:col>20</xdr:col>
      <xdr:colOff>429941</xdr:colOff>
      <xdr:row>159</xdr:row>
      <xdr:rowOff>121160</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734740</xdr:colOff>
      <xdr:row>43</xdr:row>
      <xdr:rowOff>151989</xdr:rowOff>
    </xdr:from>
    <xdr:to>
      <xdr:col>20</xdr:col>
      <xdr:colOff>354108</xdr:colOff>
      <xdr:row>48</xdr:row>
      <xdr:rowOff>78964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44</xdr:row>
      <xdr:rowOff>159349</xdr:rowOff>
    </xdr:from>
    <xdr:to>
      <xdr:col>15</xdr:col>
      <xdr:colOff>373159</xdr:colOff>
      <xdr:row>49</xdr:row>
      <xdr:rowOff>78965</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28276</xdr:rowOff>
    </xdr:from>
    <xdr:to>
      <xdr:col>4</xdr:col>
      <xdr:colOff>276785</xdr:colOff>
      <xdr:row>256</xdr:row>
      <xdr:rowOff>28276</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173519</xdr:rowOff>
    </xdr:from>
    <xdr:to>
      <xdr:col>4</xdr:col>
      <xdr:colOff>276785</xdr:colOff>
      <xdr:row>255</xdr:row>
      <xdr:rowOff>172727</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173521</xdr:rowOff>
    </xdr:from>
    <xdr:to>
      <xdr:col>4</xdr:col>
      <xdr:colOff>276785</xdr:colOff>
      <xdr:row>257</xdr:row>
      <xdr:rowOff>28275</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276785</xdr:colOff>
      <xdr:row>244</xdr:row>
      <xdr:rowOff>172726</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121927</xdr:rowOff>
    </xdr:from>
    <xdr:to>
      <xdr:col>4</xdr:col>
      <xdr:colOff>276785</xdr:colOff>
      <xdr:row>221</xdr:row>
      <xdr:rowOff>172726</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276785</xdr:colOff>
      <xdr:row>223</xdr:row>
      <xdr:rowOff>8981</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173521</xdr:rowOff>
    </xdr:from>
    <xdr:to>
      <xdr:col>4</xdr:col>
      <xdr:colOff>276785</xdr:colOff>
      <xdr:row>224</xdr:row>
      <xdr:rowOff>28276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276785</xdr:colOff>
      <xdr:row>231</xdr:row>
      <xdr:rowOff>8979</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1321</xdr:rowOff>
    </xdr:from>
    <xdr:to>
      <xdr:col>4</xdr:col>
      <xdr:colOff>276785</xdr:colOff>
      <xdr:row>84</xdr:row>
      <xdr:rowOff>142935</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1321</xdr:rowOff>
    </xdr:from>
    <xdr:to>
      <xdr:col>4</xdr:col>
      <xdr:colOff>276785</xdr:colOff>
      <xdr:row>86</xdr:row>
      <xdr:rowOff>57535</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107465</xdr:rowOff>
    </xdr:from>
    <xdr:to>
      <xdr:col>4</xdr:col>
      <xdr:colOff>276785</xdr:colOff>
      <xdr:row>87</xdr:row>
      <xdr:rowOff>7783</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97250</xdr:rowOff>
    </xdr:from>
    <xdr:to>
      <xdr:col>4</xdr:col>
      <xdr:colOff>276785</xdr:colOff>
      <xdr:row>89</xdr:row>
      <xdr:rowOff>39391</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113998</xdr:rowOff>
    </xdr:from>
    <xdr:to>
      <xdr:col>4</xdr:col>
      <xdr:colOff>276785</xdr:colOff>
      <xdr:row>94</xdr:row>
      <xdr:rowOff>46435</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27727</xdr:rowOff>
    </xdr:from>
    <xdr:to>
      <xdr:col>4</xdr:col>
      <xdr:colOff>276785</xdr:colOff>
      <xdr:row>105</xdr:row>
      <xdr:rowOff>140646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172808</xdr:rowOff>
    </xdr:from>
    <xdr:to>
      <xdr:col>4</xdr:col>
      <xdr:colOff>276785</xdr:colOff>
      <xdr:row>106</xdr:row>
      <xdr:rowOff>77935</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174457</xdr:rowOff>
    </xdr:from>
    <xdr:to>
      <xdr:col>4</xdr:col>
      <xdr:colOff>276785</xdr:colOff>
      <xdr:row>107</xdr:row>
      <xdr:rowOff>12220</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85579</xdr:rowOff>
    </xdr:from>
    <xdr:to>
      <xdr:col>4</xdr:col>
      <xdr:colOff>276785</xdr:colOff>
      <xdr:row>108</xdr:row>
      <xdr:rowOff>12344</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168525</xdr:rowOff>
    </xdr:from>
    <xdr:to>
      <xdr:col>4</xdr:col>
      <xdr:colOff>276785</xdr:colOff>
      <xdr:row>130</xdr:row>
      <xdr:rowOff>172608</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116392</xdr:rowOff>
    </xdr:from>
    <xdr:to>
      <xdr:col>4</xdr:col>
      <xdr:colOff>276785</xdr:colOff>
      <xdr:row>130</xdr:row>
      <xdr:rowOff>172608</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145123</xdr:rowOff>
    </xdr:from>
    <xdr:to>
      <xdr:col>4</xdr:col>
      <xdr:colOff>276785</xdr:colOff>
      <xdr:row>130</xdr:row>
      <xdr:rowOff>172608</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86541</xdr:rowOff>
    </xdr:from>
    <xdr:to>
      <xdr:col>4</xdr:col>
      <xdr:colOff>276785</xdr:colOff>
      <xdr:row>130</xdr:row>
      <xdr:rowOff>172608</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33</xdr:row>
      <xdr:rowOff>141203</xdr:rowOff>
    </xdr:from>
    <xdr:to>
      <xdr:col>20</xdr:col>
      <xdr:colOff>429941</xdr:colOff>
      <xdr:row>37</xdr:row>
      <xdr:rowOff>144552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151</xdr:row>
      <xdr:rowOff>25677</xdr:rowOff>
    </xdr:from>
    <xdr:to>
      <xdr:col>20</xdr:col>
      <xdr:colOff>429941</xdr:colOff>
      <xdr:row>155</xdr:row>
      <xdr:rowOff>83621</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734740</xdr:colOff>
      <xdr:row>39</xdr:row>
      <xdr:rowOff>120849</xdr:rowOff>
    </xdr:from>
    <xdr:to>
      <xdr:col>20</xdr:col>
      <xdr:colOff>354108</xdr:colOff>
      <xdr:row>44</xdr:row>
      <xdr:rowOff>9675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40</xdr:row>
      <xdr:rowOff>125407</xdr:rowOff>
    </xdr:from>
    <xdr:to>
      <xdr:col>15</xdr:col>
      <xdr:colOff>373159</xdr:colOff>
      <xdr:row>45</xdr:row>
      <xdr:rowOff>27932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83594</xdr:rowOff>
    </xdr:from>
    <xdr:to>
      <xdr:col>4</xdr:col>
      <xdr:colOff>276785</xdr:colOff>
      <xdr:row>233</xdr:row>
      <xdr:rowOff>66133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25806</xdr:rowOff>
    </xdr:from>
    <xdr:to>
      <xdr:col>4</xdr:col>
      <xdr:colOff>276785</xdr:colOff>
      <xdr:row>232</xdr:row>
      <xdr:rowOff>174315</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44943</xdr:rowOff>
    </xdr:from>
    <xdr:to>
      <xdr:col>4</xdr:col>
      <xdr:colOff>276785</xdr:colOff>
      <xdr:row>234</xdr:row>
      <xdr:rowOff>66130</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221</xdr:row>
      <xdr:rowOff>174314</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121926</xdr:rowOff>
    </xdr:from>
    <xdr:to>
      <xdr:col>4</xdr:col>
      <xdr:colOff>276785</xdr:colOff>
      <xdr:row>199</xdr:row>
      <xdr:rowOff>172513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9338</xdr:rowOff>
    </xdr:from>
    <xdr:to>
      <xdr:col>4</xdr:col>
      <xdr:colOff>276785</xdr:colOff>
      <xdr:row>200</xdr:row>
      <xdr:rowOff>142350</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46232</xdr:rowOff>
    </xdr:from>
    <xdr:to>
      <xdr:col>4</xdr:col>
      <xdr:colOff>276785</xdr:colOff>
      <xdr:row>201</xdr:row>
      <xdr:rowOff>160606</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276785</xdr:colOff>
      <xdr:row>208</xdr:row>
      <xdr:rowOff>101849</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384133</xdr:rowOff>
    </xdr:from>
    <xdr:to>
      <xdr:col>4</xdr:col>
      <xdr:colOff>276785</xdr:colOff>
      <xdr:row>61</xdr:row>
      <xdr:rowOff>245813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384133</xdr:rowOff>
    </xdr:from>
    <xdr:to>
      <xdr:col>4</xdr:col>
      <xdr:colOff>276785</xdr:colOff>
      <xdr:row>62</xdr:row>
      <xdr:rowOff>149705</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303513</xdr:rowOff>
    </xdr:from>
    <xdr:to>
      <xdr:col>4</xdr:col>
      <xdr:colOff>276785</xdr:colOff>
      <xdr:row>64</xdr:row>
      <xdr:rowOff>74449</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285339</xdr:rowOff>
    </xdr:from>
    <xdr:to>
      <xdr:col>4</xdr:col>
      <xdr:colOff>276785</xdr:colOff>
      <xdr:row>68</xdr:row>
      <xdr:rowOff>105385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36685</xdr:rowOff>
    </xdr:from>
    <xdr:to>
      <xdr:col>4</xdr:col>
      <xdr:colOff>276785</xdr:colOff>
      <xdr:row>73</xdr:row>
      <xdr:rowOff>35344</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16423</xdr:rowOff>
    </xdr:from>
    <xdr:to>
      <xdr:col>4</xdr:col>
      <xdr:colOff>276785</xdr:colOff>
      <xdr:row>83</xdr:row>
      <xdr:rowOff>174184</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162294</xdr:rowOff>
    </xdr:from>
    <xdr:to>
      <xdr:col>4</xdr:col>
      <xdr:colOff>276785</xdr:colOff>
      <xdr:row>85</xdr:row>
      <xdr:rowOff>11997</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125721</xdr:rowOff>
    </xdr:from>
    <xdr:to>
      <xdr:col>4</xdr:col>
      <xdr:colOff>276785</xdr:colOff>
      <xdr:row>86</xdr:row>
      <xdr:rowOff>37691</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115506</xdr:rowOff>
    </xdr:from>
    <xdr:to>
      <xdr:col>4</xdr:col>
      <xdr:colOff>276785</xdr:colOff>
      <xdr:row>87</xdr:row>
      <xdr:rowOff>30660</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210454</xdr:rowOff>
    </xdr:from>
    <xdr:to>
      <xdr:col>4</xdr:col>
      <xdr:colOff>276785</xdr:colOff>
      <xdr:row>108</xdr:row>
      <xdr:rowOff>6554</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152221</xdr:rowOff>
    </xdr:from>
    <xdr:to>
      <xdr:col>4</xdr:col>
      <xdr:colOff>276785</xdr:colOff>
      <xdr:row>108</xdr:row>
      <xdr:rowOff>6554</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78268</xdr:rowOff>
    </xdr:from>
    <xdr:to>
      <xdr:col>4</xdr:col>
      <xdr:colOff>276785</xdr:colOff>
      <xdr:row>108</xdr:row>
      <xdr:rowOff>6554</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39907</xdr:rowOff>
    </xdr:from>
    <xdr:to>
      <xdr:col>4</xdr:col>
      <xdr:colOff>276785</xdr:colOff>
      <xdr:row>108</xdr:row>
      <xdr:rowOff>6554</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128</xdr:row>
      <xdr:rowOff>145204</xdr:rowOff>
    </xdr:from>
    <xdr:to>
      <xdr:col>20</xdr:col>
      <xdr:colOff>429941</xdr:colOff>
      <xdr:row>133</xdr:row>
      <xdr:rowOff>6532</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25</xdr:row>
      <xdr:rowOff>170119</xdr:rowOff>
    </xdr:from>
    <xdr:to>
      <xdr:col>21</xdr:col>
      <xdr:colOff>601390</xdr:colOff>
      <xdr:row>30</xdr:row>
      <xdr:rowOff>11126</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35</xdr:row>
      <xdr:rowOff>104780</xdr:rowOff>
    </xdr:from>
    <xdr:to>
      <xdr:col>21</xdr:col>
      <xdr:colOff>601390</xdr:colOff>
      <xdr:row>39</xdr:row>
      <xdr:rowOff>144877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132</xdr:row>
      <xdr:rowOff>172730</xdr:rowOff>
    </xdr:from>
    <xdr:to>
      <xdr:col>21</xdr:col>
      <xdr:colOff>601390</xdr:colOff>
      <xdr:row>136</xdr:row>
      <xdr:rowOff>103169</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65335</xdr:rowOff>
    </xdr:from>
    <xdr:to>
      <xdr:col>4</xdr:col>
      <xdr:colOff>276785</xdr:colOff>
      <xdr:row>234</xdr:row>
      <xdr:rowOff>66130</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44943</xdr:rowOff>
    </xdr:from>
    <xdr:to>
      <xdr:col>4</xdr:col>
      <xdr:colOff>276785</xdr:colOff>
      <xdr:row>233</xdr:row>
      <xdr:rowOff>174316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235</xdr:row>
      <xdr:rowOff>66130</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44944</xdr:rowOff>
    </xdr:from>
    <xdr:to>
      <xdr:col>4</xdr:col>
      <xdr:colOff>276785</xdr:colOff>
      <xdr:row>222</xdr:row>
      <xdr:rowOff>174315</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121926</xdr:rowOff>
    </xdr:from>
    <xdr:to>
      <xdr:col>4</xdr:col>
      <xdr:colOff>276785</xdr:colOff>
      <xdr:row>200</xdr:row>
      <xdr:rowOff>84388</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45736</xdr:rowOff>
    </xdr:from>
    <xdr:to>
      <xdr:col>4</xdr:col>
      <xdr:colOff>276785</xdr:colOff>
      <xdr:row>201</xdr:row>
      <xdr:rowOff>172841</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276785</xdr:colOff>
      <xdr:row>202</xdr:row>
      <xdr:rowOff>144152</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144153</xdr:rowOff>
    </xdr:from>
    <xdr:to>
      <xdr:col>4</xdr:col>
      <xdr:colOff>276785</xdr:colOff>
      <xdr:row>209</xdr:row>
      <xdr:rowOff>101852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62</xdr:row>
      <xdr:rowOff>173151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65</xdr:row>
      <xdr:rowOff>172974</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121924</xdr:rowOff>
    </xdr:from>
    <xdr:to>
      <xdr:col>4</xdr:col>
      <xdr:colOff>276785</xdr:colOff>
      <xdr:row>67</xdr:row>
      <xdr:rowOff>124254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154054</xdr:rowOff>
    </xdr:from>
    <xdr:to>
      <xdr:col>4</xdr:col>
      <xdr:colOff>276785</xdr:colOff>
      <xdr:row>70</xdr:row>
      <xdr:rowOff>178516</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9806</xdr:rowOff>
    </xdr:from>
    <xdr:to>
      <xdr:col>4</xdr:col>
      <xdr:colOff>276785</xdr:colOff>
      <xdr:row>74</xdr:row>
      <xdr:rowOff>68794</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162294</xdr:rowOff>
    </xdr:from>
    <xdr:to>
      <xdr:col>4</xdr:col>
      <xdr:colOff>276785</xdr:colOff>
      <xdr:row>85</xdr:row>
      <xdr:rowOff>11997</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125721</xdr:rowOff>
    </xdr:from>
    <xdr:to>
      <xdr:col>4</xdr:col>
      <xdr:colOff>276785</xdr:colOff>
      <xdr:row>86</xdr:row>
      <xdr:rowOff>37691</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115506</xdr:rowOff>
    </xdr:from>
    <xdr:to>
      <xdr:col>4</xdr:col>
      <xdr:colOff>276785</xdr:colOff>
      <xdr:row>87</xdr:row>
      <xdr:rowOff>30660</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59452</xdr:rowOff>
    </xdr:from>
    <xdr:to>
      <xdr:col>4</xdr:col>
      <xdr:colOff>276785</xdr:colOff>
      <xdr:row>87</xdr:row>
      <xdr:rowOff>288583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152221</xdr:rowOff>
    </xdr:from>
    <xdr:to>
      <xdr:col>4</xdr:col>
      <xdr:colOff>276785</xdr:colOff>
      <xdr:row>108</xdr:row>
      <xdr:rowOff>134071</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78268</xdr:rowOff>
    </xdr:from>
    <xdr:to>
      <xdr:col>4</xdr:col>
      <xdr:colOff>276785</xdr:colOff>
      <xdr:row>108</xdr:row>
      <xdr:rowOff>134071</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28968</xdr:rowOff>
    </xdr:from>
    <xdr:to>
      <xdr:col>4</xdr:col>
      <xdr:colOff>276785</xdr:colOff>
      <xdr:row>108</xdr:row>
      <xdr:rowOff>134071</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200410</xdr:rowOff>
    </xdr:from>
    <xdr:to>
      <xdr:col>4</xdr:col>
      <xdr:colOff>276785</xdr:colOff>
      <xdr:row>108</xdr:row>
      <xdr:rowOff>134071</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129</xdr:row>
      <xdr:rowOff>121194</xdr:rowOff>
    </xdr:from>
    <xdr:to>
      <xdr:col>20</xdr:col>
      <xdr:colOff>429941</xdr:colOff>
      <xdr:row>134</xdr:row>
      <xdr:rowOff>6531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25</xdr:row>
      <xdr:rowOff>170119</xdr:rowOff>
    </xdr:from>
    <xdr:to>
      <xdr:col>21</xdr:col>
      <xdr:colOff>601390</xdr:colOff>
      <xdr:row>30</xdr:row>
      <xdr:rowOff>1601</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36</xdr:row>
      <xdr:rowOff>102398</xdr:rowOff>
    </xdr:from>
    <xdr:to>
      <xdr:col>21</xdr:col>
      <xdr:colOff>601390</xdr:colOff>
      <xdr:row>40</xdr:row>
      <xdr:rowOff>144457</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133</xdr:row>
      <xdr:rowOff>172728</xdr:rowOff>
    </xdr:from>
    <xdr:to>
      <xdr:col>21</xdr:col>
      <xdr:colOff>601390</xdr:colOff>
      <xdr:row>137</xdr:row>
      <xdr:rowOff>103170</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65335</xdr:rowOff>
    </xdr:from>
    <xdr:to>
      <xdr:col>4</xdr:col>
      <xdr:colOff>276785</xdr:colOff>
      <xdr:row>234</xdr:row>
      <xdr:rowOff>66130</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44943</xdr:rowOff>
    </xdr:from>
    <xdr:to>
      <xdr:col>4</xdr:col>
      <xdr:colOff>276785</xdr:colOff>
      <xdr:row>233</xdr:row>
      <xdr:rowOff>174316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235</xdr:row>
      <xdr:rowOff>66130</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44944</xdr:rowOff>
    </xdr:from>
    <xdr:to>
      <xdr:col>4</xdr:col>
      <xdr:colOff>276785</xdr:colOff>
      <xdr:row>222</xdr:row>
      <xdr:rowOff>174315</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121926</xdr:rowOff>
    </xdr:from>
    <xdr:to>
      <xdr:col>4</xdr:col>
      <xdr:colOff>276785</xdr:colOff>
      <xdr:row>200</xdr:row>
      <xdr:rowOff>84388</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45736</xdr:rowOff>
    </xdr:from>
    <xdr:to>
      <xdr:col>4</xdr:col>
      <xdr:colOff>276785</xdr:colOff>
      <xdr:row>201</xdr:row>
      <xdr:rowOff>172841</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276785</xdr:colOff>
      <xdr:row>202</xdr:row>
      <xdr:rowOff>144152</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144153</xdr:rowOff>
    </xdr:from>
    <xdr:to>
      <xdr:col>4</xdr:col>
      <xdr:colOff>276785</xdr:colOff>
      <xdr:row>209</xdr:row>
      <xdr:rowOff>101852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62</xdr:row>
      <xdr:rowOff>173151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65</xdr:row>
      <xdr:rowOff>172974</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121924</xdr:rowOff>
    </xdr:from>
    <xdr:to>
      <xdr:col>4</xdr:col>
      <xdr:colOff>276785</xdr:colOff>
      <xdr:row>67</xdr:row>
      <xdr:rowOff>124254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154054</xdr:rowOff>
    </xdr:from>
    <xdr:to>
      <xdr:col>4</xdr:col>
      <xdr:colOff>276785</xdr:colOff>
      <xdr:row>70</xdr:row>
      <xdr:rowOff>178516</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9806</xdr:rowOff>
    </xdr:from>
    <xdr:to>
      <xdr:col>4</xdr:col>
      <xdr:colOff>276785</xdr:colOff>
      <xdr:row>74</xdr:row>
      <xdr:rowOff>68794</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162294</xdr:rowOff>
    </xdr:from>
    <xdr:to>
      <xdr:col>4</xdr:col>
      <xdr:colOff>276785</xdr:colOff>
      <xdr:row>85</xdr:row>
      <xdr:rowOff>11997</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125721</xdr:rowOff>
    </xdr:from>
    <xdr:to>
      <xdr:col>4</xdr:col>
      <xdr:colOff>276785</xdr:colOff>
      <xdr:row>86</xdr:row>
      <xdr:rowOff>37691</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115506</xdr:rowOff>
    </xdr:from>
    <xdr:to>
      <xdr:col>4</xdr:col>
      <xdr:colOff>276785</xdr:colOff>
      <xdr:row>87</xdr:row>
      <xdr:rowOff>30660</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59452</xdr:rowOff>
    </xdr:from>
    <xdr:to>
      <xdr:col>4</xdr:col>
      <xdr:colOff>276785</xdr:colOff>
      <xdr:row>87</xdr:row>
      <xdr:rowOff>288583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152221</xdr:rowOff>
    </xdr:from>
    <xdr:to>
      <xdr:col>4</xdr:col>
      <xdr:colOff>276785</xdr:colOff>
      <xdr:row>108</xdr:row>
      <xdr:rowOff>134071</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78268</xdr:rowOff>
    </xdr:from>
    <xdr:to>
      <xdr:col>4</xdr:col>
      <xdr:colOff>276785</xdr:colOff>
      <xdr:row>108</xdr:row>
      <xdr:rowOff>134071</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28968</xdr:rowOff>
    </xdr:from>
    <xdr:to>
      <xdr:col>4</xdr:col>
      <xdr:colOff>276785</xdr:colOff>
      <xdr:row>108</xdr:row>
      <xdr:rowOff>134071</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200410</xdr:rowOff>
    </xdr:from>
    <xdr:to>
      <xdr:col>4</xdr:col>
      <xdr:colOff>276785</xdr:colOff>
      <xdr:row>108</xdr:row>
      <xdr:rowOff>134071</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129</xdr:row>
      <xdr:rowOff>121194</xdr:rowOff>
    </xdr:from>
    <xdr:to>
      <xdr:col>20</xdr:col>
      <xdr:colOff>429941</xdr:colOff>
      <xdr:row>134</xdr:row>
      <xdr:rowOff>6531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25</xdr:row>
      <xdr:rowOff>170119</xdr:rowOff>
    </xdr:from>
    <xdr:to>
      <xdr:col>21</xdr:col>
      <xdr:colOff>601390</xdr:colOff>
      <xdr:row>30</xdr:row>
      <xdr:rowOff>1601</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36</xdr:row>
      <xdr:rowOff>102398</xdr:rowOff>
    </xdr:from>
    <xdr:to>
      <xdr:col>21</xdr:col>
      <xdr:colOff>601390</xdr:colOff>
      <xdr:row>40</xdr:row>
      <xdr:rowOff>144457</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133</xdr:row>
      <xdr:rowOff>172728</xdr:rowOff>
    </xdr:from>
    <xdr:to>
      <xdr:col>21</xdr:col>
      <xdr:colOff>601390</xdr:colOff>
      <xdr:row>137</xdr:row>
      <xdr:rowOff>103170</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639492</xdr:colOff>
      <xdr:row>18</xdr:row>
      <xdr:rowOff>27829</xdr:rowOff>
    </xdr:from>
    <xdr:to>
      <xdr:col>17</xdr:col>
      <xdr:colOff>390621</xdr:colOff>
      <xdr:row>22</xdr:row>
      <xdr:rowOff>65928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65335</xdr:rowOff>
    </xdr:from>
    <xdr:to>
      <xdr:col>4</xdr:col>
      <xdr:colOff>276785</xdr:colOff>
      <xdr:row>234</xdr:row>
      <xdr:rowOff>66130</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44943</xdr:rowOff>
    </xdr:from>
    <xdr:to>
      <xdr:col>4</xdr:col>
      <xdr:colOff>276785</xdr:colOff>
      <xdr:row>233</xdr:row>
      <xdr:rowOff>174316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235</xdr:row>
      <xdr:rowOff>66130</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44944</xdr:rowOff>
    </xdr:from>
    <xdr:to>
      <xdr:col>4</xdr:col>
      <xdr:colOff>276785</xdr:colOff>
      <xdr:row>222</xdr:row>
      <xdr:rowOff>174315</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121926</xdr:rowOff>
    </xdr:from>
    <xdr:to>
      <xdr:col>4</xdr:col>
      <xdr:colOff>276785</xdr:colOff>
      <xdr:row>200</xdr:row>
      <xdr:rowOff>84388</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45736</xdr:rowOff>
    </xdr:from>
    <xdr:to>
      <xdr:col>4</xdr:col>
      <xdr:colOff>276785</xdr:colOff>
      <xdr:row>201</xdr:row>
      <xdr:rowOff>172841</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276785</xdr:colOff>
      <xdr:row>202</xdr:row>
      <xdr:rowOff>144152</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144153</xdr:rowOff>
    </xdr:from>
    <xdr:to>
      <xdr:col>4</xdr:col>
      <xdr:colOff>276785</xdr:colOff>
      <xdr:row>209</xdr:row>
      <xdr:rowOff>101852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62</xdr:row>
      <xdr:rowOff>173151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358914</xdr:rowOff>
    </xdr:from>
    <xdr:to>
      <xdr:col>4</xdr:col>
      <xdr:colOff>276785</xdr:colOff>
      <xdr:row>65</xdr:row>
      <xdr:rowOff>172974</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121924</xdr:rowOff>
    </xdr:from>
    <xdr:to>
      <xdr:col>4</xdr:col>
      <xdr:colOff>276785</xdr:colOff>
      <xdr:row>67</xdr:row>
      <xdr:rowOff>124254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154054</xdr:rowOff>
    </xdr:from>
    <xdr:to>
      <xdr:col>4</xdr:col>
      <xdr:colOff>276785</xdr:colOff>
      <xdr:row>70</xdr:row>
      <xdr:rowOff>178516</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9806</xdr:rowOff>
    </xdr:from>
    <xdr:to>
      <xdr:col>4</xdr:col>
      <xdr:colOff>276785</xdr:colOff>
      <xdr:row>74</xdr:row>
      <xdr:rowOff>68794</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162294</xdr:rowOff>
    </xdr:from>
    <xdr:to>
      <xdr:col>4</xdr:col>
      <xdr:colOff>276785</xdr:colOff>
      <xdr:row>85</xdr:row>
      <xdr:rowOff>11997</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125721</xdr:rowOff>
    </xdr:from>
    <xdr:to>
      <xdr:col>4</xdr:col>
      <xdr:colOff>276785</xdr:colOff>
      <xdr:row>86</xdr:row>
      <xdr:rowOff>37691</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115506</xdr:rowOff>
    </xdr:from>
    <xdr:to>
      <xdr:col>4</xdr:col>
      <xdr:colOff>276785</xdr:colOff>
      <xdr:row>87</xdr:row>
      <xdr:rowOff>30660</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59452</xdr:rowOff>
    </xdr:from>
    <xdr:to>
      <xdr:col>4</xdr:col>
      <xdr:colOff>276785</xdr:colOff>
      <xdr:row>87</xdr:row>
      <xdr:rowOff>288583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152221</xdr:rowOff>
    </xdr:from>
    <xdr:to>
      <xdr:col>4</xdr:col>
      <xdr:colOff>276785</xdr:colOff>
      <xdr:row>108</xdr:row>
      <xdr:rowOff>134071</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78268</xdr:rowOff>
    </xdr:from>
    <xdr:to>
      <xdr:col>4</xdr:col>
      <xdr:colOff>276785</xdr:colOff>
      <xdr:row>108</xdr:row>
      <xdr:rowOff>134071</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28968</xdr:rowOff>
    </xdr:from>
    <xdr:to>
      <xdr:col>4</xdr:col>
      <xdr:colOff>276785</xdr:colOff>
      <xdr:row>108</xdr:row>
      <xdr:rowOff>134071</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200410</xdr:rowOff>
    </xdr:from>
    <xdr:to>
      <xdr:col>4</xdr:col>
      <xdr:colOff>276785</xdr:colOff>
      <xdr:row>108</xdr:row>
      <xdr:rowOff>134071</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696640</xdr:colOff>
      <xdr:row>129</xdr:row>
      <xdr:rowOff>121194</xdr:rowOff>
    </xdr:from>
    <xdr:to>
      <xdr:col>20</xdr:col>
      <xdr:colOff>429941</xdr:colOff>
      <xdr:row>134</xdr:row>
      <xdr:rowOff>6531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25</xdr:row>
      <xdr:rowOff>170119</xdr:rowOff>
    </xdr:from>
    <xdr:to>
      <xdr:col>21</xdr:col>
      <xdr:colOff>601390</xdr:colOff>
      <xdr:row>30</xdr:row>
      <xdr:rowOff>1601</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36</xdr:row>
      <xdr:rowOff>102398</xdr:rowOff>
    </xdr:from>
    <xdr:to>
      <xdr:col>21</xdr:col>
      <xdr:colOff>601390</xdr:colOff>
      <xdr:row>40</xdr:row>
      <xdr:rowOff>144457</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677590</xdr:colOff>
      <xdr:row>133</xdr:row>
      <xdr:rowOff>172728</xdr:rowOff>
    </xdr:from>
    <xdr:to>
      <xdr:col>21</xdr:col>
      <xdr:colOff>601390</xdr:colOff>
      <xdr:row>137</xdr:row>
      <xdr:rowOff>103170</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66132</xdr:rowOff>
    </xdr:from>
    <xdr:to>
      <xdr:col>4</xdr:col>
      <xdr:colOff>276785</xdr:colOff>
      <xdr:row>239</xdr:row>
      <xdr:rowOff>66130</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238</xdr:row>
      <xdr:rowOff>174316</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44942</xdr:rowOff>
    </xdr:from>
    <xdr:to>
      <xdr:col>4</xdr:col>
      <xdr:colOff>276785</xdr:colOff>
      <xdr:row>240</xdr:row>
      <xdr:rowOff>66133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44943</xdr:rowOff>
    </xdr:from>
    <xdr:to>
      <xdr:col>4</xdr:col>
      <xdr:colOff>276785</xdr:colOff>
      <xdr:row>227</xdr:row>
      <xdr:rowOff>174314</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126691</xdr:rowOff>
    </xdr:from>
    <xdr:to>
      <xdr:col>4</xdr:col>
      <xdr:colOff>276785</xdr:colOff>
      <xdr:row>205</xdr:row>
      <xdr:rowOff>64954</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160820</xdr:rowOff>
    </xdr:from>
    <xdr:to>
      <xdr:col>4</xdr:col>
      <xdr:colOff>276785</xdr:colOff>
      <xdr:row>206</xdr:row>
      <xdr:rowOff>101851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84387</xdr:rowOff>
    </xdr:from>
    <xdr:to>
      <xdr:col>4</xdr:col>
      <xdr:colOff>276785</xdr:colOff>
      <xdr:row>207</xdr:row>
      <xdr:rowOff>126690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66131</xdr:rowOff>
    </xdr:from>
    <xdr:to>
      <xdr:col>4</xdr:col>
      <xdr:colOff>276785</xdr:colOff>
      <xdr:row>214</xdr:row>
      <xdr:rowOff>45110</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63</xdr:row>
      <xdr:rowOff>2103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75</xdr:row>
      <xdr:rowOff>173539</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57370</xdr:rowOff>
    </xdr:from>
    <xdr:to>
      <xdr:col>4</xdr:col>
      <xdr:colOff>276785</xdr:colOff>
      <xdr:row>79</xdr:row>
      <xdr:rowOff>143148</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76420</xdr:rowOff>
    </xdr:from>
    <xdr:to>
      <xdr:col>4</xdr:col>
      <xdr:colOff>276785</xdr:colOff>
      <xdr:row>79</xdr:row>
      <xdr:rowOff>201823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165022</xdr:rowOff>
    </xdr:from>
    <xdr:to>
      <xdr:col>4</xdr:col>
      <xdr:colOff>276785</xdr:colOff>
      <xdr:row>79</xdr:row>
      <xdr:rowOff>143148</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107469</xdr:rowOff>
    </xdr:from>
    <xdr:to>
      <xdr:col>4</xdr:col>
      <xdr:colOff>276785</xdr:colOff>
      <xdr:row>90</xdr:row>
      <xdr:rowOff>60109</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37691</xdr:rowOff>
    </xdr:from>
    <xdr:to>
      <xdr:col>4</xdr:col>
      <xdr:colOff>276785</xdr:colOff>
      <xdr:row>89</xdr:row>
      <xdr:rowOff>172231</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11331</xdr:rowOff>
    </xdr:from>
    <xdr:to>
      <xdr:col>4</xdr:col>
      <xdr:colOff>276785</xdr:colOff>
      <xdr:row>92</xdr:row>
      <xdr:rowOff>30235</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140765</xdr:rowOff>
    </xdr:from>
    <xdr:to>
      <xdr:col>4</xdr:col>
      <xdr:colOff>276785</xdr:colOff>
      <xdr:row>93</xdr:row>
      <xdr:rowOff>48892</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103868</xdr:rowOff>
    </xdr:from>
    <xdr:to>
      <xdr:col>4</xdr:col>
      <xdr:colOff>276785</xdr:colOff>
      <xdr:row>115</xdr:row>
      <xdr:rowOff>142048</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141009</xdr:rowOff>
    </xdr:from>
    <xdr:to>
      <xdr:col>4</xdr:col>
      <xdr:colOff>276785</xdr:colOff>
      <xdr:row>115</xdr:row>
      <xdr:rowOff>64839</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172834</xdr:rowOff>
    </xdr:from>
    <xdr:to>
      <xdr:col>4</xdr:col>
      <xdr:colOff>276785</xdr:colOff>
      <xdr:row>115</xdr:row>
      <xdr:rowOff>44914</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83063</xdr:rowOff>
    </xdr:from>
    <xdr:to>
      <xdr:col>4</xdr:col>
      <xdr:colOff>276785</xdr:colOff>
      <xdr:row>115</xdr:row>
      <xdr:rowOff>44914</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86503</xdr:rowOff>
    </xdr:from>
    <xdr:to>
      <xdr:col>20</xdr:col>
      <xdr:colOff>410097</xdr:colOff>
      <xdr:row>138</xdr:row>
      <xdr:rowOff>172226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37</xdr:row>
      <xdr:rowOff>106452</xdr:rowOff>
    </xdr:from>
    <xdr:to>
      <xdr:col>21</xdr:col>
      <xdr:colOff>581546</xdr:colOff>
      <xdr:row>41</xdr:row>
      <xdr:rowOff>160098</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160898</xdr:rowOff>
    </xdr:from>
    <xdr:to>
      <xdr:col>21</xdr:col>
      <xdr:colOff>581546</xdr:colOff>
      <xdr:row>142</xdr:row>
      <xdr:rowOff>103169</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48</xdr:row>
      <xdr:rowOff>10468</xdr:rowOff>
    </xdr:from>
    <xdr:to>
      <xdr:col>11</xdr:col>
      <xdr:colOff>26901</xdr:colOff>
      <xdr:row>52</xdr:row>
      <xdr:rowOff>121034</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26</xdr:row>
      <xdr:rowOff>17903</xdr:rowOff>
    </xdr:from>
    <xdr:to>
      <xdr:col>23</xdr:col>
      <xdr:colOff>638697</xdr:colOff>
      <xdr:row>30</xdr:row>
      <xdr:rowOff>84945</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638697</xdr:colOff>
      <xdr:row>42</xdr:row>
      <xdr:rowOff>30314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160898</xdr:rowOff>
    </xdr:from>
    <xdr:to>
      <xdr:col>23</xdr:col>
      <xdr:colOff>638697</xdr:colOff>
      <xdr:row>143</xdr:row>
      <xdr:rowOff>65332</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66132</xdr:rowOff>
    </xdr:from>
    <xdr:to>
      <xdr:col>4</xdr:col>
      <xdr:colOff>276785</xdr:colOff>
      <xdr:row>239</xdr:row>
      <xdr:rowOff>66130</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238</xdr:row>
      <xdr:rowOff>174316</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44942</xdr:rowOff>
    </xdr:from>
    <xdr:to>
      <xdr:col>4</xdr:col>
      <xdr:colOff>276785</xdr:colOff>
      <xdr:row>240</xdr:row>
      <xdr:rowOff>66133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44943</xdr:rowOff>
    </xdr:from>
    <xdr:to>
      <xdr:col>4</xdr:col>
      <xdr:colOff>276785</xdr:colOff>
      <xdr:row>227</xdr:row>
      <xdr:rowOff>174314</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126691</xdr:rowOff>
    </xdr:from>
    <xdr:to>
      <xdr:col>4</xdr:col>
      <xdr:colOff>276785</xdr:colOff>
      <xdr:row>205</xdr:row>
      <xdr:rowOff>45737</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160820</xdr:rowOff>
    </xdr:from>
    <xdr:to>
      <xdr:col>4</xdr:col>
      <xdr:colOff>276785</xdr:colOff>
      <xdr:row>206</xdr:row>
      <xdr:rowOff>101851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84387</xdr:rowOff>
    </xdr:from>
    <xdr:to>
      <xdr:col>4</xdr:col>
      <xdr:colOff>276785</xdr:colOff>
      <xdr:row>207</xdr:row>
      <xdr:rowOff>126690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66131</xdr:rowOff>
    </xdr:from>
    <xdr:to>
      <xdr:col>4</xdr:col>
      <xdr:colOff>276785</xdr:colOff>
      <xdr:row>214</xdr:row>
      <xdr:rowOff>45110</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63</xdr:row>
      <xdr:rowOff>2103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75</xdr:row>
      <xdr:rowOff>173539</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57370</xdr:rowOff>
    </xdr:from>
    <xdr:to>
      <xdr:col>4</xdr:col>
      <xdr:colOff>276785</xdr:colOff>
      <xdr:row>79</xdr:row>
      <xdr:rowOff>179691</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76420</xdr:rowOff>
    </xdr:from>
    <xdr:to>
      <xdr:col>4</xdr:col>
      <xdr:colOff>276785</xdr:colOff>
      <xdr:row>79</xdr:row>
      <xdr:rowOff>199714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165022</xdr:rowOff>
    </xdr:from>
    <xdr:to>
      <xdr:col>4</xdr:col>
      <xdr:colOff>276785</xdr:colOff>
      <xdr:row>79</xdr:row>
      <xdr:rowOff>143148</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107469</xdr:rowOff>
    </xdr:from>
    <xdr:to>
      <xdr:col>4</xdr:col>
      <xdr:colOff>276785</xdr:colOff>
      <xdr:row>90</xdr:row>
      <xdr:rowOff>60109</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37691</xdr:rowOff>
    </xdr:from>
    <xdr:to>
      <xdr:col>4</xdr:col>
      <xdr:colOff>276785</xdr:colOff>
      <xdr:row>90</xdr:row>
      <xdr:rowOff>2568</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11331</xdr:rowOff>
    </xdr:from>
    <xdr:to>
      <xdr:col>4</xdr:col>
      <xdr:colOff>276785</xdr:colOff>
      <xdr:row>92</xdr:row>
      <xdr:rowOff>30235</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140765</xdr:rowOff>
    </xdr:from>
    <xdr:to>
      <xdr:col>4</xdr:col>
      <xdr:colOff>276785</xdr:colOff>
      <xdr:row>93</xdr:row>
      <xdr:rowOff>11386</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103868</xdr:rowOff>
    </xdr:from>
    <xdr:to>
      <xdr:col>4</xdr:col>
      <xdr:colOff>276785</xdr:colOff>
      <xdr:row>115</xdr:row>
      <xdr:rowOff>142048</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141009</xdr:rowOff>
    </xdr:from>
    <xdr:to>
      <xdr:col>4</xdr:col>
      <xdr:colOff>276785</xdr:colOff>
      <xdr:row>115</xdr:row>
      <xdr:rowOff>64839</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172834</xdr:rowOff>
    </xdr:from>
    <xdr:to>
      <xdr:col>4</xdr:col>
      <xdr:colOff>276785</xdr:colOff>
      <xdr:row>115</xdr:row>
      <xdr:rowOff>44914</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83063</xdr:rowOff>
    </xdr:from>
    <xdr:to>
      <xdr:col>4</xdr:col>
      <xdr:colOff>276785</xdr:colOff>
      <xdr:row>115</xdr:row>
      <xdr:rowOff>44914</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86503</xdr:rowOff>
    </xdr:from>
    <xdr:to>
      <xdr:col>20</xdr:col>
      <xdr:colOff>410097</xdr:colOff>
      <xdr:row>139</xdr:row>
      <xdr:rowOff>12609</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37</xdr:row>
      <xdr:rowOff>106452</xdr:rowOff>
    </xdr:from>
    <xdr:to>
      <xdr:col>21</xdr:col>
      <xdr:colOff>581546</xdr:colOff>
      <xdr:row>41</xdr:row>
      <xdr:rowOff>160098</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160898</xdr:rowOff>
    </xdr:from>
    <xdr:to>
      <xdr:col>21</xdr:col>
      <xdr:colOff>581546</xdr:colOff>
      <xdr:row>142</xdr:row>
      <xdr:rowOff>103169</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48</xdr:row>
      <xdr:rowOff>10468</xdr:rowOff>
    </xdr:from>
    <xdr:to>
      <xdr:col>11</xdr:col>
      <xdr:colOff>26901</xdr:colOff>
      <xdr:row>52</xdr:row>
      <xdr:rowOff>121034</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619647</xdr:colOff>
      <xdr:row>42</xdr:row>
      <xdr:rowOff>30314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160898</xdr:rowOff>
    </xdr:from>
    <xdr:to>
      <xdr:col>23</xdr:col>
      <xdr:colOff>619647</xdr:colOff>
      <xdr:row>143</xdr:row>
      <xdr:rowOff>65332</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66132</xdr:rowOff>
    </xdr:from>
    <xdr:to>
      <xdr:col>4</xdr:col>
      <xdr:colOff>276785</xdr:colOff>
      <xdr:row>239</xdr:row>
      <xdr:rowOff>66130</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238</xdr:row>
      <xdr:rowOff>174316</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44942</xdr:rowOff>
    </xdr:from>
    <xdr:to>
      <xdr:col>4</xdr:col>
      <xdr:colOff>276785</xdr:colOff>
      <xdr:row>240</xdr:row>
      <xdr:rowOff>66133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44943</xdr:rowOff>
    </xdr:from>
    <xdr:to>
      <xdr:col>4</xdr:col>
      <xdr:colOff>276785</xdr:colOff>
      <xdr:row>227</xdr:row>
      <xdr:rowOff>174314</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126691</xdr:rowOff>
    </xdr:from>
    <xdr:to>
      <xdr:col>4</xdr:col>
      <xdr:colOff>276785</xdr:colOff>
      <xdr:row>205</xdr:row>
      <xdr:rowOff>45737</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160820</xdr:rowOff>
    </xdr:from>
    <xdr:to>
      <xdr:col>4</xdr:col>
      <xdr:colOff>276785</xdr:colOff>
      <xdr:row>206</xdr:row>
      <xdr:rowOff>101851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84387</xdr:rowOff>
    </xdr:from>
    <xdr:to>
      <xdr:col>4</xdr:col>
      <xdr:colOff>276785</xdr:colOff>
      <xdr:row>207</xdr:row>
      <xdr:rowOff>126690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66131</xdr:rowOff>
    </xdr:from>
    <xdr:to>
      <xdr:col>4</xdr:col>
      <xdr:colOff>276785</xdr:colOff>
      <xdr:row>214</xdr:row>
      <xdr:rowOff>45110</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63</xdr:row>
      <xdr:rowOff>2103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75</xdr:row>
      <xdr:rowOff>173539</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57370</xdr:rowOff>
    </xdr:from>
    <xdr:to>
      <xdr:col>4</xdr:col>
      <xdr:colOff>276785</xdr:colOff>
      <xdr:row>79</xdr:row>
      <xdr:rowOff>179691</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76420</xdr:rowOff>
    </xdr:from>
    <xdr:to>
      <xdr:col>4</xdr:col>
      <xdr:colOff>276785</xdr:colOff>
      <xdr:row>79</xdr:row>
      <xdr:rowOff>199714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165022</xdr:rowOff>
    </xdr:from>
    <xdr:to>
      <xdr:col>4</xdr:col>
      <xdr:colOff>276785</xdr:colOff>
      <xdr:row>79</xdr:row>
      <xdr:rowOff>143148</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107469</xdr:rowOff>
    </xdr:from>
    <xdr:to>
      <xdr:col>4</xdr:col>
      <xdr:colOff>276785</xdr:colOff>
      <xdr:row>90</xdr:row>
      <xdr:rowOff>60109</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37691</xdr:rowOff>
    </xdr:from>
    <xdr:to>
      <xdr:col>4</xdr:col>
      <xdr:colOff>276785</xdr:colOff>
      <xdr:row>90</xdr:row>
      <xdr:rowOff>2568</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11331</xdr:rowOff>
    </xdr:from>
    <xdr:to>
      <xdr:col>4</xdr:col>
      <xdr:colOff>276785</xdr:colOff>
      <xdr:row>92</xdr:row>
      <xdr:rowOff>30235</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140765</xdr:rowOff>
    </xdr:from>
    <xdr:to>
      <xdr:col>4</xdr:col>
      <xdr:colOff>276785</xdr:colOff>
      <xdr:row>93</xdr:row>
      <xdr:rowOff>11386</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103868</xdr:rowOff>
    </xdr:from>
    <xdr:to>
      <xdr:col>4</xdr:col>
      <xdr:colOff>276785</xdr:colOff>
      <xdr:row>115</xdr:row>
      <xdr:rowOff>142048</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141009</xdr:rowOff>
    </xdr:from>
    <xdr:to>
      <xdr:col>4</xdr:col>
      <xdr:colOff>276785</xdr:colOff>
      <xdr:row>115</xdr:row>
      <xdr:rowOff>64839</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172834</xdr:rowOff>
    </xdr:from>
    <xdr:to>
      <xdr:col>4</xdr:col>
      <xdr:colOff>276785</xdr:colOff>
      <xdr:row>115</xdr:row>
      <xdr:rowOff>44914</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83063</xdr:rowOff>
    </xdr:from>
    <xdr:to>
      <xdr:col>4</xdr:col>
      <xdr:colOff>276785</xdr:colOff>
      <xdr:row>115</xdr:row>
      <xdr:rowOff>44914</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86503</xdr:rowOff>
    </xdr:from>
    <xdr:to>
      <xdr:col>20</xdr:col>
      <xdr:colOff>410097</xdr:colOff>
      <xdr:row>139</xdr:row>
      <xdr:rowOff>12609</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37</xdr:row>
      <xdr:rowOff>106452</xdr:rowOff>
    </xdr:from>
    <xdr:to>
      <xdr:col>21</xdr:col>
      <xdr:colOff>581546</xdr:colOff>
      <xdr:row>41</xdr:row>
      <xdr:rowOff>160098</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160898</xdr:rowOff>
    </xdr:from>
    <xdr:to>
      <xdr:col>21</xdr:col>
      <xdr:colOff>581546</xdr:colOff>
      <xdr:row>142</xdr:row>
      <xdr:rowOff>103169</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48</xdr:row>
      <xdr:rowOff>10468</xdr:rowOff>
    </xdr:from>
    <xdr:to>
      <xdr:col>11</xdr:col>
      <xdr:colOff>26901</xdr:colOff>
      <xdr:row>52</xdr:row>
      <xdr:rowOff>121034</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619647</xdr:colOff>
      <xdr:row>42</xdr:row>
      <xdr:rowOff>30314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160898</xdr:rowOff>
    </xdr:from>
    <xdr:to>
      <xdr:col>23</xdr:col>
      <xdr:colOff>619647</xdr:colOff>
      <xdr:row>143</xdr:row>
      <xdr:rowOff>65332</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66132</xdr:rowOff>
    </xdr:from>
    <xdr:to>
      <xdr:col>4</xdr:col>
      <xdr:colOff>276785</xdr:colOff>
      <xdr:row>239</xdr:row>
      <xdr:rowOff>66130</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238</xdr:row>
      <xdr:rowOff>174316</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44942</xdr:rowOff>
    </xdr:from>
    <xdr:to>
      <xdr:col>4</xdr:col>
      <xdr:colOff>276785</xdr:colOff>
      <xdr:row>240</xdr:row>
      <xdr:rowOff>66133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44943</xdr:rowOff>
    </xdr:from>
    <xdr:to>
      <xdr:col>4</xdr:col>
      <xdr:colOff>276785</xdr:colOff>
      <xdr:row>227</xdr:row>
      <xdr:rowOff>174314</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126691</xdr:rowOff>
    </xdr:from>
    <xdr:to>
      <xdr:col>4</xdr:col>
      <xdr:colOff>276785</xdr:colOff>
      <xdr:row>205</xdr:row>
      <xdr:rowOff>45737</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160820</xdr:rowOff>
    </xdr:from>
    <xdr:to>
      <xdr:col>4</xdr:col>
      <xdr:colOff>276785</xdr:colOff>
      <xdr:row>206</xdr:row>
      <xdr:rowOff>101851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84387</xdr:rowOff>
    </xdr:from>
    <xdr:to>
      <xdr:col>4</xdr:col>
      <xdr:colOff>276785</xdr:colOff>
      <xdr:row>207</xdr:row>
      <xdr:rowOff>126690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66131</xdr:rowOff>
    </xdr:from>
    <xdr:to>
      <xdr:col>4</xdr:col>
      <xdr:colOff>276785</xdr:colOff>
      <xdr:row>214</xdr:row>
      <xdr:rowOff>45110</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63</xdr:row>
      <xdr:rowOff>2103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190802</xdr:rowOff>
    </xdr:from>
    <xdr:to>
      <xdr:col>4</xdr:col>
      <xdr:colOff>276785</xdr:colOff>
      <xdr:row>75</xdr:row>
      <xdr:rowOff>173539</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57370</xdr:rowOff>
    </xdr:from>
    <xdr:to>
      <xdr:col>4</xdr:col>
      <xdr:colOff>276785</xdr:colOff>
      <xdr:row>79</xdr:row>
      <xdr:rowOff>179691</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76420</xdr:rowOff>
    </xdr:from>
    <xdr:to>
      <xdr:col>4</xdr:col>
      <xdr:colOff>276785</xdr:colOff>
      <xdr:row>79</xdr:row>
      <xdr:rowOff>199714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165022</xdr:rowOff>
    </xdr:from>
    <xdr:to>
      <xdr:col>4</xdr:col>
      <xdr:colOff>276785</xdr:colOff>
      <xdr:row>79</xdr:row>
      <xdr:rowOff>143148</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107469</xdr:rowOff>
    </xdr:from>
    <xdr:to>
      <xdr:col>4</xdr:col>
      <xdr:colOff>276785</xdr:colOff>
      <xdr:row>90</xdr:row>
      <xdr:rowOff>60109</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37691</xdr:rowOff>
    </xdr:from>
    <xdr:to>
      <xdr:col>4</xdr:col>
      <xdr:colOff>276785</xdr:colOff>
      <xdr:row>90</xdr:row>
      <xdr:rowOff>2568</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11331</xdr:rowOff>
    </xdr:from>
    <xdr:to>
      <xdr:col>4</xdr:col>
      <xdr:colOff>276785</xdr:colOff>
      <xdr:row>92</xdr:row>
      <xdr:rowOff>30235</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140765</xdr:rowOff>
    </xdr:from>
    <xdr:to>
      <xdr:col>4</xdr:col>
      <xdr:colOff>276785</xdr:colOff>
      <xdr:row>93</xdr:row>
      <xdr:rowOff>11386</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103868</xdr:rowOff>
    </xdr:from>
    <xdr:to>
      <xdr:col>4</xdr:col>
      <xdr:colOff>276785</xdr:colOff>
      <xdr:row>115</xdr:row>
      <xdr:rowOff>142048</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141009</xdr:rowOff>
    </xdr:from>
    <xdr:to>
      <xdr:col>4</xdr:col>
      <xdr:colOff>276785</xdr:colOff>
      <xdr:row>115</xdr:row>
      <xdr:rowOff>64839</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172834</xdr:rowOff>
    </xdr:from>
    <xdr:to>
      <xdr:col>4</xdr:col>
      <xdr:colOff>276785</xdr:colOff>
      <xdr:row>115</xdr:row>
      <xdr:rowOff>44914</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83063</xdr:rowOff>
    </xdr:from>
    <xdr:to>
      <xdr:col>4</xdr:col>
      <xdr:colOff>276785</xdr:colOff>
      <xdr:row>115</xdr:row>
      <xdr:rowOff>44914</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86503</xdr:rowOff>
    </xdr:from>
    <xdr:to>
      <xdr:col>20</xdr:col>
      <xdr:colOff>410097</xdr:colOff>
      <xdr:row>139</xdr:row>
      <xdr:rowOff>12609</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37</xdr:row>
      <xdr:rowOff>106452</xdr:rowOff>
    </xdr:from>
    <xdr:to>
      <xdr:col>21</xdr:col>
      <xdr:colOff>581546</xdr:colOff>
      <xdr:row>41</xdr:row>
      <xdr:rowOff>160098</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160898</xdr:rowOff>
    </xdr:from>
    <xdr:to>
      <xdr:col>21</xdr:col>
      <xdr:colOff>581546</xdr:colOff>
      <xdr:row>142</xdr:row>
      <xdr:rowOff>103169</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48</xdr:row>
      <xdr:rowOff>10468</xdr:rowOff>
    </xdr:from>
    <xdr:to>
      <xdr:col>11</xdr:col>
      <xdr:colOff>26901</xdr:colOff>
      <xdr:row>52</xdr:row>
      <xdr:rowOff>121034</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619647</xdr:colOff>
      <xdr:row>42</xdr:row>
      <xdr:rowOff>30314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160898</xdr:rowOff>
    </xdr:from>
    <xdr:to>
      <xdr:col>23</xdr:col>
      <xdr:colOff>619647</xdr:colOff>
      <xdr:row>143</xdr:row>
      <xdr:rowOff>65332</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638697</xdr:colOff>
      <xdr:row>30</xdr:row>
      <xdr:rowOff>46051</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126875</xdr:rowOff>
    </xdr:from>
    <xdr:to>
      <xdr:col>24</xdr:col>
      <xdr:colOff>638697</xdr:colOff>
      <xdr:row>42</xdr:row>
      <xdr:rowOff>11434</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139</xdr:row>
      <xdr:rowOff>12609</xdr:rowOff>
    </xdr:from>
    <xdr:to>
      <xdr:col>24</xdr:col>
      <xdr:colOff>638697</xdr:colOff>
      <xdr:row>143</xdr:row>
      <xdr:rowOff>9273</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254</xdr:row>
      <xdr:rowOff>66130</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44945</xdr:rowOff>
    </xdr:from>
    <xdr:to>
      <xdr:col>4</xdr:col>
      <xdr:colOff>276785</xdr:colOff>
      <xdr:row>253</xdr:row>
      <xdr:rowOff>174314</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44943</xdr:rowOff>
    </xdr:from>
    <xdr:to>
      <xdr:col>4</xdr:col>
      <xdr:colOff>276785</xdr:colOff>
      <xdr:row>255</xdr:row>
      <xdr:rowOff>66130</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44944</xdr:rowOff>
    </xdr:from>
    <xdr:to>
      <xdr:col>4</xdr:col>
      <xdr:colOff>276785</xdr:colOff>
      <xdr:row>242</xdr:row>
      <xdr:rowOff>174315</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160819</xdr:rowOff>
    </xdr:from>
    <xdr:to>
      <xdr:col>4</xdr:col>
      <xdr:colOff>276785</xdr:colOff>
      <xdr:row>219</xdr:row>
      <xdr:rowOff>174315</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221</xdr:row>
      <xdr:rowOff>45109</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222</xdr:row>
      <xdr:rowOff>66131</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44945</xdr:rowOff>
    </xdr:from>
    <xdr:to>
      <xdr:col>4</xdr:col>
      <xdr:colOff>276785</xdr:colOff>
      <xdr:row>229</xdr:row>
      <xdr:rowOff>45110</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79</xdr:row>
      <xdr:rowOff>378521</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85695</xdr:rowOff>
    </xdr:from>
    <xdr:to>
      <xdr:col>4</xdr:col>
      <xdr:colOff>295835</xdr:colOff>
      <xdr:row>96</xdr:row>
      <xdr:rowOff>117390</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96</xdr:row>
      <xdr:rowOff>83259</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2667</xdr:rowOff>
    </xdr:from>
    <xdr:to>
      <xdr:col>4</xdr:col>
      <xdr:colOff>276785</xdr:colOff>
      <xdr:row>96</xdr:row>
      <xdr:rowOff>120798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27844</xdr:rowOff>
    </xdr:from>
    <xdr:to>
      <xdr:col>4</xdr:col>
      <xdr:colOff>276785</xdr:colOff>
      <xdr:row>99</xdr:row>
      <xdr:rowOff>46776</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46776</xdr:rowOff>
    </xdr:from>
    <xdr:to>
      <xdr:col>4</xdr:col>
      <xdr:colOff>276785</xdr:colOff>
      <xdr:row>105</xdr:row>
      <xdr:rowOff>220332</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126552</xdr:rowOff>
    </xdr:from>
    <xdr:to>
      <xdr:col>4</xdr:col>
      <xdr:colOff>276785</xdr:colOff>
      <xdr:row>105</xdr:row>
      <xdr:rowOff>87079</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44563</xdr:rowOff>
    </xdr:from>
    <xdr:to>
      <xdr:col>4</xdr:col>
      <xdr:colOff>276785</xdr:colOff>
      <xdr:row>105</xdr:row>
      <xdr:rowOff>179058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64409</xdr:rowOff>
    </xdr:from>
    <xdr:to>
      <xdr:col>4</xdr:col>
      <xdr:colOff>276785</xdr:colOff>
      <xdr:row>106</xdr:row>
      <xdr:rowOff>132223</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30889</xdr:rowOff>
    </xdr:from>
    <xdr:to>
      <xdr:col>4</xdr:col>
      <xdr:colOff>276785</xdr:colOff>
      <xdr:row>132</xdr:row>
      <xdr:rowOff>64282</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84090</xdr:rowOff>
    </xdr:from>
    <xdr:to>
      <xdr:col>4</xdr:col>
      <xdr:colOff>276785</xdr:colOff>
      <xdr:row>131</xdr:row>
      <xdr:rowOff>6531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65545</xdr:rowOff>
    </xdr:from>
    <xdr:to>
      <xdr:col>4</xdr:col>
      <xdr:colOff>276785</xdr:colOff>
      <xdr:row>130</xdr:row>
      <xdr:rowOff>84652</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27839</xdr:rowOff>
    </xdr:from>
    <xdr:to>
      <xdr:col>4</xdr:col>
      <xdr:colOff>276785</xdr:colOff>
      <xdr:row>130</xdr:row>
      <xdr:rowOff>126425</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149</xdr:row>
      <xdr:rowOff>121159</xdr:rowOff>
    </xdr:from>
    <xdr:to>
      <xdr:col>20</xdr:col>
      <xdr:colOff>410097</xdr:colOff>
      <xdr:row>153</xdr:row>
      <xdr:rowOff>160632</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45</xdr:row>
      <xdr:rowOff>159799</xdr:rowOff>
    </xdr:from>
    <xdr:to>
      <xdr:col>21</xdr:col>
      <xdr:colOff>581546</xdr:colOff>
      <xdr:row>51</xdr:row>
      <xdr:rowOff>160937</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153</xdr:row>
      <xdr:rowOff>143385</xdr:rowOff>
    </xdr:from>
    <xdr:to>
      <xdr:col>21</xdr:col>
      <xdr:colOff>581546</xdr:colOff>
      <xdr:row>157</xdr:row>
      <xdr:rowOff>84413</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60</xdr:row>
      <xdr:rowOff>10725</xdr:rowOff>
    </xdr:from>
    <xdr:to>
      <xdr:col>11</xdr:col>
      <xdr:colOff>26901</xdr:colOff>
      <xdr:row>62</xdr:row>
      <xdr:rowOff>67427</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159799</xdr:rowOff>
    </xdr:from>
    <xdr:to>
      <xdr:col>23</xdr:col>
      <xdr:colOff>619647</xdr:colOff>
      <xdr:row>52</xdr:row>
      <xdr:rowOff>67620</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143385</xdr:rowOff>
    </xdr:from>
    <xdr:to>
      <xdr:col>23</xdr:col>
      <xdr:colOff>619647</xdr:colOff>
      <xdr:row>158</xdr:row>
      <xdr:rowOff>26801</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46051</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619647</xdr:colOff>
      <xdr:row>52</xdr:row>
      <xdr:rowOff>29520</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160632</xdr:rowOff>
    </xdr:from>
    <xdr:to>
      <xdr:col>24</xdr:col>
      <xdr:colOff>619647</xdr:colOff>
      <xdr:row>157</xdr:row>
      <xdr:rowOff>165082</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254</xdr:row>
      <xdr:rowOff>66130</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44945</xdr:rowOff>
    </xdr:from>
    <xdr:to>
      <xdr:col>4</xdr:col>
      <xdr:colOff>276785</xdr:colOff>
      <xdr:row>253</xdr:row>
      <xdr:rowOff>174314</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44943</xdr:rowOff>
    </xdr:from>
    <xdr:to>
      <xdr:col>4</xdr:col>
      <xdr:colOff>276785</xdr:colOff>
      <xdr:row>255</xdr:row>
      <xdr:rowOff>66130</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44944</xdr:rowOff>
    </xdr:from>
    <xdr:to>
      <xdr:col>4</xdr:col>
      <xdr:colOff>276785</xdr:colOff>
      <xdr:row>242</xdr:row>
      <xdr:rowOff>174315</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160819</xdr:rowOff>
    </xdr:from>
    <xdr:to>
      <xdr:col>4</xdr:col>
      <xdr:colOff>276785</xdr:colOff>
      <xdr:row>219</xdr:row>
      <xdr:rowOff>174315</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221</xdr:row>
      <xdr:rowOff>45109</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222</xdr:row>
      <xdr:rowOff>66131</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44945</xdr:rowOff>
    </xdr:from>
    <xdr:to>
      <xdr:col>4</xdr:col>
      <xdr:colOff>276785</xdr:colOff>
      <xdr:row>229</xdr:row>
      <xdr:rowOff>45110</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79</xdr:row>
      <xdr:rowOff>378521</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85695</xdr:rowOff>
    </xdr:from>
    <xdr:to>
      <xdr:col>4</xdr:col>
      <xdr:colOff>295835</xdr:colOff>
      <xdr:row>96</xdr:row>
      <xdr:rowOff>117390</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96</xdr:row>
      <xdr:rowOff>83259</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2667</xdr:rowOff>
    </xdr:from>
    <xdr:to>
      <xdr:col>4</xdr:col>
      <xdr:colOff>276785</xdr:colOff>
      <xdr:row>96</xdr:row>
      <xdr:rowOff>120798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27844</xdr:rowOff>
    </xdr:from>
    <xdr:to>
      <xdr:col>4</xdr:col>
      <xdr:colOff>276785</xdr:colOff>
      <xdr:row>99</xdr:row>
      <xdr:rowOff>46776</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46776</xdr:rowOff>
    </xdr:from>
    <xdr:to>
      <xdr:col>4</xdr:col>
      <xdr:colOff>276785</xdr:colOff>
      <xdr:row>105</xdr:row>
      <xdr:rowOff>220332</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126552</xdr:rowOff>
    </xdr:from>
    <xdr:to>
      <xdr:col>4</xdr:col>
      <xdr:colOff>276785</xdr:colOff>
      <xdr:row>105</xdr:row>
      <xdr:rowOff>87079</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44563</xdr:rowOff>
    </xdr:from>
    <xdr:to>
      <xdr:col>4</xdr:col>
      <xdr:colOff>276785</xdr:colOff>
      <xdr:row>105</xdr:row>
      <xdr:rowOff>179058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64409</xdr:rowOff>
    </xdr:from>
    <xdr:to>
      <xdr:col>4</xdr:col>
      <xdr:colOff>276785</xdr:colOff>
      <xdr:row>106</xdr:row>
      <xdr:rowOff>132223</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30889</xdr:rowOff>
    </xdr:from>
    <xdr:to>
      <xdr:col>4</xdr:col>
      <xdr:colOff>276785</xdr:colOff>
      <xdr:row>132</xdr:row>
      <xdr:rowOff>64282</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84090</xdr:rowOff>
    </xdr:from>
    <xdr:to>
      <xdr:col>4</xdr:col>
      <xdr:colOff>276785</xdr:colOff>
      <xdr:row>131</xdr:row>
      <xdr:rowOff>6531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65545</xdr:rowOff>
    </xdr:from>
    <xdr:to>
      <xdr:col>4</xdr:col>
      <xdr:colOff>276785</xdr:colOff>
      <xdr:row>130</xdr:row>
      <xdr:rowOff>84652</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27839</xdr:rowOff>
    </xdr:from>
    <xdr:to>
      <xdr:col>4</xdr:col>
      <xdr:colOff>276785</xdr:colOff>
      <xdr:row>130</xdr:row>
      <xdr:rowOff>126425</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149</xdr:row>
      <xdr:rowOff>121159</xdr:rowOff>
    </xdr:from>
    <xdr:to>
      <xdr:col>20</xdr:col>
      <xdr:colOff>410097</xdr:colOff>
      <xdr:row>153</xdr:row>
      <xdr:rowOff>160632</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45</xdr:row>
      <xdr:rowOff>159799</xdr:rowOff>
    </xdr:from>
    <xdr:to>
      <xdr:col>21</xdr:col>
      <xdr:colOff>581546</xdr:colOff>
      <xdr:row>51</xdr:row>
      <xdr:rowOff>160937</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153</xdr:row>
      <xdr:rowOff>143385</xdr:rowOff>
    </xdr:from>
    <xdr:to>
      <xdr:col>21</xdr:col>
      <xdr:colOff>581546</xdr:colOff>
      <xdr:row>157</xdr:row>
      <xdr:rowOff>84413</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60</xdr:row>
      <xdr:rowOff>10725</xdr:rowOff>
    </xdr:from>
    <xdr:to>
      <xdr:col>11</xdr:col>
      <xdr:colOff>26901</xdr:colOff>
      <xdr:row>62</xdr:row>
      <xdr:rowOff>67427</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159799</xdr:rowOff>
    </xdr:from>
    <xdr:to>
      <xdr:col>23</xdr:col>
      <xdr:colOff>619647</xdr:colOff>
      <xdr:row>52</xdr:row>
      <xdr:rowOff>67620</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143385</xdr:rowOff>
    </xdr:from>
    <xdr:to>
      <xdr:col>23</xdr:col>
      <xdr:colOff>619647</xdr:colOff>
      <xdr:row>158</xdr:row>
      <xdr:rowOff>26801</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46051</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619647</xdr:colOff>
      <xdr:row>52</xdr:row>
      <xdr:rowOff>29520</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160632</xdr:rowOff>
    </xdr:from>
    <xdr:to>
      <xdr:col>24</xdr:col>
      <xdr:colOff>619647</xdr:colOff>
      <xdr:row>157</xdr:row>
      <xdr:rowOff>165082</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254</xdr:row>
      <xdr:rowOff>66130</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44945</xdr:rowOff>
    </xdr:from>
    <xdr:to>
      <xdr:col>4</xdr:col>
      <xdr:colOff>276785</xdr:colOff>
      <xdr:row>253</xdr:row>
      <xdr:rowOff>174314</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44943</xdr:rowOff>
    </xdr:from>
    <xdr:to>
      <xdr:col>4</xdr:col>
      <xdr:colOff>276785</xdr:colOff>
      <xdr:row>255</xdr:row>
      <xdr:rowOff>66130</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44944</xdr:rowOff>
    </xdr:from>
    <xdr:to>
      <xdr:col>4</xdr:col>
      <xdr:colOff>276785</xdr:colOff>
      <xdr:row>242</xdr:row>
      <xdr:rowOff>174315</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160819</xdr:rowOff>
    </xdr:from>
    <xdr:to>
      <xdr:col>4</xdr:col>
      <xdr:colOff>276785</xdr:colOff>
      <xdr:row>219</xdr:row>
      <xdr:rowOff>174315</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44944</xdr:rowOff>
    </xdr:from>
    <xdr:to>
      <xdr:col>4</xdr:col>
      <xdr:colOff>276785</xdr:colOff>
      <xdr:row>221</xdr:row>
      <xdr:rowOff>45109</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44942</xdr:rowOff>
    </xdr:from>
    <xdr:to>
      <xdr:col>4</xdr:col>
      <xdr:colOff>276785</xdr:colOff>
      <xdr:row>222</xdr:row>
      <xdr:rowOff>66131</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44945</xdr:rowOff>
    </xdr:from>
    <xdr:to>
      <xdr:col>4</xdr:col>
      <xdr:colOff>276785</xdr:colOff>
      <xdr:row>229</xdr:row>
      <xdr:rowOff>45110</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79</xdr:row>
      <xdr:rowOff>378521</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85695</xdr:rowOff>
    </xdr:from>
    <xdr:to>
      <xdr:col>4</xdr:col>
      <xdr:colOff>295835</xdr:colOff>
      <xdr:row>96</xdr:row>
      <xdr:rowOff>117390</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378521</xdr:rowOff>
    </xdr:from>
    <xdr:to>
      <xdr:col>4</xdr:col>
      <xdr:colOff>276785</xdr:colOff>
      <xdr:row>96</xdr:row>
      <xdr:rowOff>83259</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2667</xdr:rowOff>
    </xdr:from>
    <xdr:to>
      <xdr:col>4</xdr:col>
      <xdr:colOff>276785</xdr:colOff>
      <xdr:row>96</xdr:row>
      <xdr:rowOff>120798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27844</xdr:rowOff>
    </xdr:from>
    <xdr:to>
      <xdr:col>4</xdr:col>
      <xdr:colOff>276785</xdr:colOff>
      <xdr:row>99</xdr:row>
      <xdr:rowOff>46776</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46776</xdr:rowOff>
    </xdr:from>
    <xdr:to>
      <xdr:col>4</xdr:col>
      <xdr:colOff>276785</xdr:colOff>
      <xdr:row>105</xdr:row>
      <xdr:rowOff>220332</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126552</xdr:rowOff>
    </xdr:from>
    <xdr:to>
      <xdr:col>4</xdr:col>
      <xdr:colOff>276785</xdr:colOff>
      <xdr:row>105</xdr:row>
      <xdr:rowOff>87079</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44563</xdr:rowOff>
    </xdr:from>
    <xdr:to>
      <xdr:col>4</xdr:col>
      <xdr:colOff>276785</xdr:colOff>
      <xdr:row>105</xdr:row>
      <xdr:rowOff>179058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64409</xdr:rowOff>
    </xdr:from>
    <xdr:to>
      <xdr:col>4</xdr:col>
      <xdr:colOff>276785</xdr:colOff>
      <xdr:row>106</xdr:row>
      <xdr:rowOff>132223</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30889</xdr:rowOff>
    </xdr:from>
    <xdr:to>
      <xdr:col>4</xdr:col>
      <xdr:colOff>276785</xdr:colOff>
      <xdr:row>132</xdr:row>
      <xdr:rowOff>64282</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84090</xdr:rowOff>
    </xdr:from>
    <xdr:to>
      <xdr:col>4</xdr:col>
      <xdr:colOff>276785</xdr:colOff>
      <xdr:row>131</xdr:row>
      <xdr:rowOff>6531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65545</xdr:rowOff>
    </xdr:from>
    <xdr:to>
      <xdr:col>4</xdr:col>
      <xdr:colOff>276785</xdr:colOff>
      <xdr:row>130</xdr:row>
      <xdr:rowOff>84652</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27839</xdr:rowOff>
    </xdr:from>
    <xdr:to>
      <xdr:col>4</xdr:col>
      <xdr:colOff>276785</xdr:colOff>
      <xdr:row>130</xdr:row>
      <xdr:rowOff>126425</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149</xdr:row>
      <xdr:rowOff>121159</xdr:rowOff>
    </xdr:from>
    <xdr:to>
      <xdr:col>20</xdr:col>
      <xdr:colOff>410097</xdr:colOff>
      <xdr:row>153</xdr:row>
      <xdr:rowOff>160632</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1601</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45</xdr:row>
      <xdr:rowOff>159799</xdr:rowOff>
    </xdr:from>
    <xdr:to>
      <xdr:col>21</xdr:col>
      <xdr:colOff>581546</xdr:colOff>
      <xdr:row>51</xdr:row>
      <xdr:rowOff>160937</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153</xdr:row>
      <xdr:rowOff>143385</xdr:rowOff>
    </xdr:from>
    <xdr:to>
      <xdr:col>21</xdr:col>
      <xdr:colOff>581546</xdr:colOff>
      <xdr:row>157</xdr:row>
      <xdr:rowOff>84413</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60</xdr:row>
      <xdr:rowOff>10725</xdr:rowOff>
    </xdr:from>
    <xdr:to>
      <xdr:col>11</xdr:col>
      <xdr:colOff>26901</xdr:colOff>
      <xdr:row>62</xdr:row>
      <xdr:rowOff>67427</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84945</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159799</xdr:rowOff>
    </xdr:from>
    <xdr:to>
      <xdr:col>23</xdr:col>
      <xdr:colOff>619647</xdr:colOff>
      <xdr:row>52</xdr:row>
      <xdr:rowOff>67620</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143385</xdr:rowOff>
    </xdr:from>
    <xdr:to>
      <xdr:col>23</xdr:col>
      <xdr:colOff>619647</xdr:colOff>
      <xdr:row>158</xdr:row>
      <xdr:rowOff>26801</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46051</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619647</xdr:colOff>
      <xdr:row>52</xdr:row>
      <xdr:rowOff>29520</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160632</xdr:rowOff>
    </xdr:from>
    <xdr:to>
      <xdr:col>24</xdr:col>
      <xdr:colOff>619647</xdr:colOff>
      <xdr:row>157</xdr:row>
      <xdr:rowOff>165082</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122720</xdr:rowOff>
    </xdr:from>
    <xdr:to>
      <xdr:col>4</xdr:col>
      <xdr:colOff>276785</xdr:colOff>
      <xdr:row>248</xdr:row>
      <xdr:rowOff>122721</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66131</xdr:rowOff>
    </xdr:from>
    <xdr:to>
      <xdr:col>4</xdr:col>
      <xdr:colOff>276785</xdr:colOff>
      <xdr:row>248</xdr:row>
      <xdr:rowOff>6546</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66132</xdr:rowOff>
    </xdr:from>
    <xdr:to>
      <xdr:col>4</xdr:col>
      <xdr:colOff>276785</xdr:colOff>
      <xdr:row>249</xdr:row>
      <xdr:rowOff>122721</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237</xdr:row>
      <xdr:rowOff>6546</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276785</xdr:colOff>
      <xdr:row>214</xdr:row>
      <xdr:rowOff>6545</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66131</xdr:rowOff>
    </xdr:from>
    <xdr:to>
      <xdr:col>4</xdr:col>
      <xdr:colOff>276785</xdr:colOff>
      <xdr:row>215</xdr:row>
      <xdr:rowOff>122721</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66132</xdr:rowOff>
    </xdr:from>
    <xdr:to>
      <xdr:col>4</xdr:col>
      <xdr:colOff>276785</xdr:colOff>
      <xdr:row>216</xdr:row>
      <xdr:rowOff>122721</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66130</xdr:rowOff>
    </xdr:from>
    <xdr:to>
      <xdr:col>4</xdr:col>
      <xdr:colOff>276785</xdr:colOff>
      <xdr:row>223</xdr:row>
      <xdr:rowOff>122720</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73</xdr:row>
      <xdr:rowOff>97999</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68652</xdr:rowOff>
    </xdr:from>
    <xdr:to>
      <xdr:col>4</xdr:col>
      <xdr:colOff>295835</xdr:colOff>
      <xdr:row>95</xdr:row>
      <xdr:rowOff>48006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93</xdr:row>
      <xdr:rowOff>140979</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117049</xdr:rowOff>
    </xdr:from>
    <xdr:to>
      <xdr:col>4</xdr:col>
      <xdr:colOff>276785</xdr:colOff>
      <xdr:row>94</xdr:row>
      <xdr:rowOff>8384</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143930</xdr:rowOff>
    </xdr:from>
    <xdr:to>
      <xdr:col>4</xdr:col>
      <xdr:colOff>276785</xdr:colOff>
      <xdr:row>97</xdr:row>
      <xdr:rowOff>50360</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10517</xdr:rowOff>
    </xdr:from>
    <xdr:to>
      <xdr:col>4</xdr:col>
      <xdr:colOff>276785</xdr:colOff>
      <xdr:row>105</xdr:row>
      <xdr:rowOff>116118</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140979</xdr:rowOff>
    </xdr:from>
    <xdr:to>
      <xdr:col>4</xdr:col>
      <xdr:colOff>276785</xdr:colOff>
      <xdr:row>104</xdr:row>
      <xdr:rowOff>141342</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65484</xdr:rowOff>
    </xdr:from>
    <xdr:to>
      <xdr:col>4</xdr:col>
      <xdr:colOff>276785</xdr:colOff>
      <xdr:row>105</xdr:row>
      <xdr:rowOff>12634</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85546</xdr:rowOff>
    </xdr:from>
    <xdr:to>
      <xdr:col>4</xdr:col>
      <xdr:colOff>276785</xdr:colOff>
      <xdr:row>106</xdr:row>
      <xdr:rowOff>97297</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131165</xdr:rowOff>
    </xdr:from>
    <xdr:to>
      <xdr:col>4</xdr:col>
      <xdr:colOff>276785</xdr:colOff>
      <xdr:row>127</xdr:row>
      <xdr:rowOff>172199</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174134</xdr:rowOff>
    </xdr:from>
    <xdr:to>
      <xdr:col>4</xdr:col>
      <xdr:colOff>276785</xdr:colOff>
      <xdr:row>126</xdr:row>
      <xdr:rowOff>25754</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251</xdr:rowOff>
    </xdr:from>
    <xdr:to>
      <xdr:col>4</xdr:col>
      <xdr:colOff>276785</xdr:colOff>
      <xdr:row>125</xdr:row>
      <xdr:rowOff>25567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172160</xdr:rowOff>
    </xdr:from>
    <xdr:to>
      <xdr:col>4</xdr:col>
      <xdr:colOff>276785</xdr:colOff>
      <xdr:row>125</xdr:row>
      <xdr:rowOff>88058</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143</xdr:row>
      <xdr:rowOff>145240</xdr:rowOff>
    </xdr:from>
    <xdr:to>
      <xdr:col>20</xdr:col>
      <xdr:colOff>410097</xdr:colOff>
      <xdr:row>147</xdr:row>
      <xdr:rowOff>172490</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147</xdr:row>
      <xdr:rowOff>172490</xdr:rowOff>
    </xdr:from>
    <xdr:to>
      <xdr:col>21</xdr:col>
      <xdr:colOff>581546</xdr:colOff>
      <xdr:row>151</xdr:row>
      <xdr:rowOff>144179</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45</xdr:row>
      <xdr:rowOff>159799</xdr:rowOff>
    </xdr:from>
    <xdr:to>
      <xdr:col>11</xdr:col>
      <xdr:colOff>26901</xdr:colOff>
      <xdr:row>50</xdr:row>
      <xdr:rowOff>126375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619647</xdr:colOff>
      <xdr:row>152</xdr:row>
      <xdr:rowOff>46315</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45258</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619647</xdr:colOff>
      <xdr:row>42</xdr:row>
      <xdr:rowOff>159797</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619647</xdr:colOff>
      <xdr:row>152</xdr:row>
      <xdr:rowOff>26800</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49</xdr:row>
      <xdr:rowOff>159928</xdr:rowOff>
    </xdr:from>
    <xdr:to>
      <xdr:col>11</xdr:col>
      <xdr:colOff>122151</xdr:colOff>
      <xdr:row>54</xdr:row>
      <xdr:rowOff>11262</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49</xdr:row>
      <xdr:rowOff>159928</xdr:rowOff>
    </xdr:from>
    <xdr:to>
      <xdr:col>12</xdr:col>
      <xdr:colOff>765150</xdr:colOff>
      <xdr:row>54</xdr:row>
      <xdr:rowOff>11262</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122720</xdr:rowOff>
    </xdr:from>
    <xdr:to>
      <xdr:col>4</xdr:col>
      <xdr:colOff>276785</xdr:colOff>
      <xdr:row>248</xdr:row>
      <xdr:rowOff>122721</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66131</xdr:rowOff>
    </xdr:from>
    <xdr:to>
      <xdr:col>4</xdr:col>
      <xdr:colOff>276785</xdr:colOff>
      <xdr:row>248</xdr:row>
      <xdr:rowOff>6546</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66132</xdr:rowOff>
    </xdr:from>
    <xdr:to>
      <xdr:col>4</xdr:col>
      <xdr:colOff>276785</xdr:colOff>
      <xdr:row>249</xdr:row>
      <xdr:rowOff>122721</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237</xdr:row>
      <xdr:rowOff>6546</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276785</xdr:colOff>
      <xdr:row>214</xdr:row>
      <xdr:rowOff>6545</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66131</xdr:rowOff>
    </xdr:from>
    <xdr:to>
      <xdr:col>4</xdr:col>
      <xdr:colOff>276785</xdr:colOff>
      <xdr:row>215</xdr:row>
      <xdr:rowOff>122721</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66132</xdr:rowOff>
    </xdr:from>
    <xdr:to>
      <xdr:col>4</xdr:col>
      <xdr:colOff>276785</xdr:colOff>
      <xdr:row>216</xdr:row>
      <xdr:rowOff>122721</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66130</xdr:rowOff>
    </xdr:from>
    <xdr:to>
      <xdr:col>4</xdr:col>
      <xdr:colOff>276785</xdr:colOff>
      <xdr:row>223</xdr:row>
      <xdr:rowOff>122720</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73</xdr:row>
      <xdr:rowOff>97999</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68652</xdr:rowOff>
    </xdr:from>
    <xdr:to>
      <xdr:col>4</xdr:col>
      <xdr:colOff>295835</xdr:colOff>
      <xdr:row>95</xdr:row>
      <xdr:rowOff>48006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93</xdr:row>
      <xdr:rowOff>140979</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117049</xdr:rowOff>
    </xdr:from>
    <xdr:to>
      <xdr:col>4</xdr:col>
      <xdr:colOff>276785</xdr:colOff>
      <xdr:row>94</xdr:row>
      <xdr:rowOff>8384</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143930</xdr:rowOff>
    </xdr:from>
    <xdr:to>
      <xdr:col>4</xdr:col>
      <xdr:colOff>276785</xdr:colOff>
      <xdr:row>97</xdr:row>
      <xdr:rowOff>50360</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10517</xdr:rowOff>
    </xdr:from>
    <xdr:to>
      <xdr:col>4</xdr:col>
      <xdr:colOff>276785</xdr:colOff>
      <xdr:row>105</xdr:row>
      <xdr:rowOff>116118</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140979</xdr:rowOff>
    </xdr:from>
    <xdr:to>
      <xdr:col>4</xdr:col>
      <xdr:colOff>276785</xdr:colOff>
      <xdr:row>104</xdr:row>
      <xdr:rowOff>141342</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65484</xdr:rowOff>
    </xdr:from>
    <xdr:to>
      <xdr:col>4</xdr:col>
      <xdr:colOff>276785</xdr:colOff>
      <xdr:row>105</xdr:row>
      <xdr:rowOff>12634</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85546</xdr:rowOff>
    </xdr:from>
    <xdr:to>
      <xdr:col>4</xdr:col>
      <xdr:colOff>276785</xdr:colOff>
      <xdr:row>106</xdr:row>
      <xdr:rowOff>97297</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131165</xdr:rowOff>
    </xdr:from>
    <xdr:to>
      <xdr:col>4</xdr:col>
      <xdr:colOff>276785</xdr:colOff>
      <xdr:row>127</xdr:row>
      <xdr:rowOff>172199</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174134</xdr:rowOff>
    </xdr:from>
    <xdr:to>
      <xdr:col>4</xdr:col>
      <xdr:colOff>276785</xdr:colOff>
      <xdr:row>126</xdr:row>
      <xdr:rowOff>25754</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251</xdr:rowOff>
    </xdr:from>
    <xdr:to>
      <xdr:col>4</xdr:col>
      <xdr:colOff>276785</xdr:colOff>
      <xdr:row>125</xdr:row>
      <xdr:rowOff>25567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172160</xdr:rowOff>
    </xdr:from>
    <xdr:to>
      <xdr:col>4</xdr:col>
      <xdr:colOff>276785</xdr:colOff>
      <xdr:row>125</xdr:row>
      <xdr:rowOff>88058</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143</xdr:row>
      <xdr:rowOff>145240</xdr:rowOff>
    </xdr:from>
    <xdr:to>
      <xdr:col>20</xdr:col>
      <xdr:colOff>410097</xdr:colOff>
      <xdr:row>147</xdr:row>
      <xdr:rowOff>172490</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147</xdr:row>
      <xdr:rowOff>172490</xdr:rowOff>
    </xdr:from>
    <xdr:to>
      <xdr:col>21</xdr:col>
      <xdr:colOff>581546</xdr:colOff>
      <xdr:row>151</xdr:row>
      <xdr:rowOff>144179</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45</xdr:row>
      <xdr:rowOff>159799</xdr:rowOff>
    </xdr:from>
    <xdr:to>
      <xdr:col>11</xdr:col>
      <xdr:colOff>26901</xdr:colOff>
      <xdr:row>50</xdr:row>
      <xdr:rowOff>126375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619647</xdr:colOff>
      <xdr:row>152</xdr:row>
      <xdr:rowOff>46315</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45258</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619647</xdr:colOff>
      <xdr:row>42</xdr:row>
      <xdr:rowOff>159797</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619647</xdr:colOff>
      <xdr:row>152</xdr:row>
      <xdr:rowOff>26800</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49</xdr:row>
      <xdr:rowOff>159928</xdr:rowOff>
    </xdr:from>
    <xdr:to>
      <xdr:col>11</xdr:col>
      <xdr:colOff>122151</xdr:colOff>
      <xdr:row>54</xdr:row>
      <xdr:rowOff>11262</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49</xdr:row>
      <xdr:rowOff>159928</xdr:rowOff>
    </xdr:from>
    <xdr:to>
      <xdr:col>12</xdr:col>
      <xdr:colOff>765150</xdr:colOff>
      <xdr:row>54</xdr:row>
      <xdr:rowOff>11262</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122720</xdr:rowOff>
    </xdr:from>
    <xdr:to>
      <xdr:col>4</xdr:col>
      <xdr:colOff>276785</xdr:colOff>
      <xdr:row>248</xdr:row>
      <xdr:rowOff>122721</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66131</xdr:rowOff>
    </xdr:from>
    <xdr:to>
      <xdr:col>4</xdr:col>
      <xdr:colOff>276785</xdr:colOff>
      <xdr:row>248</xdr:row>
      <xdr:rowOff>6546</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66132</xdr:rowOff>
    </xdr:from>
    <xdr:to>
      <xdr:col>4</xdr:col>
      <xdr:colOff>276785</xdr:colOff>
      <xdr:row>249</xdr:row>
      <xdr:rowOff>122721</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237</xdr:row>
      <xdr:rowOff>6546</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276785</xdr:colOff>
      <xdr:row>214</xdr:row>
      <xdr:rowOff>6545</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66131</xdr:rowOff>
    </xdr:from>
    <xdr:to>
      <xdr:col>4</xdr:col>
      <xdr:colOff>276785</xdr:colOff>
      <xdr:row>215</xdr:row>
      <xdr:rowOff>122721</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66132</xdr:rowOff>
    </xdr:from>
    <xdr:to>
      <xdr:col>4</xdr:col>
      <xdr:colOff>276785</xdr:colOff>
      <xdr:row>216</xdr:row>
      <xdr:rowOff>122721</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66130</xdr:rowOff>
    </xdr:from>
    <xdr:to>
      <xdr:col>4</xdr:col>
      <xdr:colOff>276785</xdr:colOff>
      <xdr:row>223</xdr:row>
      <xdr:rowOff>122720</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73</xdr:row>
      <xdr:rowOff>97999</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68652</xdr:rowOff>
    </xdr:from>
    <xdr:to>
      <xdr:col>4</xdr:col>
      <xdr:colOff>295835</xdr:colOff>
      <xdr:row>95</xdr:row>
      <xdr:rowOff>48006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97999</xdr:rowOff>
    </xdr:from>
    <xdr:to>
      <xdr:col>4</xdr:col>
      <xdr:colOff>276785</xdr:colOff>
      <xdr:row>93</xdr:row>
      <xdr:rowOff>140979</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117049</xdr:rowOff>
    </xdr:from>
    <xdr:to>
      <xdr:col>4</xdr:col>
      <xdr:colOff>276785</xdr:colOff>
      <xdr:row>94</xdr:row>
      <xdr:rowOff>8384</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143930</xdr:rowOff>
    </xdr:from>
    <xdr:to>
      <xdr:col>4</xdr:col>
      <xdr:colOff>276785</xdr:colOff>
      <xdr:row>97</xdr:row>
      <xdr:rowOff>50360</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10517</xdr:rowOff>
    </xdr:from>
    <xdr:to>
      <xdr:col>4</xdr:col>
      <xdr:colOff>276785</xdr:colOff>
      <xdr:row>105</xdr:row>
      <xdr:rowOff>116118</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140979</xdr:rowOff>
    </xdr:from>
    <xdr:to>
      <xdr:col>4</xdr:col>
      <xdr:colOff>276785</xdr:colOff>
      <xdr:row>104</xdr:row>
      <xdr:rowOff>141342</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65484</xdr:rowOff>
    </xdr:from>
    <xdr:to>
      <xdr:col>4</xdr:col>
      <xdr:colOff>276785</xdr:colOff>
      <xdr:row>105</xdr:row>
      <xdr:rowOff>12634</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85546</xdr:rowOff>
    </xdr:from>
    <xdr:to>
      <xdr:col>4</xdr:col>
      <xdr:colOff>276785</xdr:colOff>
      <xdr:row>106</xdr:row>
      <xdr:rowOff>97297</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131165</xdr:rowOff>
    </xdr:from>
    <xdr:to>
      <xdr:col>4</xdr:col>
      <xdr:colOff>276785</xdr:colOff>
      <xdr:row>127</xdr:row>
      <xdr:rowOff>172199</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174134</xdr:rowOff>
    </xdr:from>
    <xdr:to>
      <xdr:col>4</xdr:col>
      <xdr:colOff>276785</xdr:colOff>
      <xdr:row>126</xdr:row>
      <xdr:rowOff>25754</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251</xdr:rowOff>
    </xdr:from>
    <xdr:to>
      <xdr:col>4</xdr:col>
      <xdr:colOff>276785</xdr:colOff>
      <xdr:row>125</xdr:row>
      <xdr:rowOff>25567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172160</xdr:rowOff>
    </xdr:from>
    <xdr:to>
      <xdr:col>4</xdr:col>
      <xdr:colOff>276785</xdr:colOff>
      <xdr:row>125</xdr:row>
      <xdr:rowOff>88058</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143</xdr:row>
      <xdr:rowOff>145240</xdr:rowOff>
    </xdr:from>
    <xdr:to>
      <xdr:col>20</xdr:col>
      <xdr:colOff>410097</xdr:colOff>
      <xdr:row>147</xdr:row>
      <xdr:rowOff>172490</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147</xdr:row>
      <xdr:rowOff>172490</xdr:rowOff>
    </xdr:from>
    <xdr:to>
      <xdr:col>21</xdr:col>
      <xdr:colOff>581546</xdr:colOff>
      <xdr:row>151</xdr:row>
      <xdr:rowOff>144179</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45</xdr:row>
      <xdr:rowOff>159799</xdr:rowOff>
    </xdr:from>
    <xdr:to>
      <xdr:col>11</xdr:col>
      <xdr:colOff>26901</xdr:colOff>
      <xdr:row>50</xdr:row>
      <xdr:rowOff>126375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619647</xdr:colOff>
      <xdr:row>152</xdr:row>
      <xdr:rowOff>46315</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45258</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619647</xdr:colOff>
      <xdr:row>42</xdr:row>
      <xdr:rowOff>159797</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619647</xdr:colOff>
      <xdr:row>152</xdr:row>
      <xdr:rowOff>26800</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49</xdr:row>
      <xdr:rowOff>159928</xdr:rowOff>
    </xdr:from>
    <xdr:to>
      <xdr:col>11</xdr:col>
      <xdr:colOff>122151</xdr:colOff>
      <xdr:row>54</xdr:row>
      <xdr:rowOff>11262</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49</xdr:row>
      <xdr:rowOff>159928</xdr:rowOff>
    </xdr:from>
    <xdr:to>
      <xdr:col>12</xdr:col>
      <xdr:colOff>765150</xdr:colOff>
      <xdr:row>54</xdr:row>
      <xdr:rowOff>11262</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27829</xdr:rowOff>
    </xdr:from>
    <xdr:to>
      <xdr:col>17</xdr:col>
      <xdr:colOff>381889</xdr:colOff>
      <xdr:row>22</xdr:row>
      <xdr:rowOff>65928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122720</xdr:rowOff>
    </xdr:from>
    <xdr:to>
      <xdr:col>4</xdr:col>
      <xdr:colOff>276785</xdr:colOff>
      <xdr:row>249</xdr:row>
      <xdr:rowOff>107406</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66131</xdr:rowOff>
    </xdr:from>
    <xdr:to>
      <xdr:col>4</xdr:col>
      <xdr:colOff>276785</xdr:colOff>
      <xdr:row>249</xdr:row>
      <xdr:rowOff>6545</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66129</xdr:rowOff>
    </xdr:from>
    <xdr:to>
      <xdr:col>4</xdr:col>
      <xdr:colOff>276785</xdr:colOff>
      <xdr:row>250</xdr:row>
      <xdr:rowOff>107407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66132</xdr:rowOff>
    </xdr:from>
    <xdr:to>
      <xdr:col>4</xdr:col>
      <xdr:colOff>276785</xdr:colOff>
      <xdr:row>238</xdr:row>
      <xdr:rowOff>6546</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174314</xdr:rowOff>
    </xdr:from>
    <xdr:to>
      <xdr:col>4</xdr:col>
      <xdr:colOff>276785</xdr:colOff>
      <xdr:row>215</xdr:row>
      <xdr:rowOff>6546</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66129</xdr:rowOff>
    </xdr:from>
    <xdr:to>
      <xdr:col>4</xdr:col>
      <xdr:colOff>276785</xdr:colOff>
      <xdr:row>216</xdr:row>
      <xdr:rowOff>107407</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66131</xdr:rowOff>
    </xdr:from>
    <xdr:to>
      <xdr:col>4</xdr:col>
      <xdr:colOff>276785</xdr:colOff>
      <xdr:row>217</xdr:row>
      <xdr:rowOff>107407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66131</xdr:rowOff>
    </xdr:from>
    <xdr:to>
      <xdr:col>4</xdr:col>
      <xdr:colOff>276785</xdr:colOff>
      <xdr:row>224</xdr:row>
      <xdr:rowOff>107407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66849</xdr:rowOff>
    </xdr:from>
    <xdr:to>
      <xdr:col>4</xdr:col>
      <xdr:colOff>276785</xdr:colOff>
      <xdr:row>75</xdr:row>
      <xdr:rowOff>66849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21784</xdr:rowOff>
    </xdr:from>
    <xdr:to>
      <xdr:col>4</xdr:col>
      <xdr:colOff>295835</xdr:colOff>
      <xdr:row>98</xdr:row>
      <xdr:rowOff>59019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66849</xdr:rowOff>
    </xdr:from>
    <xdr:to>
      <xdr:col>4</xdr:col>
      <xdr:colOff>276785</xdr:colOff>
      <xdr:row>96</xdr:row>
      <xdr:rowOff>25517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86962</xdr:rowOff>
    </xdr:from>
    <xdr:to>
      <xdr:col>4</xdr:col>
      <xdr:colOff>276785</xdr:colOff>
      <xdr:row>96</xdr:row>
      <xdr:rowOff>25555</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297881</xdr:rowOff>
    </xdr:from>
    <xdr:to>
      <xdr:col>4</xdr:col>
      <xdr:colOff>276785</xdr:colOff>
      <xdr:row>98</xdr:row>
      <xdr:rowOff>67653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468</xdr:rowOff>
    </xdr:from>
    <xdr:to>
      <xdr:col>4</xdr:col>
      <xdr:colOff>276785</xdr:colOff>
      <xdr:row>106</xdr:row>
      <xdr:rowOff>45883</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159613</xdr:rowOff>
    </xdr:from>
    <xdr:to>
      <xdr:col>4</xdr:col>
      <xdr:colOff>276785</xdr:colOff>
      <xdr:row>105</xdr:row>
      <xdr:rowOff>87079</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85546</xdr:rowOff>
    </xdr:from>
    <xdr:to>
      <xdr:col>4</xdr:col>
      <xdr:colOff>276785</xdr:colOff>
      <xdr:row>105</xdr:row>
      <xdr:rowOff>179058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65003</xdr:rowOff>
    </xdr:from>
    <xdr:to>
      <xdr:col>4</xdr:col>
      <xdr:colOff>276785</xdr:colOff>
      <xdr:row>107</xdr:row>
      <xdr:rowOff>25791</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154915</xdr:rowOff>
    </xdr:from>
    <xdr:to>
      <xdr:col>4</xdr:col>
      <xdr:colOff>276785</xdr:colOff>
      <xdr:row>128</xdr:row>
      <xdr:rowOff>172199</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251</xdr:rowOff>
    </xdr:from>
    <xdr:to>
      <xdr:col>4</xdr:col>
      <xdr:colOff>276785</xdr:colOff>
      <xdr:row>126</xdr:row>
      <xdr:rowOff>66338</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12213</xdr:rowOff>
    </xdr:from>
    <xdr:to>
      <xdr:col>4</xdr:col>
      <xdr:colOff>276785</xdr:colOff>
      <xdr:row>126</xdr:row>
      <xdr:rowOff>28335</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160051</xdr:rowOff>
    </xdr:from>
    <xdr:to>
      <xdr:col>4</xdr:col>
      <xdr:colOff>276785</xdr:colOff>
      <xdr:row>126</xdr:row>
      <xdr:rowOff>28335</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144</xdr:row>
      <xdr:rowOff>145239</xdr:rowOff>
    </xdr:from>
    <xdr:to>
      <xdr:col>20</xdr:col>
      <xdr:colOff>410097</xdr:colOff>
      <xdr:row>148</xdr:row>
      <xdr:rowOff>142378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148</xdr:row>
      <xdr:rowOff>142378</xdr:rowOff>
    </xdr:from>
    <xdr:to>
      <xdr:col>21</xdr:col>
      <xdr:colOff>581546</xdr:colOff>
      <xdr:row>152</xdr:row>
      <xdr:rowOff>144180</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46</xdr:row>
      <xdr:rowOff>159796</xdr:rowOff>
    </xdr:from>
    <xdr:to>
      <xdr:col>11</xdr:col>
      <xdr:colOff>26901</xdr:colOff>
      <xdr:row>51</xdr:row>
      <xdr:rowOff>102776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148</xdr:row>
      <xdr:rowOff>142378</xdr:rowOff>
    </xdr:from>
    <xdr:to>
      <xdr:col>23</xdr:col>
      <xdr:colOff>619647</xdr:colOff>
      <xdr:row>153</xdr:row>
      <xdr:rowOff>46147</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619647</xdr:colOff>
      <xdr:row>30</xdr:row>
      <xdr:rowOff>45258</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619647</xdr:colOff>
      <xdr:row>42</xdr:row>
      <xdr:rowOff>159797</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148</xdr:row>
      <xdr:rowOff>165083</xdr:rowOff>
    </xdr:from>
    <xdr:to>
      <xdr:col>24</xdr:col>
      <xdr:colOff>619647</xdr:colOff>
      <xdr:row>153</xdr:row>
      <xdr:rowOff>26799</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50</xdr:row>
      <xdr:rowOff>159927</xdr:rowOff>
    </xdr:from>
    <xdr:to>
      <xdr:col>11</xdr:col>
      <xdr:colOff>103101</xdr:colOff>
      <xdr:row>55</xdr:row>
      <xdr:rowOff>11263</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50</xdr:row>
      <xdr:rowOff>159927</xdr:rowOff>
    </xdr:from>
    <xdr:to>
      <xdr:col>12</xdr:col>
      <xdr:colOff>765150</xdr:colOff>
      <xdr:row>55</xdr:row>
      <xdr:rowOff>11263</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7341</xdr:rowOff>
    </xdr:from>
    <xdr:to>
      <xdr:col>29</xdr:col>
      <xdr:colOff>559689</xdr:colOff>
      <xdr:row>37</xdr:row>
      <xdr:rowOff>83728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159798</xdr:rowOff>
    </xdr:from>
    <xdr:to>
      <xdr:col>26</xdr:col>
      <xdr:colOff>619646</xdr:colOff>
      <xdr:row>41</xdr:row>
      <xdr:rowOff>83526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63</xdr:row>
      <xdr:rowOff>208487</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41110</xdr:rowOff>
    </xdr:from>
    <xdr:to>
      <xdr:col>4</xdr:col>
      <xdr:colOff>295835</xdr:colOff>
      <xdr:row>87</xdr:row>
      <xdr:rowOff>249478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85</xdr:row>
      <xdr:rowOff>133603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85</xdr:row>
      <xdr:rowOff>164902</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76414</xdr:rowOff>
    </xdr:from>
    <xdr:to>
      <xdr:col>4</xdr:col>
      <xdr:colOff>276785</xdr:colOff>
      <xdr:row>89</xdr:row>
      <xdr:rowOff>161701</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126032</xdr:rowOff>
    </xdr:from>
    <xdr:to>
      <xdr:col>4</xdr:col>
      <xdr:colOff>276785</xdr:colOff>
      <xdr:row>99</xdr:row>
      <xdr:rowOff>65035</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41147</xdr:rowOff>
    </xdr:from>
    <xdr:to>
      <xdr:col>4</xdr:col>
      <xdr:colOff>276785</xdr:colOff>
      <xdr:row>98</xdr:row>
      <xdr:rowOff>30976</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164902</xdr:rowOff>
    </xdr:from>
    <xdr:to>
      <xdr:col>4</xdr:col>
      <xdr:colOff>276785</xdr:colOff>
      <xdr:row>98</xdr:row>
      <xdr:rowOff>172425</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7079</xdr:rowOff>
    </xdr:from>
    <xdr:to>
      <xdr:col>4</xdr:col>
      <xdr:colOff>276785</xdr:colOff>
      <xdr:row>100</xdr:row>
      <xdr:rowOff>121627</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45748</xdr:rowOff>
    </xdr:from>
    <xdr:to>
      <xdr:col>4</xdr:col>
      <xdr:colOff>276785</xdr:colOff>
      <xdr:row>118</xdr:row>
      <xdr:rowOff>164828</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68986</xdr:rowOff>
    </xdr:from>
    <xdr:to>
      <xdr:col>4</xdr:col>
      <xdr:colOff>276785</xdr:colOff>
      <xdr:row>116</xdr:row>
      <xdr:rowOff>104809</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63653</xdr:rowOff>
    </xdr:from>
    <xdr:to>
      <xdr:col>4</xdr:col>
      <xdr:colOff>276785</xdr:colOff>
      <xdr:row>116</xdr:row>
      <xdr:rowOff>104809</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30846</xdr:rowOff>
    </xdr:from>
    <xdr:to>
      <xdr:col>4</xdr:col>
      <xdr:colOff>276785</xdr:colOff>
      <xdr:row>116</xdr:row>
      <xdr:rowOff>104809</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28228</xdr:rowOff>
    </xdr:from>
    <xdr:to>
      <xdr:col>20</xdr:col>
      <xdr:colOff>410097</xdr:colOff>
      <xdr:row>138</xdr:row>
      <xdr:rowOff>45623</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45623</xdr:rowOff>
    </xdr:from>
    <xdr:to>
      <xdr:col>21</xdr:col>
      <xdr:colOff>581546</xdr:colOff>
      <xdr:row>142</xdr:row>
      <xdr:rowOff>45454</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46</xdr:row>
      <xdr:rowOff>159796</xdr:rowOff>
    </xdr:from>
    <xdr:to>
      <xdr:col>11</xdr:col>
      <xdr:colOff>26901</xdr:colOff>
      <xdr:row>51</xdr:row>
      <xdr:rowOff>102776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45623</xdr:rowOff>
    </xdr:from>
    <xdr:to>
      <xdr:col>23</xdr:col>
      <xdr:colOff>619647</xdr:colOff>
      <xdr:row>142</xdr:row>
      <xdr:rowOff>143487</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102773</xdr:rowOff>
    </xdr:from>
    <xdr:to>
      <xdr:col>24</xdr:col>
      <xdr:colOff>619647</xdr:colOff>
      <xdr:row>142</xdr:row>
      <xdr:rowOff>143487</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50</xdr:row>
      <xdr:rowOff>159927</xdr:rowOff>
    </xdr:from>
    <xdr:to>
      <xdr:col>11</xdr:col>
      <xdr:colOff>103101</xdr:colOff>
      <xdr:row>54</xdr:row>
      <xdr:rowOff>159797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50</xdr:row>
      <xdr:rowOff>159927</xdr:rowOff>
    </xdr:from>
    <xdr:to>
      <xdr:col>12</xdr:col>
      <xdr:colOff>765150</xdr:colOff>
      <xdr:row>54</xdr:row>
      <xdr:rowOff>159797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40</xdr:row>
      <xdr:rowOff>123882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159798</xdr:rowOff>
    </xdr:from>
    <xdr:to>
      <xdr:col>26</xdr:col>
      <xdr:colOff>619646</xdr:colOff>
      <xdr:row>41</xdr:row>
      <xdr:rowOff>83526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74169</xdr:rowOff>
    </xdr:from>
    <xdr:to>
      <xdr:col>13</xdr:col>
      <xdr:colOff>693039</xdr:colOff>
      <xdr:row>68</xdr:row>
      <xdr:rowOff>10348</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69</xdr:row>
      <xdr:rowOff>201223</xdr:rowOff>
    </xdr:from>
    <xdr:to>
      <xdr:col>13</xdr:col>
      <xdr:colOff>784200</xdr:colOff>
      <xdr:row>73</xdr:row>
      <xdr:rowOff>96412</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159927</xdr:rowOff>
    </xdr:from>
    <xdr:to>
      <xdr:col>13</xdr:col>
      <xdr:colOff>784200</xdr:colOff>
      <xdr:row>54</xdr:row>
      <xdr:rowOff>159797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67</xdr:row>
      <xdr:rowOff>104915</xdr:rowOff>
    </xdr:from>
    <xdr:to>
      <xdr:col>4</xdr:col>
      <xdr:colOff>468779</xdr:colOff>
      <xdr:row>70</xdr:row>
      <xdr:rowOff>202805</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63</xdr:row>
      <xdr:rowOff>208487</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41110</xdr:rowOff>
    </xdr:from>
    <xdr:to>
      <xdr:col>4</xdr:col>
      <xdr:colOff>295835</xdr:colOff>
      <xdr:row>87</xdr:row>
      <xdr:rowOff>324846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87</xdr:row>
      <xdr:rowOff>114156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208487</xdr:rowOff>
    </xdr:from>
    <xdr:to>
      <xdr:col>4</xdr:col>
      <xdr:colOff>276785</xdr:colOff>
      <xdr:row>87</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76414</xdr:rowOff>
    </xdr:from>
    <xdr:to>
      <xdr:col>4</xdr:col>
      <xdr:colOff>276785</xdr:colOff>
      <xdr:row>89</xdr:row>
      <xdr:rowOff>145680</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126032</xdr:rowOff>
    </xdr:from>
    <xdr:to>
      <xdr:col>4</xdr:col>
      <xdr:colOff>276785</xdr:colOff>
      <xdr:row>99</xdr:row>
      <xdr:rowOff>65035</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41147</xdr:rowOff>
    </xdr:from>
    <xdr:to>
      <xdr:col>4</xdr:col>
      <xdr:colOff>276785</xdr:colOff>
      <xdr:row>98</xdr:row>
      <xdr:rowOff>30976</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164902</xdr:rowOff>
    </xdr:from>
    <xdr:to>
      <xdr:col>4</xdr:col>
      <xdr:colOff>276785</xdr:colOff>
      <xdr:row>98</xdr:row>
      <xdr:rowOff>116701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7079</xdr:rowOff>
    </xdr:from>
    <xdr:to>
      <xdr:col>4</xdr:col>
      <xdr:colOff>276785</xdr:colOff>
      <xdr:row>100</xdr:row>
      <xdr:rowOff>121627</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45748</xdr:rowOff>
    </xdr:from>
    <xdr:to>
      <xdr:col>4</xdr:col>
      <xdr:colOff>276785</xdr:colOff>
      <xdr:row>118</xdr:row>
      <xdr:rowOff>164828</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68986</xdr:rowOff>
    </xdr:from>
    <xdr:to>
      <xdr:col>4</xdr:col>
      <xdr:colOff>276785</xdr:colOff>
      <xdr:row>116</xdr:row>
      <xdr:rowOff>104809</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63653</xdr:rowOff>
    </xdr:from>
    <xdr:to>
      <xdr:col>4</xdr:col>
      <xdr:colOff>276785</xdr:colOff>
      <xdr:row>116</xdr:row>
      <xdr:rowOff>104809</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30846</xdr:rowOff>
    </xdr:from>
    <xdr:to>
      <xdr:col>4</xdr:col>
      <xdr:colOff>276785</xdr:colOff>
      <xdr:row>116</xdr:row>
      <xdr:rowOff>104809</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134</xdr:row>
      <xdr:rowOff>28228</xdr:rowOff>
    </xdr:from>
    <xdr:to>
      <xdr:col>20</xdr:col>
      <xdr:colOff>410097</xdr:colOff>
      <xdr:row>138</xdr:row>
      <xdr:rowOff>45623</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138</xdr:row>
      <xdr:rowOff>45623</xdr:rowOff>
    </xdr:from>
    <xdr:to>
      <xdr:col>21</xdr:col>
      <xdr:colOff>581546</xdr:colOff>
      <xdr:row>142</xdr:row>
      <xdr:rowOff>45454</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46</xdr:row>
      <xdr:rowOff>159796</xdr:rowOff>
    </xdr:from>
    <xdr:to>
      <xdr:col>11</xdr:col>
      <xdr:colOff>26901</xdr:colOff>
      <xdr:row>51</xdr:row>
      <xdr:rowOff>102776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45623</xdr:rowOff>
    </xdr:from>
    <xdr:to>
      <xdr:col>23</xdr:col>
      <xdr:colOff>619647</xdr:colOff>
      <xdr:row>142</xdr:row>
      <xdr:rowOff>143487</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102773</xdr:rowOff>
    </xdr:from>
    <xdr:to>
      <xdr:col>24</xdr:col>
      <xdr:colOff>619647</xdr:colOff>
      <xdr:row>142</xdr:row>
      <xdr:rowOff>143487</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50</xdr:row>
      <xdr:rowOff>159927</xdr:rowOff>
    </xdr:from>
    <xdr:to>
      <xdr:col>11</xdr:col>
      <xdr:colOff>103101</xdr:colOff>
      <xdr:row>54</xdr:row>
      <xdr:rowOff>159797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50</xdr:row>
      <xdr:rowOff>159927</xdr:rowOff>
    </xdr:from>
    <xdr:to>
      <xdr:col>12</xdr:col>
      <xdr:colOff>765150</xdr:colOff>
      <xdr:row>54</xdr:row>
      <xdr:rowOff>159797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42</xdr:row>
      <xdr:rowOff>85783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74169</xdr:rowOff>
    </xdr:from>
    <xdr:to>
      <xdr:col>13</xdr:col>
      <xdr:colOff>693039</xdr:colOff>
      <xdr:row>68</xdr:row>
      <xdr:rowOff>103700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69</xdr:row>
      <xdr:rowOff>201223</xdr:rowOff>
    </xdr:from>
    <xdr:to>
      <xdr:col>13</xdr:col>
      <xdr:colOff>784200</xdr:colOff>
      <xdr:row>73</xdr:row>
      <xdr:rowOff>78566</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159927</xdr:rowOff>
    </xdr:from>
    <xdr:to>
      <xdr:col>13</xdr:col>
      <xdr:colOff>784200</xdr:colOff>
      <xdr:row>54</xdr:row>
      <xdr:rowOff>159797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104915</xdr:rowOff>
    </xdr:from>
    <xdr:to>
      <xdr:col>4</xdr:col>
      <xdr:colOff>440204</xdr:colOff>
      <xdr:row>71</xdr:row>
      <xdr:rowOff>144759</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26</xdr:row>
      <xdr:rowOff>36953</xdr:rowOff>
    </xdr:from>
    <xdr:to>
      <xdr:col>25</xdr:col>
      <xdr:colOff>638698</xdr:colOff>
      <xdr:row>30</xdr:row>
      <xdr:rowOff>64308</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37</xdr:row>
      <xdr:rowOff>11264</xdr:rowOff>
    </xdr:from>
    <xdr:to>
      <xdr:col>25</xdr:col>
      <xdr:colOff>638698</xdr:colOff>
      <xdr:row>41</xdr:row>
      <xdr:rowOff>46188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140</xdr:row>
      <xdr:rowOff>172063</xdr:rowOff>
    </xdr:from>
    <xdr:to>
      <xdr:col>25</xdr:col>
      <xdr:colOff>638698</xdr:colOff>
      <xdr:row>145</xdr:row>
      <xdr:rowOff>8317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69</xdr:row>
      <xdr:rowOff>55390</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55390</xdr:rowOff>
    </xdr:from>
    <xdr:to>
      <xdr:col>4</xdr:col>
      <xdr:colOff>295835</xdr:colOff>
      <xdr:row>94</xdr:row>
      <xdr:rowOff>47857</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27982</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66082</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107778</xdr:rowOff>
    </xdr:from>
    <xdr:to>
      <xdr:col>4</xdr:col>
      <xdr:colOff>276785</xdr:colOff>
      <xdr:row>96</xdr:row>
      <xdr:rowOff>139862</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104213</xdr:rowOff>
    </xdr:from>
    <xdr:to>
      <xdr:col>4</xdr:col>
      <xdr:colOff>276785</xdr:colOff>
      <xdr:row>105</xdr:row>
      <xdr:rowOff>1357</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88533</xdr:rowOff>
    </xdr:from>
    <xdr:to>
      <xdr:col>4</xdr:col>
      <xdr:colOff>276785</xdr:colOff>
      <xdr:row>103</xdr:row>
      <xdr:rowOff>206771</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560</xdr:rowOff>
    </xdr:from>
    <xdr:to>
      <xdr:col>4</xdr:col>
      <xdr:colOff>276785</xdr:colOff>
      <xdr:row>104</xdr:row>
      <xdr:rowOff>15891</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173007</xdr:rowOff>
    </xdr:from>
    <xdr:to>
      <xdr:col>4</xdr:col>
      <xdr:colOff>276785</xdr:colOff>
      <xdr:row>106</xdr:row>
      <xdr:rowOff>28795</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2115</xdr:rowOff>
    </xdr:from>
    <xdr:to>
      <xdr:col>4</xdr:col>
      <xdr:colOff>276785</xdr:colOff>
      <xdr:row>124</xdr:row>
      <xdr:rowOff>172594</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26656</xdr:rowOff>
    </xdr:from>
    <xdr:to>
      <xdr:col>4</xdr:col>
      <xdr:colOff>276785</xdr:colOff>
      <xdr:row>121</xdr:row>
      <xdr:rowOff>159525</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103801</xdr:rowOff>
    </xdr:from>
    <xdr:to>
      <xdr:col>4</xdr:col>
      <xdr:colOff>276785</xdr:colOff>
      <xdr:row>121</xdr:row>
      <xdr:rowOff>87703</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30062</xdr:rowOff>
    </xdr:from>
    <xdr:to>
      <xdr:col>4</xdr:col>
      <xdr:colOff>276785</xdr:colOff>
      <xdr:row>121</xdr:row>
      <xdr:rowOff>87703</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138</xdr:row>
      <xdr:rowOff>45456</xdr:rowOff>
    </xdr:from>
    <xdr:to>
      <xdr:col>20</xdr:col>
      <xdr:colOff>410097</xdr:colOff>
      <xdr:row>142</xdr:row>
      <xdr:rowOff>45622</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142</xdr:row>
      <xdr:rowOff>45622</xdr:rowOff>
    </xdr:from>
    <xdr:to>
      <xdr:col>21</xdr:col>
      <xdr:colOff>581546</xdr:colOff>
      <xdr:row>146</xdr:row>
      <xdr:rowOff>45454</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50</xdr:row>
      <xdr:rowOff>159796</xdr:rowOff>
    </xdr:from>
    <xdr:to>
      <xdr:col>11</xdr:col>
      <xdr:colOff>26901</xdr:colOff>
      <xdr:row>55</xdr:row>
      <xdr:rowOff>102778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45622</xdr:rowOff>
    </xdr:from>
    <xdr:to>
      <xdr:col>23</xdr:col>
      <xdr:colOff>619647</xdr:colOff>
      <xdr:row>146</xdr:row>
      <xdr:rowOff>143486</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102772</xdr:rowOff>
    </xdr:from>
    <xdr:to>
      <xdr:col>24</xdr:col>
      <xdr:colOff>619647</xdr:colOff>
      <xdr:row>146</xdr:row>
      <xdr:rowOff>143486</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54</xdr:row>
      <xdr:rowOff>159928</xdr:rowOff>
    </xdr:from>
    <xdr:to>
      <xdr:col>11</xdr:col>
      <xdr:colOff>103101</xdr:colOff>
      <xdr:row>58</xdr:row>
      <xdr:rowOff>159800</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54</xdr:row>
      <xdr:rowOff>159928</xdr:rowOff>
    </xdr:from>
    <xdr:to>
      <xdr:col>12</xdr:col>
      <xdr:colOff>765150</xdr:colOff>
      <xdr:row>58</xdr:row>
      <xdr:rowOff>159800</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42</xdr:row>
      <xdr:rowOff>85783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55390</xdr:rowOff>
    </xdr:from>
    <xdr:to>
      <xdr:col>13</xdr:col>
      <xdr:colOff>693039</xdr:colOff>
      <xdr:row>69</xdr:row>
      <xdr:rowOff>113928</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12506</xdr:rowOff>
    </xdr:from>
    <xdr:to>
      <xdr:col>13</xdr:col>
      <xdr:colOff>784200</xdr:colOff>
      <xdr:row>82</xdr:row>
      <xdr:rowOff>155545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159928</xdr:rowOff>
    </xdr:from>
    <xdr:to>
      <xdr:col>13</xdr:col>
      <xdr:colOff>784200</xdr:colOff>
      <xdr:row>58</xdr:row>
      <xdr:rowOff>159800</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197971</xdr:rowOff>
    </xdr:from>
    <xdr:to>
      <xdr:col>4</xdr:col>
      <xdr:colOff>440204</xdr:colOff>
      <xdr:row>80</xdr:row>
      <xdr:rowOff>94892</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638698</xdr:colOff>
      <xdr:row>30</xdr:row>
      <xdr:rowOff>64308</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159798</xdr:rowOff>
    </xdr:from>
    <xdr:to>
      <xdr:col>25</xdr:col>
      <xdr:colOff>638698</xdr:colOff>
      <xdr:row>41</xdr:row>
      <xdr:rowOff>46188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160735</xdr:rowOff>
    </xdr:from>
    <xdr:to>
      <xdr:col>25</xdr:col>
      <xdr:colOff>638698</xdr:colOff>
      <xdr:row>149</xdr:row>
      <xdr:rowOff>347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36953</xdr:rowOff>
    </xdr:from>
    <xdr:to>
      <xdr:col>26</xdr:col>
      <xdr:colOff>638696</xdr:colOff>
      <xdr:row>30</xdr:row>
      <xdr:rowOff>64308</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638696</xdr:colOff>
      <xdr:row>41</xdr:row>
      <xdr:rowOff>46188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172062</xdr:rowOff>
    </xdr:from>
    <xdr:to>
      <xdr:col>26</xdr:col>
      <xdr:colOff>638696</xdr:colOff>
      <xdr:row>149</xdr:row>
      <xdr:rowOff>347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69</xdr:row>
      <xdr:rowOff>55390</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55390</xdr:rowOff>
    </xdr:from>
    <xdr:to>
      <xdr:col>4</xdr:col>
      <xdr:colOff>295835</xdr:colOff>
      <xdr:row>94</xdr:row>
      <xdr:rowOff>47857</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27982</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66082</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107778</xdr:rowOff>
    </xdr:from>
    <xdr:to>
      <xdr:col>4</xdr:col>
      <xdr:colOff>276785</xdr:colOff>
      <xdr:row>96</xdr:row>
      <xdr:rowOff>144051</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104213</xdr:rowOff>
    </xdr:from>
    <xdr:to>
      <xdr:col>4</xdr:col>
      <xdr:colOff>276785</xdr:colOff>
      <xdr:row>105</xdr:row>
      <xdr:rowOff>1357</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88533</xdr:rowOff>
    </xdr:from>
    <xdr:to>
      <xdr:col>4</xdr:col>
      <xdr:colOff>276785</xdr:colOff>
      <xdr:row>103</xdr:row>
      <xdr:rowOff>206771</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560</xdr:rowOff>
    </xdr:from>
    <xdr:to>
      <xdr:col>4</xdr:col>
      <xdr:colOff>276785</xdr:colOff>
      <xdr:row>104</xdr:row>
      <xdr:rowOff>15891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153812</xdr:rowOff>
    </xdr:from>
    <xdr:to>
      <xdr:col>4</xdr:col>
      <xdr:colOff>276785</xdr:colOff>
      <xdr:row>106</xdr:row>
      <xdr:rowOff>28256</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2115</xdr:rowOff>
    </xdr:from>
    <xdr:to>
      <xdr:col>4</xdr:col>
      <xdr:colOff>276785</xdr:colOff>
      <xdr:row>124</xdr:row>
      <xdr:rowOff>172594</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26656</xdr:rowOff>
    </xdr:from>
    <xdr:to>
      <xdr:col>4</xdr:col>
      <xdr:colOff>276785</xdr:colOff>
      <xdr:row>121</xdr:row>
      <xdr:rowOff>159525</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103801</xdr:rowOff>
    </xdr:from>
    <xdr:to>
      <xdr:col>4</xdr:col>
      <xdr:colOff>276785</xdr:colOff>
      <xdr:row>121</xdr:row>
      <xdr:rowOff>87703</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30062</xdr:rowOff>
    </xdr:from>
    <xdr:to>
      <xdr:col>4</xdr:col>
      <xdr:colOff>276785</xdr:colOff>
      <xdr:row>121</xdr:row>
      <xdr:rowOff>87703</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138</xdr:row>
      <xdr:rowOff>45456</xdr:rowOff>
    </xdr:from>
    <xdr:to>
      <xdr:col>20</xdr:col>
      <xdr:colOff>410097</xdr:colOff>
      <xdr:row>142</xdr:row>
      <xdr:rowOff>45622</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142</xdr:row>
      <xdr:rowOff>45622</xdr:rowOff>
    </xdr:from>
    <xdr:to>
      <xdr:col>21</xdr:col>
      <xdr:colOff>581546</xdr:colOff>
      <xdr:row>146</xdr:row>
      <xdr:rowOff>45454</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50</xdr:row>
      <xdr:rowOff>159796</xdr:rowOff>
    </xdr:from>
    <xdr:to>
      <xdr:col>11</xdr:col>
      <xdr:colOff>26901</xdr:colOff>
      <xdr:row>55</xdr:row>
      <xdr:rowOff>102778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45622</xdr:rowOff>
    </xdr:from>
    <xdr:to>
      <xdr:col>23</xdr:col>
      <xdr:colOff>619647</xdr:colOff>
      <xdr:row>146</xdr:row>
      <xdr:rowOff>143486</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102772</xdr:rowOff>
    </xdr:from>
    <xdr:to>
      <xdr:col>24</xdr:col>
      <xdr:colOff>619647</xdr:colOff>
      <xdr:row>146</xdr:row>
      <xdr:rowOff>143486</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54</xdr:row>
      <xdr:rowOff>159928</xdr:rowOff>
    </xdr:from>
    <xdr:to>
      <xdr:col>11</xdr:col>
      <xdr:colOff>103101</xdr:colOff>
      <xdr:row>58</xdr:row>
      <xdr:rowOff>159800</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54</xdr:row>
      <xdr:rowOff>159928</xdr:rowOff>
    </xdr:from>
    <xdr:to>
      <xdr:col>12</xdr:col>
      <xdr:colOff>765150</xdr:colOff>
      <xdr:row>58</xdr:row>
      <xdr:rowOff>159800</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42</xdr:row>
      <xdr:rowOff>85783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55390</xdr:rowOff>
    </xdr:from>
    <xdr:to>
      <xdr:col>13</xdr:col>
      <xdr:colOff>693039</xdr:colOff>
      <xdr:row>69</xdr:row>
      <xdr:rowOff>113928</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12506</xdr:rowOff>
    </xdr:from>
    <xdr:to>
      <xdr:col>13</xdr:col>
      <xdr:colOff>784200</xdr:colOff>
      <xdr:row>82</xdr:row>
      <xdr:rowOff>155545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159928</xdr:rowOff>
    </xdr:from>
    <xdr:to>
      <xdr:col>13</xdr:col>
      <xdr:colOff>784200</xdr:colOff>
      <xdr:row>58</xdr:row>
      <xdr:rowOff>159800</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19060</xdr:rowOff>
    </xdr:from>
    <xdr:to>
      <xdr:col>4</xdr:col>
      <xdr:colOff>440204</xdr:colOff>
      <xdr:row>80</xdr:row>
      <xdr:rowOff>94892</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638698</xdr:colOff>
      <xdr:row>30</xdr:row>
      <xdr:rowOff>64308</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159798</xdr:rowOff>
    </xdr:from>
    <xdr:to>
      <xdr:col>25</xdr:col>
      <xdr:colOff>638698</xdr:colOff>
      <xdr:row>41</xdr:row>
      <xdr:rowOff>46188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160735</xdr:rowOff>
    </xdr:from>
    <xdr:to>
      <xdr:col>25</xdr:col>
      <xdr:colOff>638698</xdr:colOff>
      <xdr:row>149</xdr:row>
      <xdr:rowOff>347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638696</xdr:colOff>
      <xdr:row>30</xdr:row>
      <xdr:rowOff>64308</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638696</xdr:colOff>
      <xdr:row>41</xdr:row>
      <xdr:rowOff>46188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160735</xdr:rowOff>
    </xdr:from>
    <xdr:to>
      <xdr:col>26</xdr:col>
      <xdr:colOff>638696</xdr:colOff>
      <xdr:row>149</xdr:row>
      <xdr:rowOff>347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69</xdr:row>
      <xdr:rowOff>55390</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55390</xdr:rowOff>
    </xdr:from>
    <xdr:to>
      <xdr:col>4</xdr:col>
      <xdr:colOff>295835</xdr:colOff>
      <xdr:row>94</xdr:row>
      <xdr:rowOff>47857</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27982</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55390</xdr:rowOff>
    </xdr:from>
    <xdr:to>
      <xdr:col>4</xdr:col>
      <xdr:colOff>276785</xdr:colOff>
      <xdr:row>93</xdr:row>
      <xdr:rowOff>66082</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107778</xdr:rowOff>
    </xdr:from>
    <xdr:to>
      <xdr:col>4</xdr:col>
      <xdr:colOff>276785</xdr:colOff>
      <xdr:row>96</xdr:row>
      <xdr:rowOff>144051</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104213</xdr:rowOff>
    </xdr:from>
    <xdr:to>
      <xdr:col>4</xdr:col>
      <xdr:colOff>276785</xdr:colOff>
      <xdr:row>105</xdr:row>
      <xdr:rowOff>1357</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88533</xdr:rowOff>
    </xdr:from>
    <xdr:to>
      <xdr:col>4</xdr:col>
      <xdr:colOff>276785</xdr:colOff>
      <xdr:row>103</xdr:row>
      <xdr:rowOff>206771</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560</xdr:rowOff>
    </xdr:from>
    <xdr:to>
      <xdr:col>4</xdr:col>
      <xdr:colOff>276785</xdr:colOff>
      <xdr:row>104</xdr:row>
      <xdr:rowOff>15891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153812</xdr:rowOff>
    </xdr:from>
    <xdr:to>
      <xdr:col>4</xdr:col>
      <xdr:colOff>276785</xdr:colOff>
      <xdr:row>106</xdr:row>
      <xdr:rowOff>28256</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2115</xdr:rowOff>
    </xdr:from>
    <xdr:to>
      <xdr:col>4</xdr:col>
      <xdr:colOff>276785</xdr:colOff>
      <xdr:row>124</xdr:row>
      <xdr:rowOff>172594</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26656</xdr:rowOff>
    </xdr:from>
    <xdr:to>
      <xdr:col>4</xdr:col>
      <xdr:colOff>276785</xdr:colOff>
      <xdr:row>121</xdr:row>
      <xdr:rowOff>159525</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103801</xdr:rowOff>
    </xdr:from>
    <xdr:to>
      <xdr:col>4</xdr:col>
      <xdr:colOff>276785</xdr:colOff>
      <xdr:row>121</xdr:row>
      <xdr:rowOff>87703</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30062</xdr:rowOff>
    </xdr:from>
    <xdr:to>
      <xdr:col>4</xdr:col>
      <xdr:colOff>276785</xdr:colOff>
      <xdr:row>121</xdr:row>
      <xdr:rowOff>87703</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138</xdr:row>
      <xdr:rowOff>45456</xdr:rowOff>
    </xdr:from>
    <xdr:to>
      <xdr:col>20</xdr:col>
      <xdr:colOff>410097</xdr:colOff>
      <xdr:row>142</xdr:row>
      <xdr:rowOff>45622</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142</xdr:row>
      <xdr:rowOff>45622</xdr:rowOff>
    </xdr:from>
    <xdr:to>
      <xdr:col>21</xdr:col>
      <xdr:colOff>581546</xdr:colOff>
      <xdr:row>146</xdr:row>
      <xdr:rowOff>45454</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50</xdr:row>
      <xdr:rowOff>159796</xdr:rowOff>
    </xdr:from>
    <xdr:to>
      <xdr:col>11</xdr:col>
      <xdr:colOff>26901</xdr:colOff>
      <xdr:row>55</xdr:row>
      <xdr:rowOff>102778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45622</xdr:rowOff>
    </xdr:from>
    <xdr:to>
      <xdr:col>23</xdr:col>
      <xdr:colOff>619647</xdr:colOff>
      <xdr:row>146</xdr:row>
      <xdr:rowOff>143486</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102772</xdr:rowOff>
    </xdr:from>
    <xdr:to>
      <xdr:col>24</xdr:col>
      <xdr:colOff>619647</xdr:colOff>
      <xdr:row>146</xdr:row>
      <xdr:rowOff>143486</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54</xdr:row>
      <xdr:rowOff>159928</xdr:rowOff>
    </xdr:from>
    <xdr:to>
      <xdr:col>11</xdr:col>
      <xdr:colOff>103101</xdr:colOff>
      <xdr:row>58</xdr:row>
      <xdr:rowOff>159800</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54</xdr:row>
      <xdr:rowOff>159928</xdr:rowOff>
    </xdr:from>
    <xdr:to>
      <xdr:col>12</xdr:col>
      <xdr:colOff>765150</xdr:colOff>
      <xdr:row>58</xdr:row>
      <xdr:rowOff>159800</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42</xdr:row>
      <xdr:rowOff>85783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55390</xdr:rowOff>
    </xdr:from>
    <xdr:to>
      <xdr:col>13</xdr:col>
      <xdr:colOff>693039</xdr:colOff>
      <xdr:row>69</xdr:row>
      <xdr:rowOff>113928</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12506</xdr:rowOff>
    </xdr:from>
    <xdr:to>
      <xdr:col>13</xdr:col>
      <xdr:colOff>784200</xdr:colOff>
      <xdr:row>82</xdr:row>
      <xdr:rowOff>155545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159928</xdr:rowOff>
    </xdr:from>
    <xdr:to>
      <xdr:col>13</xdr:col>
      <xdr:colOff>784200</xdr:colOff>
      <xdr:row>58</xdr:row>
      <xdr:rowOff>159800</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19060</xdr:rowOff>
    </xdr:from>
    <xdr:to>
      <xdr:col>4</xdr:col>
      <xdr:colOff>440204</xdr:colOff>
      <xdr:row>80</xdr:row>
      <xdr:rowOff>94892</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638698</xdr:colOff>
      <xdr:row>30</xdr:row>
      <xdr:rowOff>64308</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159798</xdr:rowOff>
    </xdr:from>
    <xdr:to>
      <xdr:col>25</xdr:col>
      <xdr:colOff>638698</xdr:colOff>
      <xdr:row>41</xdr:row>
      <xdr:rowOff>46188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160735</xdr:rowOff>
    </xdr:from>
    <xdr:to>
      <xdr:col>25</xdr:col>
      <xdr:colOff>638698</xdr:colOff>
      <xdr:row>149</xdr:row>
      <xdr:rowOff>347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638696</xdr:colOff>
      <xdr:row>30</xdr:row>
      <xdr:rowOff>64308</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638696</xdr:colOff>
      <xdr:row>41</xdr:row>
      <xdr:rowOff>46188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160735</xdr:rowOff>
    </xdr:from>
    <xdr:to>
      <xdr:col>26</xdr:col>
      <xdr:colOff>638696</xdr:colOff>
      <xdr:row>149</xdr:row>
      <xdr:rowOff>347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17</xdr:col>
      <xdr:colOff>381889</xdr:colOff>
      <xdr:row>22</xdr:row>
      <xdr:rowOff>65928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721</xdr:rowOff>
    </xdr:from>
    <xdr:to>
      <xdr:col>4</xdr:col>
      <xdr:colOff>276785</xdr:colOff>
      <xdr:row>73</xdr:row>
      <xdr:rowOff>721</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721</xdr:rowOff>
    </xdr:from>
    <xdr:to>
      <xdr:col>4</xdr:col>
      <xdr:colOff>295835</xdr:colOff>
      <xdr:row>99</xdr:row>
      <xdr:rowOff>27135</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721</xdr:rowOff>
    </xdr:from>
    <xdr:to>
      <xdr:col>4</xdr:col>
      <xdr:colOff>276785</xdr:colOff>
      <xdr:row>98</xdr:row>
      <xdr:rowOff>517</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721</xdr:rowOff>
    </xdr:from>
    <xdr:to>
      <xdr:col>4</xdr:col>
      <xdr:colOff>276785</xdr:colOff>
      <xdr:row>98</xdr:row>
      <xdr:rowOff>30809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105692</xdr:rowOff>
    </xdr:from>
    <xdr:to>
      <xdr:col>4</xdr:col>
      <xdr:colOff>276785</xdr:colOff>
      <xdr:row>99</xdr:row>
      <xdr:rowOff>145222</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86183</xdr:rowOff>
    </xdr:from>
    <xdr:to>
      <xdr:col>4</xdr:col>
      <xdr:colOff>276785</xdr:colOff>
      <xdr:row>107</xdr:row>
      <xdr:rowOff>116106</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9470</xdr:rowOff>
    </xdr:from>
    <xdr:to>
      <xdr:col>4</xdr:col>
      <xdr:colOff>276785</xdr:colOff>
      <xdr:row>106</xdr:row>
      <xdr:rowOff>28089</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174299</xdr:rowOff>
    </xdr:from>
    <xdr:to>
      <xdr:col>4</xdr:col>
      <xdr:colOff>276785</xdr:colOff>
      <xdr:row>106</xdr:row>
      <xdr:rowOff>114595</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7394</xdr:rowOff>
    </xdr:from>
    <xdr:to>
      <xdr:col>4</xdr:col>
      <xdr:colOff>276785</xdr:colOff>
      <xdr:row>109</xdr:row>
      <xdr:rowOff>160370</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45878</xdr:rowOff>
    </xdr:from>
    <xdr:to>
      <xdr:col>4</xdr:col>
      <xdr:colOff>276785</xdr:colOff>
      <xdr:row>128</xdr:row>
      <xdr:rowOff>46223</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28388</xdr:rowOff>
    </xdr:from>
    <xdr:to>
      <xdr:col>4</xdr:col>
      <xdr:colOff>276785</xdr:colOff>
      <xdr:row>124</xdr:row>
      <xdr:rowOff>168528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45962</xdr:rowOff>
    </xdr:from>
    <xdr:to>
      <xdr:col>4</xdr:col>
      <xdr:colOff>276785</xdr:colOff>
      <xdr:row>124</xdr:row>
      <xdr:rowOff>26835</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7862</xdr:rowOff>
    </xdr:from>
    <xdr:to>
      <xdr:col>4</xdr:col>
      <xdr:colOff>276785</xdr:colOff>
      <xdr:row>124</xdr:row>
      <xdr:rowOff>26835</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141</xdr:row>
      <xdr:rowOff>26406</xdr:rowOff>
    </xdr:from>
    <xdr:to>
      <xdr:col>20</xdr:col>
      <xdr:colOff>410097</xdr:colOff>
      <xdr:row>145</xdr:row>
      <xdr:rowOff>65212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21</xdr:col>
      <xdr:colOff>581546</xdr:colOff>
      <xdr:row>30</xdr:row>
      <xdr:rowOff>808</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21</xdr:col>
      <xdr:colOff>581546</xdr:colOff>
      <xdr:row>42</xdr:row>
      <xdr:rowOff>159928</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145</xdr:row>
      <xdr:rowOff>65212</xdr:rowOff>
    </xdr:from>
    <xdr:to>
      <xdr:col>21</xdr:col>
      <xdr:colOff>581546</xdr:colOff>
      <xdr:row>149</xdr:row>
      <xdr:rowOff>31695</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53</xdr:row>
      <xdr:rowOff>159798</xdr:rowOff>
    </xdr:from>
    <xdr:to>
      <xdr:col>11</xdr:col>
      <xdr:colOff>26901</xdr:colOff>
      <xdr:row>58</xdr:row>
      <xdr:rowOff>102778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619647</xdr:colOff>
      <xdr:row>30</xdr:row>
      <xdr:rowOff>83358</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23</xdr:col>
      <xdr:colOff>619647</xdr:colOff>
      <xdr:row>43</xdr:row>
      <xdr:rowOff>49362</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65212</xdr:rowOff>
    </xdr:from>
    <xdr:to>
      <xdr:col>23</xdr:col>
      <xdr:colOff>619647</xdr:colOff>
      <xdr:row>149</xdr:row>
      <xdr:rowOff>126552</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619647</xdr:colOff>
      <xdr:row>30</xdr:row>
      <xdr:rowOff>45258</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24</xdr:col>
      <xdr:colOff>619647</xdr:colOff>
      <xdr:row>42</xdr:row>
      <xdr:rowOff>159797</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83723</xdr:rowOff>
    </xdr:from>
    <xdr:to>
      <xdr:col>24</xdr:col>
      <xdr:colOff>619647</xdr:colOff>
      <xdr:row>149</xdr:row>
      <xdr:rowOff>126552</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57</xdr:row>
      <xdr:rowOff>159928</xdr:rowOff>
    </xdr:from>
    <xdr:to>
      <xdr:col>11</xdr:col>
      <xdr:colOff>103101</xdr:colOff>
      <xdr:row>59</xdr:row>
      <xdr:rowOff>209434</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57</xdr:row>
      <xdr:rowOff>159928</xdr:rowOff>
    </xdr:from>
    <xdr:to>
      <xdr:col>12</xdr:col>
      <xdr:colOff>765150</xdr:colOff>
      <xdr:row>59</xdr:row>
      <xdr:rowOff>209434</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559689</xdr:colOff>
      <xdr:row>42</xdr:row>
      <xdr:rowOff>85783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73</xdr:row>
      <xdr:rowOff>721</xdr:rowOff>
    </xdr:from>
    <xdr:to>
      <xdr:col>13</xdr:col>
      <xdr:colOff>693039</xdr:colOff>
      <xdr:row>73</xdr:row>
      <xdr:rowOff>21518</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77</xdr:row>
      <xdr:rowOff>28506</xdr:rowOff>
    </xdr:from>
    <xdr:to>
      <xdr:col>13</xdr:col>
      <xdr:colOff>784200</xdr:colOff>
      <xdr:row>87</xdr:row>
      <xdr:rowOff>7079</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159928</xdr:rowOff>
    </xdr:from>
    <xdr:to>
      <xdr:col>13</xdr:col>
      <xdr:colOff>784200</xdr:colOff>
      <xdr:row>59</xdr:row>
      <xdr:rowOff>209434</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48060</xdr:rowOff>
    </xdr:from>
    <xdr:to>
      <xdr:col>4</xdr:col>
      <xdr:colOff>440204</xdr:colOff>
      <xdr:row>87</xdr:row>
      <xdr:rowOff>114156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638698</xdr:colOff>
      <xdr:row>30</xdr:row>
      <xdr:rowOff>64308</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159798</xdr:rowOff>
    </xdr:from>
    <xdr:to>
      <xdr:col>25</xdr:col>
      <xdr:colOff>638698</xdr:colOff>
      <xdr:row>41</xdr:row>
      <xdr:rowOff>46188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172980</xdr:rowOff>
    </xdr:from>
    <xdr:to>
      <xdr:col>25</xdr:col>
      <xdr:colOff>638698</xdr:colOff>
      <xdr:row>152</xdr:row>
      <xdr:rowOff>346</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638696</xdr:colOff>
      <xdr:row>30</xdr:row>
      <xdr:rowOff>64308</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638696</xdr:colOff>
      <xdr:row>41</xdr:row>
      <xdr:rowOff>46188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172980</xdr:rowOff>
    </xdr:from>
    <xdr:to>
      <xdr:col>26</xdr:col>
      <xdr:colOff>638696</xdr:colOff>
      <xdr:row>152</xdr:row>
      <xdr:rowOff>346</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25</xdr:row>
      <xdr:rowOff>170119</xdr:rowOff>
    </xdr:from>
    <xdr:to>
      <xdr:col>27</xdr:col>
      <xdr:colOff>751682</xdr:colOff>
      <xdr:row>30</xdr:row>
      <xdr:rowOff>7158</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36</xdr:row>
      <xdr:rowOff>159798</xdr:rowOff>
    </xdr:from>
    <xdr:to>
      <xdr:col>27</xdr:col>
      <xdr:colOff>751682</xdr:colOff>
      <xdr:row>41</xdr:row>
      <xdr:rowOff>8088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619648</xdr:colOff>
      <xdr:row>18</xdr:row>
      <xdr:rowOff>497</xdr:rowOff>
    </xdr:from>
    <xdr:to>
      <xdr:col>20</xdr:col>
      <xdr:colOff>410097</xdr:colOff>
      <xdr:row>40</xdr:row>
      <xdr:rowOff>50483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1963</xdr:rowOff>
    </xdr:from>
    <xdr:to>
      <xdr:col>8</xdr:col>
      <xdr:colOff>254560</xdr:colOff>
      <xdr:row>92</xdr:row>
      <xdr:rowOff>11435</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1963</xdr:rowOff>
    </xdr:from>
    <xdr:to>
      <xdr:col>8</xdr:col>
      <xdr:colOff>273610</xdr:colOff>
      <xdr:row>92</xdr:row>
      <xdr:rowOff>11435</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1963</xdr:rowOff>
    </xdr:from>
    <xdr:to>
      <xdr:col>8</xdr:col>
      <xdr:colOff>254560</xdr:colOff>
      <xdr:row>92</xdr:row>
      <xdr:rowOff>173907</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1963</xdr:rowOff>
    </xdr:from>
    <xdr:to>
      <xdr:col>8</xdr:col>
      <xdr:colOff>254560</xdr:colOff>
      <xdr:row>92</xdr:row>
      <xdr:rowOff>10543</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102517</xdr:rowOff>
    </xdr:from>
    <xdr:to>
      <xdr:col>8</xdr:col>
      <xdr:colOff>254560</xdr:colOff>
      <xdr:row>97</xdr:row>
      <xdr:rowOff>173291</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133808</xdr:rowOff>
    </xdr:from>
    <xdr:to>
      <xdr:col>8</xdr:col>
      <xdr:colOff>254560</xdr:colOff>
      <xdr:row>113</xdr:row>
      <xdr:rowOff>496</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27982</xdr:rowOff>
    </xdr:from>
    <xdr:to>
      <xdr:col>8</xdr:col>
      <xdr:colOff>254560</xdr:colOff>
      <xdr:row>114</xdr:row>
      <xdr:rowOff>173898</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174154</xdr:rowOff>
    </xdr:from>
    <xdr:to>
      <xdr:col>8</xdr:col>
      <xdr:colOff>254560</xdr:colOff>
      <xdr:row>114</xdr:row>
      <xdr:rowOff>103801</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161036</xdr:rowOff>
    </xdr:from>
    <xdr:to>
      <xdr:col>8</xdr:col>
      <xdr:colOff>254560</xdr:colOff>
      <xdr:row>114</xdr:row>
      <xdr:rowOff>159859</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45878</xdr:rowOff>
    </xdr:from>
    <xdr:to>
      <xdr:col>8</xdr:col>
      <xdr:colOff>254560</xdr:colOff>
      <xdr:row>135</xdr:row>
      <xdr:rowOff>45455</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28388</xdr:rowOff>
    </xdr:from>
    <xdr:to>
      <xdr:col>8</xdr:col>
      <xdr:colOff>254560</xdr:colOff>
      <xdr:row>136</xdr:row>
      <xdr:rowOff>160734</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45962</xdr:rowOff>
    </xdr:from>
    <xdr:to>
      <xdr:col>8</xdr:col>
      <xdr:colOff>254560</xdr:colOff>
      <xdr:row>137</xdr:row>
      <xdr:rowOff>45622</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11794</xdr:rowOff>
    </xdr:from>
    <xdr:to>
      <xdr:col>8</xdr:col>
      <xdr:colOff>254560</xdr:colOff>
      <xdr:row>137</xdr:row>
      <xdr:rowOff>45622</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676796</xdr:colOff>
      <xdr:row>141</xdr:row>
      <xdr:rowOff>45456</xdr:rowOff>
    </xdr:from>
    <xdr:to>
      <xdr:col>23</xdr:col>
      <xdr:colOff>410097</xdr:colOff>
      <xdr:row>161</xdr:row>
      <xdr:rowOff>45622</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25</xdr:row>
      <xdr:rowOff>170119</xdr:rowOff>
    </xdr:from>
    <xdr:to>
      <xdr:col>24</xdr:col>
      <xdr:colOff>581547</xdr:colOff>
      <xdr:row>47</xdr:row>
      <xdr:rowOff>159928</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36</xdr:row>
      <xdr:rowOff>159798</xdr:rowOff>
    </xdr:from>
    <xdr:to>
      <xdr:col>24</xdr:col>
      <xdr:colOff>581547</xdr:colOff>
      <xdr:row>56</xdr:row>
      <xdr:rowOff>159926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657746</xdr:colOff>
      <xdr:row>145</xdr:row>
      <xdr:rowOff>45623</xdr:rowOff>
    </xdr:from>
    <xdr:to>
      <xdr:col>24</xdr:col>
      <xdr:colOff>581547</xdr:colOff>
      <xdr:row>165</xdr:row>
      <xdr:rowOff>45454</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469146</xdr:colOff>
      <xdr:row>53</xdr:row>
      <xdr:rowOff>159798</xdr:rowOff>
    </xdr:from>
    <xdr:to>
      <xdr:col>15</xdr:col>
      <xdr:colOff>714898</xdr:colOff>
      <xdr:row>69</xdr:row>
      <xdr:rowOff>73198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27</xdr:col>
      <xdr:colOff>606946</xdr:colOff>
      <xdr:row>48</xdr:row>
      <xdr:rowOff>68412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159798</xdr:rowOff>
    </xdr:from>
    <xdr:to>
      <xdr:col>27</xdr:col>
      <xdr:colOff>606946</xdr:colOff>
      <xdr:row>57</xdr:row>
      <xdr:rowOff>49362</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45623</xdr:rowOff>
    </xdr:from>
    <xdr:to>
      <xdr:col>27</xdr:col>
      <xdr:colOff>606946</xdr:colOff>
      <xdr:row>165</xdr:row>
      <xdr:rowOff>143485</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28</xdr:col>
      <xdr:colOff>600596</xdr:colOff>
      <xdr:row>48</xdr:row>
      <xdr:rowOff>30312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159798</xdr:rowOff>
    </xdr:from>
    <xdr:to>
      <xdr:col>28</xdr:col>
      <xdr:colOff>600596</xdr:colOff>
      <xdr:row>56</xdr:row>
      <xdr:rowOff>159797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102773</xdr:rowOff>
    </xdr:from>
    <xdr:to>
      <xdr:col>28</xdr:col>
      <xdr:colOff>600596</xdr:colOff>
      <xdr:row>165</xdr:row>
      <xdr:rowOff>143485</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507246</xdr:colOff>
      <xdr:row>57</xdr:row>
      <xdr:rowOff>159928</xdr:rowOff>
    </xdr:from>
    <xdr:to>
      <xdr:col>15</xdr:col>
      <xdr:colOff>714898</xdr:colOff>
      <xdr:row>75</xdr:row>
      <xdr:rowOff>106669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410091</xdr:colOff>
      <xdr:row>57</xdr:row>
      <xdr:rowOff>159928</xdr:rowOff>
    </xdr:from>
    <xdr:to>
      <xdr:col>16</xdr:col>
      <xdr:colOff>638697</xdr:colOff>
      <xdr:row>75</xdr:row>
      <xdr:rowOff>106669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33</xdr:col>
      <xdr:colOff>244997</xdr:colOff>
      <xdr:row>53</xdr:row>
      <xdr:rowOff>102778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73</xdr:row>
      <xdr:rowOff>1963</xdr:rowOff>
    </xdr:from>
    <xdr:to>
      <xdr:col>17</xdr:col>
      <xdr:colOff>562806</xdr:colOff>
      <xdr:row>92</xdr:row>
      <xdr:rowOff>48643</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76</xdr:row>
      <xdr:rowOff>172158</xdr:rowOff>
    </xdr:from>
    <xdr:to>
      <xdr:col>17</xdr:col>
      <xdr:colOff>600906</xdr:colOff>
      <xdr:row>98</xdr:row>
      <xdr:rowOff>9539</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159928</xdr:rowOff>
    </xdr:from>
    <xdr:to>
      <xdr:col>17</xdr:col>
      <xdr:colOff>600906</xdr:colOff>
      <xdr:row>75</xdr:row>
      <xdr:rowOff>106669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12505</xdr:rowOff>
    </xdr:from>
    <xdr:to>
      <xdr:col>7</xdr:col>
      <xdr:colOff>421154</xdr:colOff>
      <xdr:row>92</xdr:row>
      <xdr:rowOff>67693</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29</xdr:col>
      <xdr:colOff>578739</xdr:colOff>
      <xdr:row>48</xdr:row>
      <xdr:rowOff>49362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159798</xdr:rowOff>
    </xdr:from>
    <xdr:to>
      <xdr:col>29</xdr:col>
      <xdr:colOff>578739</xdr:colOff>
      <xdr:row>57</xdr:row>
      <xdr:rowOff>49362</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160734</xdr:rowOff>
    </xdr:from>
    <xdr:to>
      <xdr:col>29</xdr:col>
      <xdr:colOff>578739</xdr:colOff>
      <xdr:row>168</xdr:row>
      <xdr:rowOff>6512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30</xdr:col>
      <xdr:colOff>981597</xdr:colOff>
      <xdr:row>48</xdr:row>
      <xdr:rowOff>49362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30</xdr:col>
      <xdr:colOff>981597</xdr:colOff>
      <xdr:row>57</xdr:row>
      <xdr:rowOff>49362</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160734</xdr:rowOff>
    </xdr:from>
    <xdr:to>
      <xdr:col>30</xdr:col>
      <xdr:colOff>981597</xdr:colOff>
      <xdr:row>168</xdr:row>
      <xdr:rowOff>6512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25</xdr:row>
      <xdr:rowOff>170119</xdr:rowOff>
    </xdr:from>
    <xdr:to>
      <xdr:col>30</xdr:col>
      <xdr:colOff>1088233</xdr:colOff>
      <xdr:row>47</xdr:row>
      <xdr:rowOff>159797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36</xdr:row>
      <xdr:rowOff>159798</xdr:rowOff>
    </xdr:from>
    <xdr:to>
      <xdr:col>30</xdr:col>
      <xdr:colOff>1088233</xdr:colOff>
      <xdr:row>57</xdr:row>
      <xdr:rowOff>11262</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59534</xdr:colOff>
      <xdr:row>20</xdr:row>
      <xdr:rowOff>624</xdr:rowOff>
    </xdr:from>
    <xdr:to>
      <xdr:col>39</xdr:col>
      <xdr:colOff>373858</xdr:colOff>
      <xdr:row>41</xdr:row>
      <xdr:rowOff>159798</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295836</xdr:colOff>
      <xdr:row>18</xdr:row>
      <xdr:rowOff>497</xdr:rowOff>
    </xdr:from>
    <xdr:to>
      <xdr:col>20</xdr:col>
      <xdr:colOff>78254</xdr:colOff>
      <xdr:row>40</xdr:row>
      <xdr:rowOff>50483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171621</xdr:rowOff>
    </xdr:from>
    <xdr:to>
      <xdr:col>8</xdr:col>
      <xdr:colOff>273610</xdr:colOff>
      <xdr:row>87</xdr:row>
      <xdr:rowOff>311662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35836</xdr:rowOff>
    </xdr:from>
    <xdr:to>
      <xdr:col>8</xdr:col>
      <xdr:colOff>254560</xdr:colOff>
      <xdr:row>93</xdr:row>
      <xdr:rowOff>29698</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76295</xdr:rowOff>
    </xdr:from>
    <xdr:to>
      <xdr:col>8</xdr:col>
      <xdr:colOff>254560</xdr:colOff>
      <xdr:row>109</xdr:row>
      <xdr:rowOff>44730</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20823</xdr:rowOff>
    </xdr:from>
    <xdr:to>
      <xdr:col>8</xdr:col>
      <xdr:colOff>254560</xdr:colOff>
      <xdr:row>109</xdr:row>
      <xdr:rowOff>160391</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126231</xdr:rowOff>
    </xdr:from>
    <xdr:to>
      <xdr:col>8</xdr:col>
      <xdr:colOff>254560</xdr:colOff>
      <xdr:row>109</xdr:row>
      <xdr:rowOff>160224</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115722</xdr:rowOff>
    </xdr:from>
    <xdr:to>
      <xdr:col>8</xdr:col>
      <xdr:colOff>254560</xdr:colOff>
      <xdr:row>110</xdr:row>
      <xdr:rowOff>30567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143011</xdr:rowOff>
    </xdr:from>
    <xdr:to>
      <xdr:col>8</xdr:col>
      <xdr:colOff>254560</xdr:colOff>
      <xdr:row>131</xdr:row>
      <xdr:rowOff>84780</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160555</xdr:rowOff>
    </xdr:from>
    <xdr:to>
      <xdr:col>8</xdr:col>
      <xdr:colOff>254560</xdr:colOff>
      <xdr:row>132</xdr:row>
      <xdr:rowOff>46681</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49246</xdr:rowOff>
    </xdr:from>
    <xdr:to>
      <xdr:col>8</xdr:col>
      <xdr:colOff>254560</xdr:colOff>
      <xdr:row>133</xdr:row>
      <xdr:rowOff>46680</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22013</xdr:rowOff>
    </xdr:from>
    <xdr:to>
      <xdr:col>8</xdr:col>
      <xdr:colOff>254560</xdr:colOff>
      <xdr:row>133</xdr:row>
      <xdr:rowOff>46680</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352985</xdr:colOff>
      <xdr:row>136</xdr:row>
      <xdr:rowOff>173913</xdr:rowOff>
    </xdr:from>
    <xdr:to>
      <xdr:col>23</xdr:col>
      <xdr:colOff>78255</xdr:colOff>
      <xdr:row>156</xdr:row>
      <xdr:rowOff>145338</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26</xdr:row>
      <xdr:rowOff>169747</xdr:rowOff>
    </xdr:from>
    <xdr:to>
      <xdr:col>24</xdr:col>
      <xdr:colOff>254561</xdr:colOff>
      <xdr:row>48</xdr:row>
      <xdr:rowOff>159927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37</xdr:row>
      <xdr:rowOff>159797</xdr:rowOff>
    </xdr:from>
    <xdr:to>
      <xdr:col>24</xdr:col>
      <xdr:colOff>254561</xdr:colOff>
      <xdr:row>57</xdr:row>
      <xdr:rowOff>159928</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141</xdr:row>
      <xdr:rowOff>27464</xdr:rowOff>
    </xdr:from>
    <xdr:to>
      <xdr:col>24</xdr:col>
      <xdr:colOff>254561</xdr:colOff>
      <xdr:row>160</xdr:row>
      <xdr:rowOff>173914</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66675</xdr:colOff>
      <xdr:row>48</xdr:row>
      <xdr:rowOff>159799</xdr:rowOff>
    </xdr:from>
    <xdr:to>
      <xdr:col>14</xdr:col>
      <xdr:colOff>610348</xdr:colOff>
      <xdr:row>66</xdr:row>
      <xdr:rowOff>29538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68414</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159797</xdr:rowOff>
    </xdr:from>
    <xdr:to>
      <xdr:col>27</xdr:col>
      <xdr:colOff>283135</xdr:colOff>
      <xdr:row>58</xdr:row>
      <xdr:rowOff>49363</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27464</xdr:rowOff>
    </xdr:from>
    <xdr:to>
      <xdr:col>27</xdr:col>
      <xdr:colOff>283135</xdr:colOff>
      <xdr:row>161</xdr:row>
      <xdr:rowOff>84781</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276785</xdr:colOff>
      <xdr:row>49</xdr:row>
      <xdr:rowOff>30314</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159797</xdr:rowOff>
    </xdr:from>
    <xdr:to>
      <xdr:col>28</xdr:col>
      <xdr:colOff>276785</xdr:colOff>
      <xdr:row>57</xdr:row>
      <xdr:rowOff>159797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46681</xdr:rowOff>
    </xdr:from>
    <xdr:to>
      <xdr:col>28</xdr:col>
      <xdr:colOff>276785</xdr:colOff>
      <xdr:row>161</xdr:row>
      <xdr:rowOff>84781</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104775</xdr:colOff>
      <xdr:row>52</xdr:row>
      <xdr:rowOff>159928</xdr:rowOff>
    </xdr:from>
    <xdr:to>
      <xdr:col>14</xdr:col>
      <xdr:colOff>610348</xdr:colOff>
      <xdr:row>70</xdr:row>
      <xdr:rowOff>198061</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159928</xdr:rowOff>
    </xdr:from>
    <xdr:to>
      <xdr:col>16</xdr:col>
      <xdr:colOff>314886</xdr:colOff>
      <xdr:row>70</xdr:row>
      <xdr:rowOff>198061</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484654</xdr:colOff>
      <xdr:row>34</xdr:row>
      <xdr:rowOff>83728</xdr:rowOff>
    </xdr:from>
    <xdr:to>
      <xdr:col>32</xdr:col>
      <xdr:colOff>800661</xdr:colOff>
      <xdr:row>54</xdr:row>
      <xdr:rowOff>83727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945964</xdr:colOff>
      <xdr:row>68</xdr:row>
      <xdr:rowOff>171621</xdr:rowOff>
    </xdr:from>
    <xdr:to>
      <xdr:col>17</xdr:col>
      <xdr:colOff>216461</xdr:colOff>
      <xdr:row>87</xdr:row>
      <xdr:rowOff>311662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72</xdr:row>
      <xdr:rowOff>145177</xdr:rowOff>
    </xdr:from>
    <xdr:to>
      <xdr:col>17</xdr:col>
      <xdr:colOff>254561</xdr:colOff>
      <xdr:row>93</xdr:row>
      <xdr:rowOff>140944</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52</xdr:row>
      <xdr:rowOff>159928</xdr:rowOff>
    </xdr:from>
    <xdr:to>
      <xdr:col>17</xdr:col>
      <xdr:colOff>254561</xdr:colOff>
      <xdr:row>70</xdr:row>
      <xdr:rowOff>198061</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49364</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159797</xdr:rowOff>
    </xdr:from>
    <xdr:to>
      <xdr:col>29</xdr:col>
      <xdr:colOff>283135</xdr:colOff>
      <xdr:row>58</xdr:row>
      <xdr:rowOff>49363</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122320</xdr:rowOff>
    </xdr:from>
    <xdr:to>
      <xdr:col>29</xdr:col>
      <xdr:colOff>283135</xdr:colOff>
      <xdr:row>163</xdr:row>
      <xdr:rowOff>160420</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654610</xdr:colOff>
      <xdr:row>49</xdr:row>
      <xdr:rowOff>49364</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654610</xdr:colOff>
      <xdr:row>58</xdr:row>
      <xdr:rowOff>49363</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122320</xdr:rowOff>
    </xdr:from>
    <xdr:to>
      <xdr:col>30</xdr:col>
      <xdr:colOff>654610</xdr:colOff>
      <xdr:row>163</xdr:row>
      <xdr:rowOff>160420</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159799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159797</xdr:rowOff>
    </xdr:from>
    <xdr:to>
      <xdr:col>30</xdr:col>
      <xdr:colOff>798979</xdr:colOff>
      <xdr:row>58</xdr:row>
      <xdr:rowOff>11263</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808505</xdr:colOff>
      <xdr:row>21</xdr:row>
      <xdr:rowOff>626</xdr:rowOff>
    </xdr:from>
    <xdr:to>
      <xdr:col>39</xdr:col>
      <xdr:colOff>84604</xdr:colOff>
      <xdr:row>42</xdr:row>
      <xdr:rowOff>159797</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103830</xdr:rowOff>
    </xdr:from>
    <xdr:to>
      <xdr:col>27</xdr:col>
      <xdr:colOff>305360</xdr:colOff>
      <xdr:row>147</xdr:row>
      <xdr:rowOff>145338</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295836</xdr:colOff>
      <xdr:row>18</xdr:row>
      <xdr:rowOff>497</xdr:rowOff>
    </xdr:from>
    <xdr:to>
      <xdr:col>20</xdr:col>
      <xdr:colOff>78254</xdr:colOff>
      <xdr:row>40</xdr:row>
      <xdr:rowOff>50483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171621</xdr:rowOff>
    </xdr:from>
    <xdr:to>
      <xdr:col>8</xdr:col>
      <xdr:colOff>273610</xdr:colOff>
      <xdr:row>87</xdr:row>
      <xdr:rowOff>311662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171621</xdr:rowOff>
    </xdr:from>
    <xdr:to>
      <xdr:col>8</xdr:col>
      <xdr:colOff>254560</xdr:colOff>
      <xdr:row>87</xdr:row>
      <xdr:rowOff>311662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35836</xdr:rowOff>
    </xdr:from>
    <xdr:to>
      <xdr:col>8</xdr:col>
      <xdr:colOff>254560</xdr:colOff>
      <xdr:row>93</xdr:row>
      <xdr:rowOff>29698</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76295</xdr:rowOff>
    </xdr:from>
    <xdr:to>
      <xdr:col>8</xdr:col>
      <xdr:colOff>254560</xdr:colOff>
      <xdr:row>109</xdr:row>
      <xdr:rowOff>44730</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20823</xdr:rowOff>
    </xdr:from>
    <xdr:to>
      <xdr:col>8</xdr:col>
      <xdr:colOff>254560</xdr:colOff>
      <xdr:row>109</xdr:row>
      <xdr:rowOff>160391</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126231</xdr:rowOff>
    </xdr:from>
    <xdr:to>
      <xdr:col>8</xdr:col>
      <xdr:colOff>254560</xdr:colOff>
      <xdr:row>109</xdr:row>
      <xdr:rowOff>160224</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115722</xdr:rowOff>
    </xdr:from>
    <xdr:to>
      <xdr:col>8</xdr:col>
      <xdr:colOff>254560</xdr:colOff>
      <xdr:row>110</xdr:row>
      <xdr:rowOff>30567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143011</xdr:rowOff>
    </xdr:from>
    <xdr:to>
      <xdr:col>8</xdr:col>
      <xdr:colOff>254560</xdr:colOff>
      <xdr:row>131</xdr:row>
      <xdr:rowOff>84780</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160555</xdr:rowOff>
    </xdr:from>
    <xdr:to>
      <xdr:col>8</xdr:col>
      <xdr:colOff>254560</xdr:colOff>
      <xdr:row>132</xdr:row>
      <xdr:rowOff>46681</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49246</xdr:rowOff>
    </xdr:from>
    <xdr:to>
      <xdr:col>8</xdr:col>
      <xdr:colOff>254560</xdr:colOff>
      <xdr:row>133</xdr:row>
      <xdr:rowOff>46680</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22013</xdr:rowOff>
    </xdr:from>
    <xdr:to>
      <xdr:col>8</xdr:col>
      <xdr:colOff>254560</xdr:colOff>
      <xdr:row>133</xdr:row>
      <xdr:rowOff>46680</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352985</xdr:colOff>
      <xdr:row>136</xdr:row>
      <xdr:rowOff>173913</xdr:rowOff>
    </xdr:from>
    <xdr:to>
      <xdr:col>23</xdr:col>
      <xdr:colOff>78255</xdr:colOff>
      <xdr:row>156</xdr:row>
      <xdr:rowOff>145338</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26</xdr:row>
      <xdr:rowOff>169747</xdr:rowOff>
    </xdr:from>
    <xdr:to>
      <xdr:col>24</xdr:col>
      <xdr:colOff>254561</xdr:colOff>
      <xdr:row>48</xdr:row>
      <xdr:rowOff>159927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37</xdr:row>
      <xdr:rowOff>159797</xdr:rowOff>
    </xdr:from>
    <xdr:to>
      <xdr:col>24</xdr:col>
      <xdr:colOff>254561</xdr:colOff>
      <xdr:row>57</xdr:row>
      <xdr:rowOff>159928</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141</xdr:row>
      <xdr:rowOff>27464</xdr:rowOff>
    </xdr:from>
    <xdr:to>
      <xdr:col>24</xdr:col>
      <xdr:colOff>254561</xdr:colOff>
      <xdr:row>160</xdr:row>
      <xdr:rowOff>173914</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66675</xdr:colOff>
      <xdr:row>48</xdr:row>
      <xdr:rowOff>159799</xdr:rowOff>
    </xdr:from>
    <xdr:to>
      <xdr:col>14</xdr:col>
      <xdr:colOff>610348</xdr:colOff>
      <xdr:row>66</xdr:row>
      <xdr:rowOff>29538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68414</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159797</xdr:rowOff>
    </xdr:from>
    <xdr:to>
      <xdr:col>27</xdr:col>
      <xdr:colOff>283135</xdr:colOff>
      <xdr:row>58</xdr:row>
      <xdr:rowOff>49363</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27464</xdr:rowOff>
    </xdr:from>
    <xdr:to>
      <xdr:col>27</xdr:col>
      <xdr:colOff>283135</xdr:colOff>
      <xdr:row>161</xdr:row>
      <xdr:rowOff>84781</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276785</xdr:colOff>
      <xdr:row>49</xdr:row>
      <xdr:rowOff>30314</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159797</xdr:rowOff>
    </xdr:from>
    <xdr:to>
      <xdr:col>28</xdr:col>
      <xdr:colOff>276785</xdr:colOff>
      <xdr:row>57</xdr:row>
      <xdr:rowOff>159797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46681</xdr:rowOff>
    </xdr:from>
    <xdr:to>
      <xdr:col>28</xdr:col>
      <xdr:colOff>276785</xdr:colOff>
      <xdr:row>161</xdr:row>
      <xdr:rowOff>84781</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104775</xdr:colOff>
      <xdr:row>52</xdr:row>
      <xdr:rowOff>159928</xdr:rowOff>
    </xdr:from>
    <xdr:to>
      <xdr:col>14</xdr:col>
      <xdr:colOff>610348</xdr:colOff>
      <xdr:row>70</xdr:row>
      <xdr:rowOff>198061</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159928</xdr:rowOff>
    </xdr:from>
    <xdr:to>
      <xdr:col>16</xdr:col>
      <xdr:colOff>314886</xdr:colOff>
      <xdr:row>70</xdr:row>
      <xdr:rowOff>198061</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484654</xdr:colOff>
      <xdr:row>34</xdr:row>
      <xdr:rowOff>83728</xdr:rowOff>
    </xdr:from>
    <xdr:to>
      <xdr:col>32</xdr:col>
      <xdr:colOff>800661</xdr:colOff>
      <xdr:row>54</xdr:row>
      <xdr:rowOff>83727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945964</xdr:colOff>
      <xdr:row>68</xdr:row>
      <xdr:rowOff>171621</xdr:rowOff>
    </xdr:from>
    <xdr:to>
      <xdr:col>17</xdr:col>
      <xdr:colOff>216461</xdr:colOff>
      <xdr:row>87</xdr:row>
      <xdr:rowOff>311662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72</xdr:row>
      <xdr:rowOff>145177</xdr:rowOff>
    </xdr:from>
    <xdr:to>
      <xdr:col>17</xdr:col>
      <xdr:colOff>254561</xdr:colOff>
      <xdr:row>93</xdr:row>
      <xdr:rowOff>140944</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52</xdr:row>
      <xdr:rowOff>159928</xdr:rowOff>
    </xdr:from>
    <xdr:to>
      <xdr:col>17</xdr:col>
      <xdr:colOff>254561</xdr:colOff>
      <xdr:row>70</xdr:row>
      <xdr:rowOff>198061</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49364</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159797</xdr:rowOff>
    </xdr:from>
    <xdr:to>
      <xdr:col>29</xdr:col>
      <xdr:colOff>283135</xdr:colOff>
      <xdr:row>58</xdr:row>
      <xdr:rowOff>49363</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122320</xdr:rowOff>
    </xdr:from>
    <xdr:to>
      <xdr:col>29</xdr:col>
      <xdr:colOff>283135</xdr:colOff>
      <xdr:row>163</xdr:row>
      <xdr:rowOff>160420</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654610</xdr:colOff>
      <xdr:row>49</xdr:row>
      <xdr:rowOff>49364</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654610</xdr:colOff>
      <xdr:row>58</xdr:row>
      <xdr:rowOff>49363</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122320</xdr:rowOff>
    </xdr:from>
    <xdr:to>
      <xdr:col>30</xdr:col>
      <xdr:colOff>654610</xdr:colOff>
      <xdr:row>163</xdr:row>
      <xdr:rowOff>160420</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159799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159797</xdr:rowOff>
    </xdr:from>
    <xdr:to>
      <xdr:col>30</xdr:col>
      <xdr:colOff>798979</xdr:colOff>
      <xdr:row>58</xdr:row>
      <xdr:rowOff>11263</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808505</xdr:colOff>
      <xdr:row>21</xdr:row>
      <xdr:rowOff>626</xdr:rowOff>
    </xdr:from>
    <xdr:to>
      <xdr:col>39</xdr:col>
      <xdr:colOff>84604</xdr:colOff>
      <xdr:row>42</xdr:row>
      <xdr:rowOff>159797</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103830</xdr:rowOff>
    </xdr:from>
    <xdr:to>
      <xdr:col>27</xdr:col>
      <xdr:colOff>305360</xdr:colOff>
      <xdr:row>147</xdr:row>
      <xdr:rowOff>145338</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295836</xdr:colOff>
      <xdr:row>18</xdr:row>
      <xdr:rowOff>497</xdr:rowOff>
    </xdr:from>
    <xdr:to>
      <xdr:col>20</xdr:col>
      <xdr:colOff>78254</xdr:colOff>
      <xdr:row>40</xdr:row>
      <xdr:rowOff>50483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11344</xdr:rowOff>
    </xdr:from>
    <xdr:to>
      <xdr:col>8</xdr:col>
      <xdr:colOff>254560</xdr:colOff>
      <xdr:row>88</xdr:row>
      <xdr:rowOff>153290</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193465</xdr:rowOff>
    </xdr:from>
    <xdr:to>
      <xdr:col>8</xdr:col>
      <xdr:colOff>273610</xdr:colOff>
      <xdr:row>89</xdr:row>
      <xdr:rowOff>31607</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193465</xdr:rowOff>
    </xdr:from>
    <xdr:to>
      <xdr:col>8</xdr:col>
      <xdr:colOff>254560</xdr:colOff>
      <xdr:row>89</xdr:row>
      <xdr:rowOff>31607</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193465</xdr:rowOff>
    </xdr:from>
    <xdr:to>
      <xdr:col>8</xdr:col>
      <xdr:colOff>254560</xdr:colOff>
      <xdr:row>89</xdr:row>
      <xdr:rowOff>31607</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50539</xdr:rowOff>
    </xdr:from>
    <xdr:to>
      <xdr:col>8</xdr:col>
      <xdr:colOff>254560</xdr:colOff>
      <xdr:row>94</xdr:row>
      <xdr:rowOff>103636</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95275</xdr:rowOff>
    </xdr:from>
    <xdr:to>
      <xdr:col>8</xdr:col>
      <xdr:colOff>254560</xdr:colOff>
      <xdr:row>110</xdr:row>
      <xdr:rowOff>64401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1287</xdr:rowOff>
    </xdr:from>
    <xdr:to>
      <xdr:col>8</xdr:col>
      <xdr:colOff>254560</xdr:colOff>
      <xdr:row>111</xdr:row>
      <xdr:rowOff>6865</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155409</xdr:rowOff>
    </xdr:from>
    <xdr:to>
      <xdr:col>8</xdr:col>
      <xdr:colOff>254560</xdr:colOff>
      <xdr:row>111</xdr:row>
      <xdr:rowOff>172555</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121890</xdr:rowOff>
    </xdr:from>
    <xdr:to>
      <xdr:col>8</xdr:col>
      <xdr:colOff>254560</xdr:colOff>
      <xdr:row>111</xdr:row>
      <xdr:rowOff>68892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69052</xdr:rowOff>
    </xdr:from>
    <xdr:to>
      <xdr:col>8</xdr:col>
      <xdr:colOff>254560</xdr:colOff>
      <xdr:row>132</xdr:row>
      <xdr:rowOff>123114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50040</xdr:rowOff>
    </xdr:from>
    <xdr:to>
      <xdr:col>8</xdr:col>
      <xdr:colOff>254560</xdr:colOff>
      <xdr:row>133</xdr:row>
      <xdr:rowOff>107799</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107369</xdr:rowOff>
    </xdr:from>
    <xdr:to>
      <xdr:col>8</xdr:col>
      <xdr:colOff>254560</xdr:colOff>
      <xdr:row>134</xdr:row>
      <xdr:rowOff>107798</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30455</xdr:rowOff>
    </xdr:from>
    <xdr:to>
      <xdr:col>8</xdr:col>
      <xdr:colOff>254560</xdr:colOff>
      <xdr:row>134</xdr:row>
      <xdr:rowOff>107798</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352985</xdr:colOff>
      <xdr:row>138</xdr:row>
      <xdr:rowOff>45191</xdr:rowOff>
    </xdr:from>
    <xdr:to>
      <xdr:col>23</xdr:col>
      <xdr:colOff>78255</xdr:colOff>
      <xdr:row>158</xdr:row>
      <xdr:rowOff>9208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25</xdr:row>
      <xdr:rowOff>170119</xdr:rowOff>
    </xdr:from>
    <xdr:to>
      <xdr:col>24</xdr:col>
      <xdr:colOff>254561</xdr:colOff>
      <xdr:row>47</xdr:row>
      <xdr:rowOff>159928</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36</xdr:row>
      <xdr:rowOff>159798</xdr:rowOff>
    </xdr:from>
    <xdr:to>
      <xdr:col>24</xdr:col>
      <xdr:colOff>254561</xdr:colOff>
      <xdr:row>56</xdr:row>
      <xdr:rowOff>159926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333935</xdr:colOff>
      <xdr:row>142</xdr:row>
      <xdr:rowOff>47474</xdr:rowOff>
    </xdr:from>
    <xdr:to>
      <xdr:col>24</xdr:col>
      <xdr:colOff>254561</xdr:colOff>
      <xdr:row>162</xdr:row>
      <xdr:rowOff>45191</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66675</xdr:colOff>
      <xdr:row>47</xdr:row>
      <xdr:rowOff>159797</xdr:rowOff>
    </xdr:from>
    <xdr:to>
      <xdr:col>14</xdr:col>
      <xdr:colOff>610348</xdr:colOff>
      <xdr:row>64</xdr:row>
      <xdr:rowOff>60253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25</xdr:row>
      <xdr:rowOff>170119</xdr:rowOff>
    </xdr:from>
    <xdr:to>
      <xdr:col>27</xdr:col>
      <xdr:colOff>283135</xdr:colOff>
      <xdr:row>48</xdr:row>
      <xdr:rowOff>68412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36</xdr:row>
      <xdr:rowOff>159798</xdr:rowOff>
    </xdr:from>
    <xdr:to>
      <xdr:col>27</xdr:col>
      <xdr:colOff>283135</xdr:colOff>
      <xdr:row>57</xdr:row>
      <xdr:rowOff>49362</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142</xdr:row>
      <xdr:rowOff>47474</xdr:rowOff>
    </xdr:from>
    <xdr:to>
      <xdr:col>27</xdr:col>
      <xdr:colOff>283135</xdr:colOff>
      <xdr:row>162</xdr:row>
      <xdr:rowOff>123114</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25</xdr:row>
      <xdr:rowOff>170119</xdr:rowOff>
    </xdr:from>
    <xdr:to>
      <xdr:col>28</xdr:col>
      <xdr:colOff>276785</xdr:colOff>
      <xdr:row>48</xdr:row>
      <xdr:rowOff>30312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36</xdr:row>
      <xdr:rowOff>159798</xdr:rowOff>
    </xdr:from>
    <xdr:to>
      <xdr:col>28</xdr:col>
      <xdr:colOff>276785</xdr:colOff>
      <xdr:row>56</xdr:row>
      <xdr:rowOff>159797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142</xdr:row>
      <xdr:rowOff>107799</xdr:rowOff>
    </xdr:from>
    <xdr:to>
      <xdr:col>28</xdr:col>
      <xdr:colOff>276785</xdr:colOff>
      <xdr:row>162</xdr:row>
      <xdr:rowOff>123114</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104775</xdr:colOff>
      <xdr:row>51</xdr:row>
      <xdr:rowOff>159927</xdr:rowOff>
    </xdr:from>
    <xdr:to>
      <xdr:col>14</xdr:col>
      <xdr:colOff>610348</xdr:colOff>
      <xdr:row>71</xdr:row>
      <xdr:rowOff>76478</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51</xdr:row>
      <xdr:rowOff>159927</xdr:rowOff>
    </xdr:from>
    <xdr:to>
      <xdr:col>16</xdr:col>
      <xdr:colOff>314886</xdr:colOff>
      <xdr:row>71</xdr:row>
      <xdr:rowOff>76478</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484654</xdr:colOff>
      <xdr:row>33</xdr:row>
      <xdr:rowOff>69176</xdr:rowOff>
    </xdr:from>
    <xdr:to>
      <xdr:col>32</xdr:col>
      <xdr:colOff>800661</xdr:colOff>
      <xdr:row>53</xdr:row>
      <xdr:rowOff>83728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945964</xdr:colOff>
      <xdr:row>68</xdr:row>
      <xdr:rowOff>11344</xdr:rowOff>
    </xdr:from>
    <xdr:to>
      <xdr:col>17</xdr:col>
      <xdr:colOff>216461</xdr:colOff>
      <xdr:row>88</xdr:row>
      <xdr:rowOff>153290</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73</xdr:row>
      <xdr:rowOff>171986</xdr:rowOff>
    </xdr:from>
    <xdr:to>
      <xdr:col>17</xdr:col>
      <xdr:colOff>254561</xdr:colOff>
      <xdr:row>94</xdr:row>
      <xdr:rowOff>161651</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984064</xdr:colOff>
      <xdr:row>51</xdr:row>
      <xdr:rowOff>159927</xdr:rowOff>
    </xdr:from>
    <xdr:to>
      <xdr:col>17</xdr:col>
      <xdr:colOff>254561</xdr:colOff>
      <xdr:row>71</xdr:row>
      <xdr:rowOff>76478</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25</xdr:row>
      <xdr:rowOff>170119</xdr:rowOff>
    </xdr:from>
    <xdr:to>
      <xdr:col>29</xdr:col>
      <xdr:colOff>283135</xdr:colOff>
      <xdr:row>48</xdr:row>
      <xdr:rowOff>49362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36</xdr:row>
      <xdr:rowOff>159798</xdr:rowOff>
    </xdr:from>
    <xdr:to>
      <xdr:col>29</xdr:col>
      <xdr:colOff>283135</xdr:colOff>
      <xdr:row>57</xdr:row>
      <xdr:rowOff>49362</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144</xdr:row>
      <xdr:rowOff>145338</xdr:rowOff>
    </xdr:from>
    <xdr:to>
      <xdr:col>29</xdr:col>
      <xdr:colOff>283135</xdr:colOff>
      <xdr:row>165</xdr:row>
      <xdr:rowOff>9374</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26</xdr:row>
      <xdr:rowOff>17903</xdr:rowOff>
    </xdr:from>
    <xdr:to>
      <xdr:col>30</xdr:col>
      <xdr:colOff>654610</xdr:colOff>
      <xdr:row>48</xdr:row>
      <xdr:rowOff>49362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37</xdr:row>
      <xdr:rowOff>11264</xdr:rowOff>
    </xdr:from>
    <xdr:to>
      <xdr:col>30</xdr:col>
      <xdr:colOff>654610</xdr:colOff>
      <xdr:row>57</xdr:row>
      <xdr:rowOff>49362</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144</xdr:row>
      <xdr:rowOff>145338</xdr:rowOff>
    </xdr:from>
    <xdr:to>
      <xdr:col>30</xdr:col>
      <xdr:colOff>654610</xdr:colOff>
      <xdr:row>165</xdr:row>
      <xdr:rowOff>9374</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25</xdr:row>
      <xdr:rowOff>170119</xdr:rowOff>
    </xdr:from>
    <xdr:to>
      <xdr:col>30</xdr:col>
      <xdr:colOff>798979</xdr:colOff>
      <xdr:row>47</xdr:row>
      <xdr:rowOff>159797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36</xdr:row>
      <xdr:rowOff>159798</xdr:rowOff>
    </xdr:from>
    <xdr:to>
      <xdr:col>30</xdr:col>
      <xdr:colOff>798979</xdr:colOff>
      <xdr:row>57</xdr:row>
      <xdr:rowOff>11262</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808505</xdr:colOff>
      <xdr:row>20</xdr:row>
      <xdr:rowOff>624</xdr:rowOff>
    </xdr:from>
    <xdr:to>
      <xdr:col>39</xdr:col>
      <xdr:colOff>84604</xdr:colOff>
      <xdr:row>41</xdr:row>
      <xdr:rowOff>159798</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144</xdr:row>
      <xdr:rowOff>123113</xdr:rowOff>
    </xdr:from>
    <xdr:to>
      <xdr:col>31</xdr:col>
      <xdr:colOff>168835</xdr:colOff>
      <xdr:row>164</xdr:row>
      <xdr:rowOff>9207</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19050</xdr:colOff>
      <xdr:row>18</xdr:row>
      <xdr:rowOff>497</xdr:rowOff>
    </xdr:from>
    <xdr:to>
      <xdr:col>20</xdr:col>
      <xdr:colOff>590550</xdr:colOff>
      <xdr:row>40</xdr:row>
      <xdr:rowOff>50483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11344</xdr:rowOff>
    </xdr:from>
    <xdr:to>
      <xdr:col>9</xdr:col>
      <xdr:colOff>0</xdr:colOff>
      <xdr:row>88</xdr:row>
      <xdr:rowOff>153290</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69</xdr:row>
      <xdr:rowOff>193465</xdr:rowOff>
    </xdr:from>
    <xdr:to>
      <xdr:col>9</xdr:col>
      <xdr:colOff>19050</xdr:colOff>
      <xdr:row>89</xdr:row>
      <xdr:rowOff>31607</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74</xdr:row>
      <xdr:rowOff>50539</xdr:rowOff>
    </xdr:from>
    <xdr:to>
      <xdr:col>9</xdr:col>
      <xdr:colOff>0</xdr:colOff>
      <xdr:row>94</xdr:row>
      <xdr:rowOff>103636</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95275</xdr:rowOff>
    </xdr:from>
    <xdr:to>
      <xdr:col>9</xdr:col>
      <xdr:colOff>0</xdr:colOff>
      <xdr:row>110</xdr:row>
      <xdr:rowOff>64401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1287</xdr:rowOff>
    </xdr:from>
    <xdr:to>
      <xdr:col>9</xdr:col>
      <xdr:colOff>0</xdr:colOff>
      <xdr:row>111</xdr:row>
      <xdr:rowOff>6865</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155409</xdr:rowOff>
    </xdr:from>
    <xdr:to>
      <xdr:col>9</xdr:col>
      <xdr:colOff>0</xdr:colOff>
      <xdr:row>111</xdr:row>
      <xdr:rowOff>172555</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91</xdr:row>
      <xdr:rowOff>121890</xdr:rowOff>
    </xdr:from>
    <xdr:to>
      <xdr:col>9</xdr:col>
      <xdr:colOff>0</xdr:colOff>
      <xdr:row>111</xdr:row>
      <xdr:rowOff>68892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69052</xdr:rowOff>
    </xdr:from>
    <xdr:to>
      <xdr:col>9</xdr:col>
      <xdr:colOff>0</xdr:colOff>
      <xdr:row>132</xdr:row>
      <xdr:rowOff>123114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113</xdr:row>
      <xdr:rowOff>50040</xdr:rowOff>
    </xdr:from>
    <xdr:to>
      <xdr:col>9</xdr:col>
      <xdr:colOff>0</xdr:colOff>
      <xdr:row>133</xdr:row>
      <xdr:rowOff>107799</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107369</xdr:rowOff>
    </xdr:from>
    <xdr:to>
      <xdr:col>9</xdr:col>
      <xdr:colOff>0</xdr:colOff>
      <xdr:row>134</xdr:row>
      <xdr:rowOff>107798</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30455</xdr:rowOff>
    </xdr:from>
    <xdr:to>
      <xdr:col>9</xdr:col>
      <xdr:colOff>0</xdr:colOff>
      <xdr:row>134</xdr:row>
      <xdr:rowOff>107798</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45191</xdr:rowOff>
    </xdr:from>
    <xdr:to>
      <xdr:col>23</xdr:col>
      <xdr:colOff>590550</xdr:colOff>
      <xdr:row>158</xdr:row>
      <xdr:rowOff>9208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159928</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159798</xdr:rowOff>
    </xdr:from>
    <xdr:to>
      <xdr:col>25</xdr:col>
      <xdr:colOff>0</xdr:colOff>
      <xdr:row>56</xdr:row>
      <xdr:rowOff>159926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47474</xdr:rowOff>
    </xdr:from>
    <xdr:to>
      <xdr:col>25</xdr:col>
      <xdr:colOff>0</xdr:colOff>
      <xdr:row>162</xdr:row>
      <xdr:rowOff>45191</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47</xdr:row>
      <xdr:rowOff>159797</xdr:rowOff>
    </xdr:from>
    <xdr:to>
      <xdr:col>15</xdr:col>
      <xdr:colOff>171450</xdr:colOff>
      <xdr:row>64</xdr:row>
      <xdr:rowOff>60253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68412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159798</xdr:rowOff>
    </xdr:from>
    <xdr:to>
      <xdr:col>28</xdr:col>
      <xdr:colOff>19050</xdr:colOff>
      <xdr:row>57</xdr:row>
      <xdr:rowOff>49362</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47474</xdr:rowOff>
    </xdr:from>
    <xdr:to>
      <xdr:col>28</xdr:col>
      <xdr:colOff>19050</xdr:colOff>
      <xdr:row>162</xdr:row>
      <xdr:rowOff>123114</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6350</xdr:colOff>
      <xdr:row>48</xdr:row>
      <xdr:rowOff>30312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159798</xdr:rowOff>
    </xdr:from>
    <xdr:to>
      <xdr:col>29</xdr:col>
      <xdr:colOff>6350</xdr:colOff>
      <xdr:row>56</xdr:row>
      <xdr:rowOff>159797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107799</xdr:rowOff>
    </xdr:from>
    <xdr:to>
      <xdr:col>29</xdr:col>
      <xdr:colOff>6350</xdr:colOff>
      <xdr:row>162</xdr:row>
      <xdr:rowOff>123114</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51</xdr:row>
      <xdr:rowOff>159927</xdr:rowOff>
    </xdr:from>
    <xdr:to>
      <xdr:col>15</xdr:col>
      <xdr:colOff>171450</xdr:colOff>
      <xdr:row>71</xdr:row>
      <xdr:rowOff>76478</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51</xdr:row>
      <xdr:rowOff>159927</xdr:rowOff>
    </xdr:from>
    <xdr:to>
      <xdr:col>17</xdr:col>
      <xdr:colOff>57150</xdr:colOff>
      <xdr:row>71</xdr:row>
      <xdr:rowOff>76478</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69176</xdr:rowOff>
    </xdr:from>
    <xdr:to>
      <xdr:col>33</xdr:col>
      <xdr:colOff>425450</xdr:colOff>
      <xdr:row>53</xdr:row>
      <xdr:rowOff>83728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68</xdr:row>
      <xdr:rowOff>11344</xdr:rowOff>
    </xdr:from>
    <xdr:to>
      <xdr:col>17</xdr:col>
      <xdr:colOff>723900</xdr:colOff>
      <xdr:row>88</xdr:row>
      <xdr:rowOff>153290</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73</xdr:row>
      <xdr:rowOff>171986</xdr:rowOff>
    </xdr:from>
    <xdr:to>
      <xdr:col>18</xdr:col>
      <xdr:colOff>0</xdr:colOff>
      <xdr:row>94</xdr:row>
      <xdr:rowOff>161651</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51</xdr:row>
      <xdr:rowOff>159927</xdr:rowOff>
    </xdr:from>
    <xdr:to>
      <xdr:col>18</xdr:col>
      <xdr:colOff>0</xdr:colOff>
      <xdr:row>71</xdr:row>
      <xdr:rowOff>76478</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787400</xdr:colOff>
      <xdr:row>48</xdr:row>
      <xdr:rowOff>49362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159798</xdr:rowOff>
    </xdr:from>
    <xdr:to>
      <xdr:col>29</xdr:col>
      <xdr:colOff>787400</xdr:colOff>
      <xdr:row>57</xdr:row>
      <xdr:rowOff>49362</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145338</xdr:rowOff>
    </xdr:from>
    <xdr:to>
      <xdr:col>29</xdr:col>
      <xdr:colOff>787400</xdr:colOff>
      <xdr:row>165</xdr:row>
      <xdr:rowOff>9374</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49362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49362</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145338</xdr:rowOff>
    </xdr:from>
    <xdr:to>
      <xdr:col>30</xdr:col>
      <xdr:colOff>1162050</xdr:colOff>
      <xdr:row>165</xdr:row>
      <xdr:rowOff>9374</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63500</xdr:colOff>
      <xdr:row>47</xdr:row>
      <xdr:rowOff>159797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159798</xdr:rowOff>
    </xdr:from>
    <xdr:to>
      <xdr:col>31</xdr:col>
      <xdr:colOff>63500</xdr:colOff>
      <xdr:row>57</xdr:row>
      <xdr:rowOff>11262</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596900</xdr:colOff>
      <xdr:row>41</xdr:row>
      <xdr:rowOff>159798</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123113</xdr:rowOff>
    </xdr:from>
    <xdr:to>
      <xdr:col>31</xdr:col>
      <xdr:colOff>673100</xdr:colOff>
      <xdr:row>164</xdr:row>
      <xdr:rowOff>9207</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50483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11344</xdr:rowOff>
    </xdr:from>
    <xdr:to>
      <xdr:col>9</xdr:col>
      <xdr:colOff>0</xdr:colOff>
      <xdr:row>88</xdr:row>
      <xdr:rowOff>153290</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69</xdr:row>
      <xdr:rowOff>193465</xdr:rowOff>
    </xdr:from>
    <xdr:to>
      <xdr:col>9</xdr:col>
      <xdr:colOff>19050</xdr:colOff>
      <xdr:row>89</xdr:row>
      <xdr:rowOff>31607</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74</xdr:row>
      <xdr:rowOff>50539</xdr:rowOff>
    </xdr:from>
    <xdr:to>
      <xdr:col>9</xdr:col>
      <xdr:colOff>0</xdr:colOff>
      <xdr:row>94</xdr:row>
      <xdr:rowOff>103636</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95275</xdr:rowOff>
    </xdr:from>
    <xdr:to>
      <xdr:col>9</xdr:col>
      <xdr:colOff>0</xdr:colOff>
      <xdr:row>110</xdr:row>
      <xdr:rowOff>64401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1287</xdr:rowOff>
    </xdr:from>
    <xdr:to>
      <xdr:col>9</xdr:col>
      <xdr:colOff>0</xdr:colOff>
      <xdr:row>111</xdr:row>
      <xdr:rowOff>6865</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155409</xdr:rowOff>
    </xdr:from>
    <xdr:to>
      <xdr:col>9</xdr:col>
      <xdr:colOff>0</xdr:colOff>
      <xdr:row>111</xdr:row>
      <xdr:rowOff>172555</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91</xdr:row>
      <xdr:rowOff>121890</xdr:rowOff>
    </xdr:from>
    <xdr:to>
      <xdr:col>9</xdr:col>
      <xdr:colOff>0</xdr:colOff>
      <xdr:row>111</xdr:row>
      <xdr:rowOff>68892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69052</xdr:rowOff>
    </xdr:from>
    <xdr:to>
      <xdr:col>9</xdr:col>
      <xdr:colOff>0</xdr:colOff>
      <xdr:row>132</xdr:row>
      <xdr:rowOff>123114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113</xdr:row>
      <xdr:rowOff>50040</xdr:rowOff>
    </xdr:from>
    <xdr:to>
      <xdr:col>9</xdr:col>
      <xdr:colOff>0</xdr:colOff>
      <xdr:row>133</xdr:row>
      <xdr:rowOff>107799</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107369</xdr:rowOff>
    </xdr:from>
    <xdr:to>
      <xdr:col>9</xdr:col>
      <xdr:colOff>0</xdr:colOff>
      <xdr:row>134</xdr:row>
      <xdr:rowOff>107798</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30455</xdr:rowOff>
    </xdr:from>
    <xdr:to>
      <xdr:col>9</xdr:col>
      <xdr:colOff>0</xdr:colOff>
      <xdr:row>134</xdr:row>
      <xdr:rowOff>107798</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45191</xdr:rowOff>
    </xdr:from>
    <xdr:to>
      <xdr:col>23</xdr:col>
      <xdr:colOff>590550</xdr:colOff>
      <xdr:row>158</xdr:row>
      <xdr:rowOff>9208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159928</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159798</xdr:rowOff>
    </xdr:from>
    <xdr:to>
      <xdr:col>25</xdr:col>
      <xdr:colOff>0</xdr:colOff>
      <xdr:row>56</xdr:row>
      <xdr:rowOff>159926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47474</xdr:rowOff>
    </xdr:from>
    <xdr:to>
      <xdr:col>25</xdr:col>
      <xdr:colOff>0</xdr:colOff>
      <xdr:row>162</xdr:row>
      <xdr:rowOff>45191</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47</xdr:row>
      <xdr:rowOff>159797</xdr:rowOff>
    </xdr:from>
    <xdr:to>
      <xdr:col>15</xdr:col>
      <xdr:colOff>171450</xdr:colOff>
      <xdr:row>64</xdr:row>
      <xdr:rowOff>60253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68412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159798</xdr:rowOff>
    </xdr:from>
    <xdr:to>
      <xdr:col>28</xdr:col>
      <xdr:colOff>19050</xdr:colOff>
      <xdr:row>57</xdr:row>
      <xdr:rowOff>49362</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47474</xdr:rowOff>
    </xdr:from>
    <xdr:to>
      <xdr:col>28</xdr:col>
      <xdr:colOff>19050</xdr:colOff>
      <xdr:row>162</xdr:row>
      <xdr:rowOff>123114</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6350</xdr:colOff>
      <xdr:row>48</xdr:row>
      <xdr:rowOff>30312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159798</xdr:rowOff>
    </xdr:from>
    <xdr:to>
      <xdr:col>29</xdr:col>
      <xdr:colOff>6350</xdr:colOff>
      <xdr:row>56</xdr:row>
      <xdr:rowOff>159797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107799</xdr:rowOff>
    </xdr:from>
    <xdr:to>
      <xdr:col>29</xdr:col>
      <xdr:colOff>6350</xdr:colOff>
      <xdr:row>162</xdr:row>
      <xdr:rowOff>123114</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51</xdr:row>
      <xdr:rowOff>159927</xdr:rowOff>
    </xdr:from>
    <xdr:to>
      <xdr:col>15</xdr:col>
      <xdr:colOff>171450</xdr:colOff>
      <xdr:row>71</xdr:row>
      <xdr:rowOff>76478</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51</xdr:row>
      <xdr:rowOff>159927</xdr:rowOff>
    </xdr:from>
    <xdr:to>
      <xdr:col>17</xdr:col>
      <xdr:colOff>57150</xdr:colOff>
      <xdr:row>71</xdr:row>
      <xdr:rowOff>76478</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69176</xdr:rowOff>
    </xdr:from>
    <xdr:to>
      <xdr:col>33</xdr:col>
      <xdr:colOff>425450</xdr:colOff>
      <xdr:row>53</xdr:row>
      <xdr:rowOff>83728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68</xdr:row>
      <xdr:rowOff>11344</xdr:rowOff>
    </xdr:from>
    <xdr:to>
      <xdr:col>17</xdr:col>
      <xdr:colOff>723900</xdr:colOff>
      <xdr:row>88</xdr:row>
      <xdr:rowOff>153290</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73</xdr:row>
      <xdr:rowOff>171986</xdr:rowOff>
    </xdr:from>
    <xdr:to>
      <xdr:col>18</xdr:col>
      <xdr:colOff>0</xdr:colOff>
      <xdr:row>94</xdr:row>
      <xdr:rowOff>161651</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51</xdr:row>
      <xdr:rowOff>159927</xdr:rowOff>
    </xdr:from>
    <xdr:to>
      <xdr:col>18</xdr:col>
      <xdr:colOff>0</xdr:colOff>
      <xdr:row>71</xdr:row>
      <xdr:rowOff>76478</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787400</xdr:colOff>
      <xdr:row>48</xdr:row>
      <xdr:rowOff>49362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159798</xdr:rowOff>
    </xdr:from>
    <xdr:to>
      <xdr:col>29</xdr:col>
      <xdr:colOff>787400</xdr:colOff>
      <xdr:row>57</xdr:row>
      <xdr:rowOff>49362</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145338</xdr:rowOff>
    </xdr:from>
    <xdr:to>
      <xdr:col>29</xdr:col>
      <xdr:colOff>787400</xdr:colOff>
      <xdr:row>165</xdr:row>
      <xdr:rowOff>9374</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49362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49362</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145338</xdr:rowOff>
    </xdr:from>
    <xdr:to>
      <xdr:col>30</xdr:col>
      <xdr:colOff>1162050</xdr:colOff>
      <xdr:row>165</xdr:row>
      <xdr:rowOff>9374</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63500</xdr:colOff>
      <xdr:row>47</xdr:row>
      <xdr:rowOff>159797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159798</xdr:rowOff>
    </xdr:from>
    <xdr:to>
      <xdr:col>31</xdr:col>
      <xdr:colOff>63500</xdr:colOff>
      <xdr:row>57</xdr:row>
      <xdr:rowOff>11262</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596900</xdr:colOff>
      <xdr:row>41</xdr:row>
      <xdr:rowOff>159798</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123113</xdr:rowOff>
    </xdr:from>
    <xdr:to>
      <xdr:col>31</xdr:col>
      <xdr:colOff>673100</xdr:colOff>
      <xdr:row>164</xdr:row>
      <xdr:rowOff>9207</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50483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11344</xdr:rowOff>
    </xdr:from>
    <xdr:to>
      <xdr:col>9</xdr:col>
      <xdr:colOff>0</xdr:colOff>
      <xdr:row>88</xdr:row>
      <xdr:rowOff>153290</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193465</xdr:rowOff>
    </xdr:from>
    <xdr:to>
      <xdr:col>9</xdr:col>
      <xdr:colOff>19050</xdr:colOff>
      <xdr:row>89</xdr:row>
      <xdr:rowOff>31607</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74</xdr:row>
      <xdr:rowOff>50539</xdr:rowOff>
    </xdr:from>
    <xdr:to>
      <xdr:col>9</xdr:col>
      <xdr:colOff>0</xdr:colOff>
      <xdr:row>94</xdr:row>
      <xdr:rowOff>103636</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95275</xdr:rowOff>
    </xdr:from>
    <xdr:to>
      <xdr:col>9</xdr:col>
      <xdr:colOff>0</xdr:colOff>
      <xdr:row>110</xdr:row>
      <xdr:rowOff>64401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1287</xdr:rowOff>
    </xdr:from>
    <xdr:to>
      <xdr:col>9</xdr:col>
      <xdr:colOff>0</xdr:colOff>
      <xdr:row>111</xdr:row>
      <xdr:rowOff>6865</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155409</xdr:rowOff>
    </xdr:from>
    <xdr:to>
      <xdr:col>9</xdr:col>
      <xdr:colOff>0</xdr:colOff>
      <xdr:row>112</xdr:row>
      <xdr:rowOff>1356</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91</xdr:row>
      <xdr:rowOff>121890</xdr:rowOff>
    </xdr:from>
    <xdr:to>
      <xdr:col>9</xdr:col>
      <xdr:colOff>0</xdr:colOff>
      <xdr:row>111</xdr:row>
      <xdr:rowOff>68892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69052</xdr:rowOff>
    </xdr:from>
    <xdr:to>
      <xdr:col>9</xdr:col>
      <xdr:colOff>0</xdr:colOff>
      <xdr:row>132</xdr:row>
      <xdr:rowOff>123114</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113</xdr:row>
      <xdr:rowOff>50040</xdr:rowOff>
    </xdr:from>
    <xdr:to>
      <xdr:col>9</xdr:col>
      <xdr:colOff>0</xdr:colOff>
      <xdr:row>133</xdr:row>
      <xdr:rowOff>107799</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107369</xdr:rowOff>
    </xdr:from>
    <xdr:to>
      <xdr:col>9</xdr:col>
      <xdr:colOff>0</xdr:colOff>
      <xdr:row>134</xdr:row>
      <xdr:rowOff>107798</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30455</xdr:rowOff>
    </xdr:from>
    <xdr:to>
      <xdr:col>9</xdr:col>
      <xdr:colOff>0</xdr:colOff>
      <xdr:row>134</xdr:row>
      <xdr:rowOff>107798</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45191</xdr:rowOff>
    </xdr:from>
    <xdr:to>
      <xdr:col>23</xdr:col>
      <xdr:colOff>590550</xdr:colOff>
      <xdr:row>158</xdr:row>
      <xdr:rowOff>9208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17903</xdr:rowOff>
    </xdr:from>
    <xdr:to>
      <xdr:col>25</xdr:col>
      <xdr:colOff>0</xdr:colOff>
      <xdr:row>47</xdr:row>
      <xdr:rowOff>159928</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159926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47474</xdr:rowOff>
    </xdr:from>
    <xdr:to>
      <xdr:col>25</xdr:col>
      <xdr:colOff>0</xdr:colOff>
      <xdr:row>162</xdr:row>
      <xdr:rowOff>45191</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60253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26</xdr:row>
      <xdr:rowOff>17903</xdr:rowOff>
    </xdr:from>
    <xdr:to>
      <xdr:col>28</xdr:col>
      <xdr:colOff>19050</xdr:colOff>
      <xdr:row>48</xdr:row>
      <xdr:rowOff>68412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36</xdr:row>
      <xdr:rowOff>174431</xdr:rowOff>
    </xdr:from>
    <xdr:to>
      <xdr:col>28</xdr:col>
      <xdr:colOff>19050</xdr:colOff>
      <xdr:row>57</xdr:row>
      <xdr:rowOff>49362</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142</xdr:row>
      <xdr:rowOff>47474</xdr:rowOff>
    </xdr:from>
    <xdr:to>
      <xdr:col>28</xdr:col>
      <xdr:colOff>19050</xdr:colOff>
      <xdr:row>162</xdr:row>
      <xdr:rowOff>123114</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26</xdr:row>
      <xdr:rowOff>17903</xdr:rowOff>
    </xdr:from>
    <xdr:to>
      <xdr:col>29</xdr:col>
      <xdr:colOff>6350</xdr:colOff>
      <xdr:row>48</xdr:row>
      <xdr:rowOff>30312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36</xdr:row>
      <xdr:rowOff>174431</xdr:rowOff>
    </xdr:from>
    <xdr:to>
      <xdr:col>29</xdr:col>
      <xdr:colOff>6350</xdr:colOff>
      <xdr:row>56</xdr:row>
      <xdr:rowOff>174429</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142</xdr:row>
      <xdr:rowOff>107799</xdr:rowOff>
    </xdr:from>
    <xdr:to>
      <xdr:col>29</xdr:col>
      <xdr:colOff>6350</xdr:colOff>
      <xdr:row>162</xdr:row>
      <xdr:rowOff>123114</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51</xdr:row>
      <xdr:rowOff>159927</xdr:rowOff>
    </xdr:from>
    <xdr:to>
      <xdr:col>15</xdr:col>
      <xdr:colOff>171450</xdr:colOff>
      <xdr:row>71</xdr:row>
      <xdr:rowOff>76478</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51</xdr:row>
      <xdr:rowOff>159927</xdr:rowOff>
    </xdr:from>
    <xdr:to>
      <xdr:col>17</xdr:col>
      <xdr:colOff>63500</xdr:colOff>
      <xdr:row>71</xdr:row>
      <xdr:rowOff>76478</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33</xdr:row>
      <xdr:rowOff>69176</xdr:rowOff>
    </xdr:from>
    <xdr:to>
      <xdr:col>33</xdr:col>
      <xdr:colOff>425450</xdr:colOff>
      <xdr:row>53</xdr:row>
      <xdr:rowOff>83728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11344</xdr:rowOff>
    </xdr:from>
    <xdr:to>
      <xdr:col>17</xdr:col>
      <xdr:colOff>723900</xdr:colOff>
      <xdr:row>88</xdr:row>
      <xdr:rowOff>153290</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73</xdr:row>
      <xdr:rowOff>171986</xdr:rowOff>
    </xdr:from>
    <xdr:to>
      <xdr:col>18</xdr:col>
      <xdr:colOff>0</xdr:colOff>
      <xdr:row>94</xdr:row>
      <xdr:rowOff>161651</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51</xdr:row>
      <xdr:rowOff>159927</xdr:rowOff>
    </xdr:from>
    <xdr:to>
      <xdr:col>18</xdr:col>
      <xdr:colOff>0</xdr:colOff>
      <xdr:row>71</xdr:row>
      <xdr:rowOff>76478</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26</xdr:row>
      <xdr:rowOff>17903</xdr:rowOff>
    </xdr:from>
    <xdr:to>
      <xdr:col>29</xdr:col>
      <xdr:colOff>800100</xdr:colOff>
      <xdr:row>48</xdr:row>
      <xdr:rowOff>49362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36</xdr:row>
      <xdr:rowOff>174431</xdr:rowOff>
    </xdr:from>
    <xdr:to>
      <xdr:col>29</xdr:col>
      <xdr:colOff>800100</xdr:colOff>
      <xdr:row>57</xdr:row>
      <xdr:rowOff>49362</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144</xdr:row>
      <xdr:rowOff>145338</xdr:rowOff>
    </xdr:from>
    <xdr:to>
      <xdr:col>29</xdr:col>
      <xdr:colOff>800100</xdr:colOff>
      <xdr:row>165</xdr:row>
      <xdr:rowOff>9374</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26</xdr:row>
      <xdr:rowOff>17903</xdr:rowOff>
    </xdr:from>
    <xdr:to>
      <xdr:col>30</xdr:col>
      <xdr:colOff>1168400</xdr:colOff>
      <xdr:row>48</xdr:row>
      <xdr:rowOff>49362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37</xdr:row>
      <xdr:rowOff>11264</xdr:rowOff>
    </xdr:from>
    <xdr:to>
      <xdr:col>30</xdr:col>
      <xdr:colOff>1168400</xdr:colOff>
      <xdr:row>57</xdr:row>
      <xdr:rowOff>49362</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144</xdr:row>
      <xdr:rowOff>145338</xdr:rowOff>
    </xdr:from>
    <xdr:to>
      <xdr:col>30</xdr:col>
      <xdr:colOff>1168400</xdr:colOff>
      <xdr:row>165</xdr:row>
      <xdr:rowOff>9374</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17903</xdr:rowOff>
    </xdr:from>
    <xdr:to>
      <xdr:col>31</xdr:col>
      <xdr:colOff>63500</xdr:colOff>
      <xdr:row>47</xdr:row>
      <xdr:rowOff>174430</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63500</xdr:colOff>
      <xdr:row>57</xdr:row>
      <xdr:rowOff>11262</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596900</xdr:colOff>
      <xdr:row>41</xdr:row>
      <xdr:rowOff>174431</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144</xdr:row>
      <xdr:rowOff>123113</xdr:rowOff>
    </xdr:from>
    <xdr:to>
      <xdr:col>31</xdr:col>
      <xdr:colOff>685800</xdr:colOff>
      <xdr:row>164</xdr:row>
      <xdr:rowOff>9207</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17903</xdr:rowOff>
    </xdr:from>
    <xdr:to>
      <xdr:col>32</xdr:col>
      <xdr:colOff>552450</xdr:colOff>
      <xdr:row>48</xdr:row>
      <xdr:rowOff>49362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86902</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50483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11344</xdr:rowOff>
    </xdr:from>
    <xdr:to>
      <xdr:col>9</xdr:col>
      <xdr:colOff>0</xdr:colOff>
      <xdr:row>88</xdr:row>
      <xdr:rowOff>153290</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193465</xdr:rowOff>
    </xdr:from>
    <xdr:to>
      <xdr:col>9</xdr:col>
      <xdr:colOff>19050</xdr:colOff>
      <xdr:row>89</xdr:row>
      <xdr:rowOff>31607</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69</xdr:row>
      <xdr:rowOff>193465</xdr:rowOff>
    </xdr:from>
    <xdr:to>
      <xdr:col>9</xdr:col>
      <xdr:colOff>0</xdr:colOff>
      <xdr:row>89</xdr:row>
      <xdr:rowOff>31607</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74</xdr:row>
      <xdr:rowOff>50539</xdr:rowOff>
    </xdr:from>
    <xdr:to>
      <xdr:col>9</xdr:col>
      <xdr:colOff>0</xdr:colOff>
      <xdr:row>94</xdr:row>
      <xdr:rowOff>103636</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95275</xdr:rowOff>
    </xdr:from>
    <xdr:to>
      <xdr:col>9</xdr:col>
      <xdr:colOff>0</xdr:colOff>
      <xdr:row>110</xdr:row>
      <xdr:rowOff>64401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1287</xdr:rowOff>
    </xdr:from>
    <xdr:to>
      <xdr:col>9</xdr:col>
      <xdr:colOff>0</xdr:colOff>
      <xdr:row>111</xdr:row>
      <xdr:rowOff>6865</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155409</xdr:rowOff>
    </xdr:from>
    <xdr:to>
      <xdr:col>9</xdr:col>
      <xdr:colOff>0</xdr:colOff>
      <xdr:row>112</xdr:row>
      <xdr:rowOff>1356</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91</xdr:row>
      <xdr:rowOff>121890</xdr:rowOff>
    </xdr:from>
    <xdr:to>
      <xdr:col>9</xdr:col>
      <xdr:colOff>0</xdr:colOff>
      <xdr:row>111</xdr:row>
      <xdr:rowOff>68892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69052</xdr:rowOff>
    </xdr:from>
    <xdr:to>
      <xdr:col>9</xdr:col>
      <xdr:colOff>0</xdr:colOff>
      <xdr:row>132</xdr:row>
      <xdr:rowOff>123114</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113</xdr:row>
      <xdr:rowOff>50040</xdr:rowOff>
    </xdr:from>
    <xdr:to>
      <xdr:col>9</xdr:col>
      <xdr:colOff>0</xdr:colOff>
      <xdr:row>133</xdr:row>
      <xdr:rowOff>107799</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107369</xdr:rowOff>
    </xdr:from>
    <xdr:to>
      <xdr:col>9</xdr:col>
      <xdr:colOff>0</xdr:colOff>
      <xdr:row>134</xdr:row>
      <xdr:rowOff>107798</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114</xdr:row>
      <xdr:rowOff>30455</xdr:rowOff>
    </xdr:from>
    <xdr:to>
      <xdr:col>9</xdr:col>
      <xdr:colOff>0</xdr:colOff>
      <xdr:row>134</xdr:row>
      <xdr:rowOff>107798</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45191</xdr:rowOff>
    </xdr:from>
    <xdr:to>
      <xdr:col>23</xdr:col>
      <xdr:colOff>590550</xdr:colOff>
      <xdr:row>158</xdr:row>
      <xdr:rowOff>9208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17903</xdr:rowOff>
    </xdr:from>
    <xdr:to>
      <xdr:col>25</xdr:col>
      <xdr:colOff>0</xdr:colOff>
      <xdr:row>47</xdr:row>
      <xdr:rowOff>159928</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159926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47474</xdr:rowOff>
    </xdr:from>
    <xdr:to>
      <xdr:col>25</xdr:col>
      <xdr:colOff>0</xdr:colOff>
      <xdr:row>162</xdr:row>
      <xdr:rowOff>45191</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60253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26</xdr:row>
      <xdr:rowOff>17903</xdr:rowOff>
    </xdr:from>
    <xdr:to>
      <xdr:col>28</xdr:col>
      <xdr:colOff>19050</xdr:colOff>
      <xdr:row>48</xdr:row>
      <xdr:rowOff>68412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36</xdr:row>
      <xdr:rowOff>174431</xdr:rowOff>
    </xdr:from>
    <xdr:to>
      <xdr:col>28</xdr:col>
      <xdr:colOff>19050</xdr:colOff>
      <xdr:row>57</xdr:row>
      <xdr:rowOff>49362</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142</xdr:row>
      <xdr:rowOff>47474</xdr:rowOff>
    </xdr:from>
    <xdr:to>
      <xdr:col>28</xdr:col>
      <xdr:colOff>19050</xdr:colOff>
      <xdr:row>162</xdr:row>
      <xdr:rowOff>123114</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26</xdr:row>
      <xdr:rowOff>17903</xdr:rowOff>
    </xdr:from>
    <xdr:to>
      <xdr:col>29</xdr:col>
      <xdr:colOff>6350</xdr:colOff>
      <xdr:row>48</xdr:row>
      <xdr:rowOff>30312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36</xdr:row>
      <xdr:rowOff>174431</xdr:rowOff>
    </xdr:from>
    <xdr:to>
      <xdr:col>29</xdr:col>
      <xdr:colOff>6350</xdr:colOff>
      <xdr:row>56</xdr:row>
      <xdr:rowOff>174429</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142</xdr:row>
      <xdr:rowOff>107799</xdr:rowOff>
    </xdr:from>
    <xdr:to>
      <xdr:col>29</xdr:col>
      <xdr:colOff>6350</xdr:colOff>
      <xdr:row>162</xdr:row>
      <xdr:rowOff>123114</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51</xdr:row>
      <xdr:rowOff>159927</xdr:rowOff>
    </xdr:from>
    <xdr:to>
      <xdr:col>15</xdr:col>
      <xdr:colOff>171450</xdr:colOff>
      <xdr:row>71</xdr:row>
      <xdr:rowOff>76478</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51</xdr:row>
      <xdr:rowOff>159927</xdr:rowOff>
    </xdr:from>
    <xdr:to>
      <xdr:col>17</xdr:col>
      <xdr:colOff>63500</xdr:colOff>
      <xdr:row>71</xdr:row>
      <xdr:rowOff>76478</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33</xdr:row>
      <xdr:rowOff>69176</xdr:rowOff>
    </xdr:from>
    <xdr:to>
      <xdr:col>33</xdr:col>
      <xdr:colOff>425450</xdr:colOff>
      <xdr:row>53</xdr:row>
      <xdr:rowOff>83728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11344</xdr:rowOff>
    </xdr:from>
    <xdr:to>
      <xdr:col>17</xdr:col>
      <xdr:colOff>723900</xdr:colOff>
      <xdr:row>88</xdr:row>
      <xdr:rowOff>153290</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73</xdr:row>
      <xdr:rowOff>171986</xdr:rowOff>
    </xdr:from>
    <xdr:to>
      <xdr:col>18</xdr:col>
      <xdr:colOff>0</xdr:colOff>
      <xdr:row>94</xdr:row>
      <xdr:rowOff>161651</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51</xdr:row>
      <xdr:rowOff>159927</xdr:rowOff>
    </xdr:from>
    <xdr:to>
      <xdr:col>18</xdr:col>
      <xdr:colOff>0</xdr:colOff>
      <xdr:row>71</xdr:row>
      <xdr:rowOff>76478</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26</xdr:row>
      <xdr:rowOff>17903</xdr:rowOff>
    </xdr:from>
    <xdr:to>
      <xdr:col>29</xdr:col>
      <xdr:colOff>800100</xdr:colOff>
      <xdr:row>48</xdr:row>
      <xdr:rowOff>49362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36</xdr:row>
      <xdr:rowOff>174431</xdr:rowOff>
    </xdr:from>
    <xdr:to>
      <xdr:col>29</xdr:col>
      <xdr:colOff>800100</xdr:colOff>
      <xdr:row>57</xdr:row>
      <xdr:rowOff>49362</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144</xdr:row>
      <xdr:rowOff>145338</xdr:rowOff>
    </xdr:from>
    <xdr:to>
      <xdr:col>29</xdr:col>
      <xdr:colOff>800100</xdr:colOff>
      <xdr:row>165</xdr:row>
      <xdr:rowOff>9374</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26</xdr:row>
      <xdr:rowOff>17903</xdr:rowOff>
    </xdr:from>
    <xdr:to>
      <xdr:col>30</xdr:col>
      <xdr:colOff>1168400</xdr:colOff>
      <xdr:row>48</xdr:row>
      <xdr:rowOff>49362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37</xdr:row>
      <xdr:rowOff>11264</xdr:rowOff>
    </xdr:from>
    <xdr:to>
      <xdr:col>30</xdr:col>
      <xdr:colOff>1168400</xdr:colOff>
      <xdr:row>57</xdr:row>
      <xdr:rowOff>49362</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144</xdr:row>
      <xdr:rowOff>145338</xdr:rowOff>
    </xdr:from>
    <xdr:to>
      <xdr:col>30</xdr:col>
      <xdr:colOff>1168400</xdr:colOff>
      <xdr:row>165</xdr:row>
      <xdr:rowOff>9374</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17903</xdr:rowOff>
    </xdr:from>
    <xdr:to>
      <xdr:col>31</xdr:col>
      <xdr:colOff>63500</xdr:colOff>
      <xdr:row>47</xdr:row>
      <xdr:rowOff>174430</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63500</xdr:colOff>
      <xdr:row>57</xdr:row>
      <xdr:rowOff>11262</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596900</xdr:colOff>
      <xdr:row>41</xdr:row>
      <xdr:rowOff>174431</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144</xdr:row>
      <xdr:rowOff>123113</xdr:rowOff>
    </xdr:from>
    <xdr:to>
      <xdr:col>31</xdr:col>
      <xdr:colOff>685800</xdr:colOff>
      <xdr:row>164</xdr:row>
      <xdr:rowOff>9207</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17903</xdr:rowOff>
    </xdr:from>
    <xdr:to>
      <xdr:col>32</xdr:col>
      <xdr:colOff>552450</xdr:colOff>
      <xdr:row>48</xdr:row>
      <xdr:rowOff>49362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86902</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69533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66</xdr:row>
      <xdr:rowOff>29138</xdr:rowOff>
    </xdr:from>
    <xdr:to>
      <xdr:col>9</xdr:col>
      <xdr:colOff>0</xdr:colOff>
      <xdr:row>87</xdr:row>
      <xdr:rowOff>333887</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56983</xdr:rowOff>
    </xdr:from>
    <xdr:to>
      <xdr:col>9</xdr:col>
      <xdr:colOff>19050</xdr:colOff>
      <xdr:row>88</xdr:row>
      <xdr:rowOff>58930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56983</xdr:rowOff>
    </xdr:from>
    <xdr:to>
      <xdr:col>9</xdr:col>
      <xdr:colOff>0</xdr:colOff>
      <xdr:row>88</xdr:row>
      <xdr:rowOff>58930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56983</xdr:rowOff>
    </xdr:from>
    <xdr:to>
      <xdr:col>9</xdr:col>
      <xdr:colOff>0</xdr:colOff>
      <xdr:row>88</xdr:row>
      <xdr:rowOff>58930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72</xdr:row>
      <xdr:rowOff>65146</xdr:rowOff>
    </xdr:from>
    <xdr:to>
      <xdr:col>9</xdr:col>
      <xdr:colOff>0</xdr:colOff>
      <xdr:row>92</xdr:row>
      <xdr:rowOff>139723</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87</xdr:row>
      <xdr:rowOff>292612</xdr:rowOff>
    </xdr:from>
    <xdr:to>
      <xdr:col>9</xdr:col>
      <xdr:colOff>0</xdr:colOff>
      <xdr:row>107</xdr:row>
      <xdr:rowOff>49855</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88</xdr:row>
      <xdr:rowOff>77089</xdr:rowOff>
    </xdr:from>
    <xdr:to>
      <xdr:col>9</xdr:col>
      <xdr:colOff>0</xdr:colOff>
      <xdr:row>108</xdr:row>
      <xdr:rowOff>134146</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20823</xdr:rowOff>
    </xdr:from>
    <xdr:to>
      <xdr:col>9</xdr:col>
      <xdr:colOff>0</xdr:colOff>
      <xdr:row>108</xdr:row>
      <xdr:rowOff>134146</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810</xdr:rowOff>
    </xdr:from>
    <xdr:to>
      <xdr:col>9</xdr:col>
      <xdr:colOff>0</xdr:colOff>
      <xdr:row>109</xdr:row>
      <xdr:rowOff>122285</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110</xdr:row>
      <xdr:rowOff>45911</xdr:rowOff>
    </xdr:from>
    <xdr:to>
      <xdr:col>9</xdr:col>
      <xdr:colOff>0</xdr:colOff>
      <xdr:row>130</xdr:row>
      <xdr:rowOff>145339</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111</xdr:row>
      <xdr:rowOff>83342</xdr:rowOff>
    </xdr:from>
    <xdr:to>
      <xdr:col>9</xdr:col>
      <xdr:colOff>0</xdr:colOff>
      <xdr:row>131</xdr:row>
      <xdr:rowOff>123113</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116101</xdr:rowOff>
    </xdr:from>
    <xdr:to>
      <xdr:col>9</xdr:col>
      <xdr:colOff>0</xdr:colOff>
      <xdr:row>132</xdr:row>
      <xdr:rowOff>123114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88102</xdr:rowOff>
    </xdr:from>
    <xdr:to>
      <xdr:col>9</xdr:col>
      <xdr:colOff>0</xdr:colOff>
      <xdr:row>132</xdr:row>
      <xdr:rowOff>123114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66522</xdr:rowOff>
    </xdr:from>
    <xdr:to>
      <xdr:col>23</xdr:col>
      <xdr:colOff>590550</xdr:colOff>
      <xdr:row>156</xdr:row>
      <xdr:rowOff>47474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159928</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26261</xdr:rowOff>
    </xdr:from>
    <xdr:to>
      <xdr:col>25</xdr:col>
      <xdr:colOff>0</xdr:colOff>
      <xdr:row>54</xdr:row>
      <xdr:rowOff>159928</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66523</xdr:rowOff>
    </xdr:from>
    <xdr:to>
      <xdr:col>25</xdr:col>
      <xdr:colOff>0</xdr:colOff>
      <xdr:row>160</xdr:row>
      <xdr:rowOff>66523</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46</xdr:row>
      <xdr:rowOff>11263</xdr:rowOff>
    </xdr:from>
    <xdr:to>
      <xdr:col>15</xdr:col>
      <xdr:colOff>171450</xdr:colOff>
      <xdr:row>61</xdr:row>
      <xdr:rowOff>189470</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83727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26261</xdr:rowOff>
    </xdr:from>
    <xdr:to>
      <xdr:col>28</xdr:col>
      <xdr:colOff>19050</xdr:colOff>
      <xdr:row>55</xdr:row>
      <xdr:rowOff>68413</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66523</xdr:rowOff>
    </xdr:from>
    <xdr:to>
      <xdr:col>28</xdr:col>
      <xdr:colOff>19050</xdr:colOff>
      <xdr:row>160</xdr:row>
      <xdr:rowOff>145339</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6350</xdr:colOff>
      <xdr:row>48</xdr:row>
      <xdr:rowOff>30312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26261</xdr:rowOff>
    </xdr:from>
    <xdr:to>
      <xdr:col>29</xdr:col>
      <xdr:colOff>6350</xdr:colOff>
      <xdr:row>55</xdr:row>
      <xdr:rowOff>11263</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123113</xdr:rowOff>
    </xdr:from>
    <xdr:to>
      <xdr:col>29</xdr:col>
      <xdr:colOff>6350</xdr:colOff>
      <xdr:row>160</xdr:row>
      <xdr:rowOff>145339</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49</xdr:row>
      <xdr:rowOff>159928</xdr:rowOff>
    </xdr:from>
    <xdr:to>
      <xdr:col>15</xdr:col>
      <xdr:colOff>171450</xdr:colOff>
      <xdr:row>69</xdr:row>
      <xdr:rowOff>95870</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49</xdr:row>
      <xdr:rowOff>159928</xdr:rowOff>
    </xdr:from>
    <xdr:to>
      <xdr:col>17</xdr:col>
      <xdr:colOff>57150</xdr:colOff>
      <xdr:row>69</xdr:row>
      <xdr:rowOff>95870</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126252</xdr:rowOff>
    </xdr:from>
    <xdr:to>
      <xdr:col>33</xdr:col>
      <xdr:colOff>425450</xdr:colOff>
      <xdr:row>52</xdr:row>
      <xdr:rowOff>83728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66</xdr:row>
      <xdr:rowOff>29138</xdr:rowOff>
    </xdr:from>
    <xdr:to>
      <xdr:col>17</xdr:col>
      <xdr:colOff>723900</xdr:colOff>
      <xdr:row>87</xdr:row>
      <xdr:rowOff>333887</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72</xdr:row>
      <xdr:rowOff>38557</xdr:rowOff>
    </xdr:from>
    <xdr:to>
      <xdr:col>18</xdr:col>
      <xdr:colOff>0</xdr:colOff>
      <xdr:row>91</xdr:row>
      <xdr:rowOff>172090</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49</xdr:row>
      <xdr:rowOff>159928</xdr:rowOff>
    </xdr:from>
    <xdr:to>
      <xdr:col>18</xdr:col>
      <xdr:colOff>0</xdr:colOff>
      <xdr:row>69</xdr:row>
      <xdr:rowOff>95870</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787400</xdr:colOff>
      <xdr:row>48</xdr:row>
      <xdr:rowOff>68412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26261</xdr:rowOff>
    </xdr:from>
    <xdr:to>
      <xdr:col>29</xdr:col>
      <xdr:colOff>787400</xdr:colOff>
      <xdr:row>55</xdr:row>
      <xdr:rowOff>68413</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787400</xdr:colOff>
      <xdr:row>162</xdr:row>
      <xdr:rowOff>9208</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68412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26261</xdr:rowOff>
    </xdr:from>
    <xdr:to>
      <xdr:col>30</xdr:col>
      <xdr:colOff>1162050</xdr:colOff>
      <xdr:row>55</xdr:row>
      <xdr:rowOff>68413</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63500</xdr:colOff>
      <xdr:row>48</xdr:row>
      <xdr:rowOff>11262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26261</xdr:rowOff>
    </xdr:from>
    <xdr:to>
      <xdr:col>31</xdr:col>
      <xdr:colOff>63500</xdr:colOff>
      <xdr:row>55</xdr:row>
      <xdr:rowOff>11263</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145338</xdr:rowOff>
    </xdr:from>
    <xdr:to>
      <xdr:col>31</xdr:col>
      <xdr:colOff>673100</xdr:colOff>
      <xdr:row>162</xdr:row>
      <xdr:rowOff>47475</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26</xdr:row>
      <xdr:rowOff>17903</xdr:rowOff>
    </xdr:from>
    <xdr:to>
      <xdr:col>32</xdr:col>
      <xdr:colOff>539750</xdr:colOff>
      <xdr:row>48</xdr:row>
      <xdr:rowOff>68412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35</xdr:row>
      <xdr:rowOff>26261</xdr:rowOff>
    </xdr:from>
    <xdr:to>
      <xdr:col>32</xdr:col>
      <xdr:colOff>539750</xdr:colOff>
      <xdr:row>54</xdr:row>
      <xdr:rowOff>83727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26</xdr:row>
      <xdr:rowOff>17903</xdr:rowOff>
    </xdr:from>
    <xdr:to>
      <xdr:col>29</xdr:col>
      <xdr:colOff>796925</xdr:colOff>
      <xdr:row>30</xdr:row>
      <xdr:rowOff>101848</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37</xdr:row>
      <xdr:rowOff>11264</xdr:rowOff>
    </xdr:from>
    <xdr:to>
      <xdr:col>29</xdr:col>
      <xdr:colOff>796925</xdr:colOff>
      <xdr:row>41</xdr:row>
      <xdr:rowOff>86902</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144</xdr:row>
      <xdr:rowOff>123113</xdr:rowOff>
    </xdr:from>
    <xdr:to>
      <xdr:col>29</xdr:col>
      <xdr:colOff>796925</xdr:colOff>
      <xdr:row>149</xdr:row>
      <xdr:rowOff>9206</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69533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66</xdr:row>
      <xdr:rowOff>29138</xdr:rowOff>
    </xdr:from>
    <xdr:to>
      <xdr:col>9</xdr:col>
      <xdr:colOff>0</xdr:colOff>
      <xdr:row>87</xdr:row>
      <xdr:rowOff>333887</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56983</xdr:rowOff>
    </xdr:from>
    <xdr:to>
      <xdr:col>9</xdr:col>
      <xdr:colOff>19050</xdr:colOff>
      <xdr:row>88</xdr:row>
      <xdr:rowOff>58930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56983</xdr:rowOff>
    </xdr:from>
    <xdr:to>
      <xdr:col>9</xdr:col>
      <xdr:colOff>0</xdr:colOff>
      <xdr:row>88</xdr:row>
      <xdr:rowOff>58930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56983</xdr:rowOff>
    </xdr:from>
    <xdr:to>
      <xdr:col>9</xdr:col>
      <xdr:colOff>0</xdr:colOff>
      <xdr:row>88</xdr:row>
      <xdr:rowOff>58930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72</xdr:row>
      <xdr:rowOff>65146</xdr:rowOff>
    </xdr:from>
    <xdr:to>
      <xdr:col>9</xdr:col>
      <xdr:colOff>0</xdr:colOff>
      <xdr:row>92</xdr:row>
      <xdr:rowOff>139723</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87</xdr:row>
      <xdr:rowOff>292612</xdr:rowOff>
    </xdr:from>
    <xdr:to>
      <xdr:col>9</xdr:col>
      <xdr:colOff>0</xdr:colOff>
      <xdr:row>107</xdr:row>
      <xdr:rowOff>49855</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88</xdr:row>
      <xdr:rowOff>77089</xdr:rowOff>
    </xdr:from>
    <xdr:to>
      <xdr:col>9</xdr:col>
      <xdr:colOff>0</xdr:colOff>
      <xdr:row>108</xdr:row>
      <xdr:rowOff>134146</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89</xdr:row>
      <xdr:rowOff>20823</xdr:rowOff>
    </xdr:from>
    <xdr:to>
      <xdr:col>9</xdr:col>
      <xdr:colOff>0</xdr:colOff>
      <xdr:row>108</xdr:row>
      <xdr:rowOff>134146</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810</xdr:rowOff>
    </xdr:from>
    <xdr:to>
      <xdr:col>9</xdr:col>
      <xdr:colOff>0</xdr:colOff>
      <xdr:row>109</xdr:row>
      <xdr:rowOff>122285</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110</xdr:row>
      <xdr:rowOff>45911</xdr:rowOff>
    </xdr:from>
    <xdr:to>
      <xdr:col>9</xdr:col>
      <xdr:colOff>0</xdr:colOff>
      <xdr:row>130</xdr:row>
      <xdr:rowOff>145339</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111</xdr:row>
      <xdr:rowOff>83342</xdr:rowOff>
    </xdr:from>
    <xdr:to>
      <xdr:col>9</xdr:col>
      <xdr:colOff>0</xdr:colOff>
      <xdr:row>131</xdr:row>
      <xdr:rowOff>123113</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116101</xdr:rowOff>
    </xdr:from>
    <xdr:to>
      <xdr:col>9</xdr:col>
      <xdr:colOff>0</xdr:colOff>
      <xdr:row>132</xdr:row>
      <xdr:rowOff>123114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88102</xdr:rowOff>
    </xdr:from>
    <xdr:to>
      <xdr:col>9</xdr:col>
      <xdr:colOff>0</xdr:colOff>
      <xdr:row>132</xdr:row>
      <xdr:rowOff>123114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66522</xdr:rowOff>
    </xdr:from>
    <xdr:to>
      <xdr:col>23</xdr:col>
      <xdr:colOff>590550</xdr:colOff>
      <xdr:row>156</xdr:row>
      <xdr:rowOff>47474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159928</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26261</xdr:rowOff>
    </xdr:from>
    <xdr:to>
      <xdr:col>25</xdr:col>
      <xdr:colOff>0</xdr:colOff>
      <xdr:row>54</xdr:row>
      <xdr:rowOff>159928</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66523</xdr:rowOff>
    </xdr:from>
    <xdr:to>
      <xdr:col>25</xdr:col>
      <xdr:colOff>0</xdr:colOff>
      <xdr:row>160</xdr:row>
      <xdr:rowOff>66523</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46</xdr:row>
      <xdr:rowOff>11263</xdr:rowOff>
    </xdr:from>
    <xdr:to>
      <xdr:col>15</xdr:col>
      <xdr:colOff>171450</xdr:colOff>
      <xdr:row>61</xdr:row>
      <xdr:rowOff>189470</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83727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26261</xdr:rowOff>
    </xdr:from>
    <xdr:to>
      <xdr:col>28</xdr:col>
      <xdr:colOff>19050</xdr:colOff>
      <xdr:row>55</xdr:row>
      <xdr:rowOff>68413</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66523</xdr:rowOff>
    </xdr:from>
    <xdr:to>
      <xdr:col>28</xdr:col>
      <xdr:colOff>19050</xdr:colOff>
      <xdr:row>160</xdr:row>
      <xdr:rowOff>145339</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6350</xdr:colOff>
      <xdr:row>48</xdr:row>
      <xdr:rowOff>30312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26261</xdr:rowOff>
    </xdr:from>
    <xdr:to>
      <xdr:col>29</xdr:col>
      <xdr:colOff>6350</xdr:colOff>
      <xdr:row>55</xdr:row>
      <xdr:rowOff>11263</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123113</xdr:rowOff>
    </xdr:from>
    <xdr:to>
      <xdr:col>29</xdr:col>
      <xdr:colOff>6350</xdr:colOff>
      <xdr:row>160</xdr:row>
      <xdr:rowOff>145339</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49</xdr:row>
      <xdr:rowOff>159928</xdr:rowOff>
    </xdr:from>
    <xdr:to>
      <xdr:col>15</xdr:col>
      <xdr:colOff>171450</xdr:colOff>
      <xdr:row>69</xdr:row>
      <xdr:rowOff>95870</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49</xdr:row>
      <xdr:rowOff>159928</xdr:rowOff>
    </xdr:from>
    <xdr:to>
      <xdr:col>17</xdr:col>
      <xdr:colOff>57150</xdr:colOff>
      <xdr:row>69</xdr:row>
      <xdr:rowOff>95870</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126252</xdr:rowOff>
    </xdr:from>
    <xdr:to>
      <xdr:col>33</xdr:col>
      <xdr:colOff>425450</xdr:colOff>
      <xdr:row>52</xdr:row>
      <xdr:rowOff>83728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66</xdr:row>
      <xdr:rowOff>29138</xdr:rowOff>
    </xdr:from>
    <xdr:to>
      <xdr:col>17</xdr:col>
      <xdr:colOff>723900</xdr:colOff>
      <xdr:row>87</xdr:row>
      <xdr:rowOff>333887</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72</xdr:row>
      <xdr:rowOff>38557</xdr:rowOff>
    </xdr:from>
    <xdr:to>
      <xdr:col>18</xdr:col>
      <xdr:colOff>0</xdr:colOff>
      <xdr:row>91</xdr:row>
      <xdr:rowOff>172090</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49</xdr:row>
      <xdr:rowOff>159928</xdr:rowOff>
    </xdr:from>
    <xdr:to>
      <xdr:col>18</xdr:col>
      <xdr:colOff>0</xdr:colOff>
      <xdr:row>69</xdr:row>
      <xdr:rowOff>95870</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787400</xdr:colOff>
      <xdr:row>48</xdr:row>
      <xdr:rowOff>68412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26261</xdr:rowOff>
    </xdr:from>
    <xdr:to>
      <xdr:col>29</xdr:col>
      <xdr:colOff>787400</xdr:colOff>
      <xdr:row>55</xdr:row>
      <xdr:rowOff>68413</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787400</xdr:colOff>
      <xdr:row>162</xdr:row>
      <xdr:rowOff>9208</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68412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26261</xdr:rowOff>
    </xdr:from>
    <xdr:to>
      <xdr:col>30</xdr:col>
      <xdr:colOff>1162050</xdr:colOff>
      <xdr:row>55</xdr:row>
      <xdr:rowOff>68413</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63500</xdr:colOff>
      <xdr:row>48</xdr:row>
      <xdr:rowOff>11262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26261</xdr:rowOff>
    </xdr:from>
    <xdr:to>
      <xdr:col>31</xdr:col>
      <xdr:colOff>63500</xdr:colOff>
      <xdr:row>55</xdr:row>
      <xdr:rowOff>11263</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145338</xdr:rowOff>
    </xdr:from>
    <xdr:to>
      <xdr:col>31</xdr:col>
      <xdr:colOff>673100</xdr:colOff>
      <xdr:row>162</xdr:row>
      <xdr:rowOff>47475</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26</xdr:row>
      <xdr:rowOff>17903</xdr:rowOff>
    </xdr:from>
    <xdr:to>
      <xdr:col>32</xdr:col>
      <xdr:colOff>539750</xdr:colOff>
      <xdr:row>48</xdr:row>
      <xdr:rowOff>68412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35</xdr:row>
      <xdr:rowOff>26261</xdr:rowOff>
    </xdr:from>
    <xdr:to>
      <xdr:col>32</xdr:col>
      <xdr:colOff>539750</xdr:colOff>
      <xdr:row>54</xdr:row>
      <xdr:rowOff>83727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26</xdr:row>
      <xdr:rowOff>17903</xdr:rowOff>
    </xdr:from>
    <xdr:to>
      <xdr:col>33</xdr:col>
      <xdr:colOff>444500</xdr:colOff>
      <xdr:row>47</xdr:row>
      <xdr:rowOff>83727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37</xdr:row>
      <xdr:rowOff>11264</xdr:rowOff>
    </xdr:from>
    <xdr:to>
      <xdr:col>33</xdr:col>
      <xdr:colOff>444500</xdr:colOff>
      <xdr:row>56</xdr:row>
      <xdr:rowOff>83727</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144</xdr:row>
      <xdr:rowOff>123113</xdr:rowOff>
    </xdr:from>
    <xdr:to>
      <xdr:col>33</xdr:col>
      <xdr:colOff>444500</xdr:colOff>
      <xdr:row>164</xdr:row>
      <xdr:rowOff>9207</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12</xdr:row>
      <xdr:rowOff>50427</xdr:rowOff>
    </xdr:from>
    <xdr:to>
      <xdr:col>20</xdr:col>
      <xdr:colOff>590550</xdr:colOff>
      <xdr:row>34</xdr:row>
      <xdr:rowOff>103712</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62</xdr:row>
      <xdr:rowOff>122013</xdr:rowOff>
    </xdr:from>
    <xdr:to>
      <xdr:col>9</xdr:col>
      <xdr:colOff>0</xdr:colOff>
      <xdr:row>86</xdr:row>
      <xdr:rowOff>159562</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84066</xdr:rowOff>
    </xdr:from>
    <xdr:to>
      <xdr:col>9</xdr:col>
      <xdr:colOff>19050</xdr:colOff>
      <xdr:row>89</xdr:row>
      <xdr:rowOff>30869</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84066</xdr:rowOff>
    </xdr:from>
    <xdr:to>
      <xdr:col>9</xdr:col>
      <xdr:colOff>0</xdr:colOff>
      <xdr:row>89</xdr:row>
      <xdr:rowOff>30869</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68</xdr:row>
      <xdr:rowOff>84066</xdr:rowOff>
    </xdr:from>
    <xdr:to>
      <xdr:col>9</xdr:col>
      <xdr:colOff>0</xdr:colOff>
      <xdr:row>89</xdr:row>
      <xdr:rowOff>30869</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72</xdr:row>
      <xdr:rowOff>144636</xdr:rowOff>
    </xdr:from>
    <xdr:to>
      <xdr:col>9</xdr:col>
      <xdr:colOff>0</xdr:colOff>
      <xdr:row>92</xdr:row>
      <xdr:rowOff>125554</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78306</xdr:rowOff>
    </xdr:from>
    <xdr:to>
      <xdr:col>9</xdr:col>
      <xdr:colOff>0</xdr:colOff>
      <xdr:row>110</xdr:row>
      <xdr:rowOff>121756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90</xdr:row>
      <xdr:rowOff>172860</xdr:rowOff>
    </xdr:from>
    <xdr:to>
      <xdr:col>9</xdr:col>
      <xdr:colOff>0</xdr:colOff>
      <xdr:row>111</xdr:row>
      <xdr:rowOff>45839</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91</xdr:row>
      <xdr:rowOff>123993</xdr:rowOff>
    </xdr:from>
    <xdr:to>
      <xdr:col>9</xdr:col>
      <xdr:colOff>0</xdr:colOff>
      <xdr:row>111</xdr:row>
      <xdr:rowOff>45839</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92</xdr:row>
      <xdr:rowOff>125554</xdr:rowOff>
    </xdr:from>
    <xdr:to>
      <xdr:col>9</xdr:col>
      <xdr:colOff>0</xdr:colOff>
      <xdr:row>113</xdr:row>
      <xdr:rowOff>27167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112</xdr:row>
      <xdr:rowOff>159736</xdr:rowOff>
    </xdr:from>
    <xdr:to>
      <xdr:col>9</xdr:col>
      <xdr:colOff>0</xdr:colOff>
      <xdr:row>133</xdr:row>
      <xdr:rowOff>26959</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113</xdr:row>
      <xdr:rowOff>173981</xdr:rowOff>
    </xdr:from>
    <xdr:to>
      <xdr:col>9</xdr:col>
      <xdr:colOff>0</xdr:colOff>
      <xdr:row>133</xdr:row>
      <xdr:rowOff>172449</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115</xdr:row>
      <xdr:rowOff>48354</xdr:rowOff>
    </xdr:from>
    <xdr:to>
      <xdr:col>9</xdr:col>
      <xdr:colOff>0</xdr:colOff>
      <xdr:row>135</xdr:row>
      <xdr:rowOff>84110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3225800</xdr:colOff>
      <xdr:row>115</xdr:row>
      <xdr:rowOff>253</xdr:rowOff>
    </xdr:from>
    <xdr:to>
      <xdr:col>9</xdr:col>
      <xdr:colOff>0</xdr:colOff>
      <xdr:row>135</xdr:row>
      <xdr:rowOff>84110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139</xdr:row>
      <xdr:rowOff>26959</xdr:rowOff>
    </xdr:from>
    <xdr:to>
      <xdr:col>23</xdr:col>
      <xdr:colOff>590550</xdr:colOff>
      <xdr:row>159</xdr:row>
      <xdr:rowOff>6483</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21</xdr:row>
      <xdr:rowOff>50426</xdr:rowOff>
    </xdr:from>
    <xdr:to>
      <xdr:col>25</xdr:col>
      <xdr:colOff>0</xdr:colOff>
      <xdr:row>43</xdr:row>
      <xdr:rowOff>8461</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31</xdr:row>
      <xdr:rowOff>44884</xdr:rowOff>
    </xdr:from>
    <xdr:to>
      <xdr:col>25</xdr:col>
      <xdr:colOff>0</xdr:colOff>
      <xdr:row>51</xdr:row>
      <xdr:rowOff>8460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143</xdr:row>
      <xdr:rowOff>26959</xdr:rowOff>
    </xdr:from>
    <xdr:to>
      <xdr:col>25</xdr:col>
      <xdr:colOff>0</xdr:colOff>
      <xdr:row>163</xdr:row>
      <xdr:rowOff>26959</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42</xdr:row>
      <xdr:rowOff>48617</xdr:rowOff>
    </xdr:from>
    <xdr:to>
      <xdr:col>15</xdr:col>
      <xdr:colOff>171450</xdr:colOff>
      <xdr:row>59</xdr:row>
      <xdr:rowOff>257432</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21</xdr:row>
      <xdr:rowOff>50426</xdr:rowOff>
    </xdr:from>
    <xdr:to>
      <xdr:col>28</xdr:col>
      <xdr:colOff>19050</xdr:colOff>
      <xdr:row>42</xdr:row>
      <xdr:rowOff>125377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31</xdr:row>
      <xdr:rowOff>44884</xdr:rowOff>
    </xdr:from>
    <xdr:to>
      <xdr:col>28</xdr:col>
      <xdr:colOff>19050</xdr:colOff>
      <xdr:row>51</xdr:row>
      <xdr:rowOff>103710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143</xdr:row>
      <xdr:rowOff>26959</xdr:rowOff>
    </xdr:from>
    <xdr:to>
      <xdr:col>28</xdr:col>
      <xdr:colOff>19050</xdr:colOff>
      <xdr:row>163</xdr:row>
      <xdr:rowOff>84109</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21</xdr:row>
      <xdr:rowOff>50426</xdr:rowOff>
    </xdr:from>
    <xdr:to>
      <xdr:col>29</xdr:col>
      <xdr:colOff>6350</xdr:colOff>
      <xdr:row>43</xdr:row>
      <xdr:rowOff>65611</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31</xdr:row>
      <xdr:rowOff>44884</xdr:rowOff>
    </xdr:from>
    <xdr:to>
      <xdr:col>29</xdr:col>
      <xdr:colOff>6350</xdr:colOff>
      <xdr:row>51</xdr:row>
      <xdr:rowOff>46560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143</xdr:row>
      <xdr:rowOff>84109</xdr:rowOff>
    </xdr:from>
    <xdr:to>
      <xdr:col>29</xdr:col>
      <xdr:colOff>6350</xdr:colOff>
      <xdr:row>163</xdr:row>
      <xdr:rowOff>84109</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596900</xdr:colOff>
      <xdr:row>46</xdr:row>
      <xdr:rowOff>8462</xdr:rowOff>
    </xdr:from>
    <xdr:to>
      <xdr:col>15</xdr:col>
      <xdr:colOff>171450</xdr:colOff>
      <xdr:row>65</xdr:row>
      <xdr:rowOff>172628</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615950</xdr:colOff>
      <xdr:row>46</xdr:row>
      <xdr:rowOff>8462</xdr:rowOff>
    </xdr:from>
    <xdr:to>
      <xdr:col>17</xdr:col>
      <xdr:colOff>57150</xdr:colOff>
      <xdr:row>65</xdr:row>
      <xdr:rowOff>172628</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27</xdr:row>
      <xdr:rowOff>124053</xdr:rowOff>
    </xdr:from>
    <xdr:to>
      <xdr:col>33</xdr:col>
      <xdr:colOff>425450</xdr:colOff>
      <xdr:row>48</xdr:row>
      <xdr:rowOff>144425</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62</xdr:row>
      <xdr:rowOff>122013</xdr:rowOff>
    </xdr:from>
    <xdr:to>
      <xdr:col>17</xdr:col>
      <xdr:colOff>723900</xdr:colOff>
      <xdr:row>86</xdr:row>
      <xdr:rowOff>159562</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72</xdr:row>
      <xdr:rowOff>115238</xdr:rowOff>
    </xdr:from>
    <xdr:to>
      <xdr:col>18</xdr:col>
      <xdr:colOff>0</xdr:colOff>
      <xdr:row>92</xdr:row>
      <xdr:rowOff>125554</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387350</xdr:colOff>
      <xdr:row>46</xdr:row>
      <xdr:rowOff>8462</xdr:rowOff>
    </xdr:from>
    <xdr:to>
      <xdr:col>18</xdr:col>
      <xdr:colOff>0</xdr:colOff>
      <xdr:row>65</xdr:row>
      <xdr:rowOff>172628</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21</xdr:row>
      <xdr:rowOff>50426</xdr:rowOff>
    </xdr:from>
    <xdr:to>
      <xdr:col>29</xdr:col>
      <xdr:colOff>787400</xdr:colOff>
      <xdr:row>43</xdr:row>
      <xdr:rowOff>103711</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31</xdr:row>
      <xdr:rowOff>44884</xdr:rowOff>
    </xdr:from>
    <xdr:to>
      <xdr:col>29</xdr:col>
      <xdr:colOff>787400</xdr:colOff>
      <xdr:row>51</xdr:row>
      <xdr:rowOff>103710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145</xdr:row>
      <xdr:rowOff>144435</xdr:rowOff>
    </xdr:from>
    <xdr:to>
      <xdr:col>29</xdr:col>
      <xdr:colOff>787400</xdr:colOff>
      <xdr:row>164</xdr:row>
      <xdr:rowOff>172449</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21</xdr:row>
      <xdr:rowOff>69476</xdr:rowOff>
    </xdr:from>
    <xdr:to>
      <xdr:col>30</xdr:col>
      <xdr:colOff>1162050</xdr:colOff>
      <xdr:row>43</xdr:row>
      <xdr:rowOff>103711</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31</xdr:row>
      <xdr:rowOff>44884</xdr:rowOff>
    </xdr:from>
    <xdr:to>
      <xdr:col>30</xdr:col>
      <xdr:colOff>1162050</xdr:colOff>
      <xdr:row>51</xdr:row>
      <xdr:rowOff>103710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145</xdr:row>
      <xdr:rowOff>144435</xdr:rowOff>
    </xdr:from>
    <xdr:to>
      <xdr:col>30</xdr:col>
      <xdr:colOff>1162050</xdr:colOff>
      <xdr:row>164</xdr:row>
      <xdr:rowOff>172449</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21</xdr:row>
      <xdr:rowOff>50426</xdr:rowOff>
    </xdr:from>
    <xdr:to>
      <xdr:col>31</xdr:col>
      <xdr:colOff>63500</xdr:colOff>
      <xdr:row>43</xdr:row>
      <xdr:rowOff>46561</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31</xdr:row>
      <xdr:rowOff>44884</xdr:rowOff>
    </xdr:from>
    <xdr:to>
      <xdr:col>31</xdr:col>
      <xdr:colOff>63500</xdr:colOff>
      <xdr:row>51</xdr:row>
      <xdr:rowOff>46560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145</xdr:row>
      <xdr:rowOff>84110</xdr:rowOff>
    </xdr:from>
    <xdr:to>
      <xdr:col>31</xdr:col>
      <xdr:colOff>673100</xdr:colOff>
      <xdr:row>165</xdr:row>
      <xdr:rowOff>6482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21</xdr:row>
      <xdr:rowOff>69476</xdr:rowOff>
    </xdr:from>
    <xdr:to>
      <xdr:col>32</xdr:col>
      <xdr:colOff>539750</xdr:colOff>
      <xdr:row>43</xdr:row>
      <xdr:rowOff>103711</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238125</xdr:colOff>
      <xdr:row>31</xdr:row>
      <xdr:rowOff>44884</xdr:rowOff>
    </xdr:from>
    <xdr:to>
      <xdr:col>32</xdr:col>
      <xdr:colOff>539750</xdr:colOff>
      <xdr:row>50</xdr:row>
      <xdr:rowOff>125376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21</xdr:row>
      <xdr:rowOff>69476</xdr:rowOff>
    </xdr:from>
    <xdr:to>
      <xdr:col>33</xdr:col>
      <xdr:colOff>444500</xdr:colOff>
      <xdr:row>42</xdr:row>
      <xdr:rowOff>125377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44709</xdr:rowOff>
    </xdr:from>
    <xdr:to>
      <xdr:col>33</xdr:col>
      <xdr:colOff>444500</xdr:colOff>
      <xdr:row>52</xdr:row>
      <xdr:rowOff>125377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147</xdr:row>
      <xdr:rowOff>84108</xdr:rowOff>
    </xdr:from>
    <xdr:to>
      <xdr:col>33</xdr:col>
      <xdr:colOff>444500</xdr:colOff>
      <xdr:row>166</xdr:row>
      <xdr:rowOff>172449</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863600</xdr:colOff>
      <xdr:row>29</xdr:row>
      <xdr:rowOff>45696</xdr:rowOff>
    </xdr:from>
    <xdr:to>
      <xdr:col>33</xdr:col>
      <xdr:colOff>438150</xdr:colOff>
      <xdr:row>33</xdr:row>
      <xdr:rowOff>120827</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69477</xdr:rowOff>
    </xdr:from>
    <xdr:to>
      <xdr:col>22</xdr:col>
      <xdr:colOff>723900</xdr:colOff>
      <xdr:row>33</xdr:row>
      <xdr:rowOff>120827</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69476</xdr:rowOff>
    </xdr:from>
    <xdr:to>
      <xdr:col>27</xdr:col>
      <xdr:colOff>38100</xdr:colOff>
      <xdr:row>45</xdr:row>
      <xdr:rowOff>103711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69476</xdr:rowOff>
    </xdr:from>
    <xdr:to>
      <xdr:col>28</xdr:col>
      <xdr:colOff>38100</xdr:colOff>
      <xdr:row>45</xdr:row>
      <xdr:rowOff>103711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69476</xdr:rowOff>
    </xdr:from>
    <xdr:to>
      <xdr:col>29</xdr:col>
      <xdr:colOff>38100</xdr:colOff>
      <xdr:row>45</xdr:row>
      <xdr:rowOff>103711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69476</xdr:rowOff>
    </xdr:from>
    <xdr:to>
      <xdr:col>30</xdr:col>
      <xdr:colOff>38100</xdr:colOff>
      <xdr:row>45</xdr:row>
      <xdr:rowOff>103711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69476</xdr:rowOff>
    </xdr:from>
    <xdr:to>
      <xdr:col>31</xdr:col>
      <xdr:colOff>38100</xdr:colOff>
      <xdr:row>45</xdr:row>
      <xdr:rowOff>103711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23</xdr:row>
      <xdr:rowOff>69476</xdr:rowOff>
    </xdr:from>
    <xdr:to>
      <xdr:col>32</xdr:col>
      <xdr:colOff>38100</xdr:colOff>
      <xdr:row>45</xdr:row>
      <xdr:rowOff>103711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23</xdr:row>
      <xdr:rowOff>69476</xdr:rowOff>
    </xdr:from>
    <xdr:to>
      <xdr:col>33</xdr:col>
      <xdr:colOff>38100</xdr:colOff>
      <xdr:row>45</xdr:row>
      <xdr:rowOff>103711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23</xdr:row>
      <xdr:rowOff>69476</xdr:rowOff>
    </xdr:from>
    <xdr:to>
      <xdr:col>34</xdr:col>
      <xdr:colOff>38100</xdr:colOff>
      <xdr:row>45</xdr:row>
      <xdr:rowOff>103711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31</xdr:row>
      <xdr:rowOff>25834</xdr:rowOff>
    </xdr:from>
    <xdr:to>
      <xdr:col>34</xdr:col>
      <xdr:colOff>38100</xdr:colOff>
      <xdr:row>51</xdr:row>
      <xdr:rowOff>103710</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25834</xdr:rowOff>
    </xdr:from>
    <xdr:to>
      <xdr:col>38</xdr:col>
      <xdr:colOff>38100</xdr:colOff>
      <xdr:row>51</xdr:row>
      <xdr:rowOff>103710</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45685</xdr:rowOff>
    </xdr:from>
    <xdr:to>
      <xdr:col>27</xdr:col>
      <xdr:colOff>38100</xdr:colOff>
      <xdr:row>55</xdr:row>
      <xdr:rowOff>103711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45685</xdr:rowOff>
    </xdr:from>
    <xdr:to>
      <xdr:col>28</xdr:col>
      <xdr:colOff>38100</xdr:colOff>
      <xdr:row>55</xdr:row>
      <xdr:rowOff>103711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45685</xdr:rowOff>
    </xdr:from>
    <xdr:to>
      <xdr:col>29</xdr:col>
      <xdr:colOff>38100</xdr:colOff>
      <xdr:row>55</xdr:row>
      <xdr:rowOff>103711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45685</xdr:rowOff>
    </xdr:from>
    <xdr:to>
      <xdr:col>30</xdr:col>
      <xdr:colOff>38100</xdr:colOff>
      <xdr:row>55</xdr:row>
      <xdr:rowOff>103711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45685</xdr:rowOff>
    </xdr:from>
    <xdr:to>
      <xdr:col>31</xdr:col>
      <xdr:colOff>38100</xdr:colOff>
      <xdr:row>55</xdr:row>
      <xdr:rowOff>103711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35</xdr:row>
      <xdr:rowOff>45685</xdr:rowOff>
    </xdr:from>
    <xdr:to>
      <xdr:col>32</xdr:col>
      <xdr:colOff>38100</xdr:colOff>
      <xdr:row>55</xdr:row>
      <xdr:rowOff>103711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35</xdr:row>
      <xdr:rowOff>45685</xdr:rowOff>
    </xdr:from>
    <xdr:to>
      <xdr:col>33</xdr:col>
      <xdr:colOff>38100</xdr:colOff>
      <xdr:row>55</xdr:row>
      <xdr:rowOff>103711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35</xdr:row>
      <xdr:rowOff>45685</xdr:rowOff>
    </xdr:from>
    <xdr:to>
      <xdr:col>34</xdr:col>
      <xdr:colOff>38100</xdr:colOff>
      <xdr:row>55</xdr:row>
      <xdr:rowOff>103711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46</xdr:row>
      <xdr:rowOff>46562</xdr:rowOff>
    </xdr:from>
    <xdr:to>
      <xdr:col>15</xdr:col>
      <xdr:colOff>495300</xdr:colOff>
      <xdr:row>62</xdr:row>
      <xdr:rowOff>105169</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50</xdr:row>
      <xdr:rowOff>46562</xdr:rowOff>
    </xdr:from>
    <xdr:to>
      <xdr:col>15</xdr:col>
      <xdr:colOff>495300</xdr:colOff>
      <xdr:row>70</xdr:row>
      <xdr:rowOff>75683</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577850</xdr:colOff>
      <xdr:row>50</xdr:row>
      <xdr:rowOff>46562</xdr:rowOff>
    </xdr:from>
    <xdr:to>
      <xdr:col>16</xdr:col>
      <xdr:colOff>704850</xdr:colOff>
      <xdr:row>70</xdr:row>
      <xdr:rowOff>75683</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50</xdr:row>
      <xdr:rowOff>46562</xdr:rowOff>
    </xdr:from>
    <xdr:to>
      <xdr:col>17</xdr:col>
      <xdr:colOff>628650</xdr:colOff>
      <xdr:row>70</xdr:row>
      <xdr:rowOff>75683</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63</xdr:row>
      <xdr:rowOff>150626</xdr:rowOff>
    </xdr:from>
    <xdr:to>
      <xdr:col>9</xdr:col>
      <xdr:colOff>19050</xdr:colOff>
      <xdr:row>86</xdr:row>
      <xdr:rowOff>159562</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63</xdr:row>
      <xdr:rowOff>150626</xdr:rowOff>
    </xdr:from>
    <xdr:to>
      <xdr:col>17</xdr:col>
      <xdr:colOff>628650</xdr:colOff>
      <xdr:row>86</xdr:row>
      <xdr:rowOff>159562</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71</xdr:row>
      <xdr:rowOff>115195</xdr:rowOff>
    </xdr:from>
    <xdr:to>
      <xdr:col>9</xdr:col>
      <xdr:colOff>19050</xdr:colOff>
      <xdr:row>91</xdr:row>
      <xdr:rowOff>121939</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73</xdr:row>
      <xdr:rowOff>125544</xdr:rowOff>
    </xdr:from>
    <xdr:to>
      <xdr:col>9</xdr:col>
      <xdr:colOff>19050</xdr:colOff>
      <xdr:row>93</xdr:row>
      <xdr:rowOff>142180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74</xdr:row>
      <xdr:rowOff>123905</xdr:rowOff>
    </xdr:from>
    <xdr:to>
      <xdr:col>9</xdr:col>
      <xdr:colOff>19050</xdr:colOff>
      <xdr:row>94</xdr:row>
      <xdr:rowOff>161228</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76</xdr:row>
      <xdr:rowOff>188</xdr:rowOff>
    </xdr:from>
    <xdr:to>
      <xdr:col>9</xdr:col>
      <xdr:colOff>19050</xdr:colOff>
      <xdr:row>96</xdr:row>
      <xdr:rowOff>45126</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76</xdr:row>
      <xdr:rowOff>188</xdr:rowOff>
    </xdr:from>
    <xdr:to>
      <xdr:col>17</xdr:col>
      <xdr:colOff>628650</xdr:colOff>
      <xdr:row>96</xdr:row>
      <xdr:rowOff>45126</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96</xdr:row>
      <xdr:rowOff>83226</xdr:rowOff>
    </xdr:from>
    <xdr:to>
      <xdr:col>9</xdr:col>
      <xdr:colOff>19050</xdr:colOff>
      <xdr:row>116</xdr:row>
      <xdr:rowOff>45246</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97</xdr:row>
      <xdr:rowOff>83785</xdr:rowOff>
    </xdr:from>
    <xdr:to>
      <xdr:col>9</xdr:col>
      <xdr:colOff>19050</xdr:colOff>
      <xdr:row>116</xdr:row>
      <xdr:rowOff>124281</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98</xdr:row>
      <xdr:rowOff>69660</xdr:rowOff>
    </xdr:from>
    <xdr:to>
      <xdr:col>9</xdr:col>
      <xdr:colOff>19050</xdr:colOff>
      <xdr:row>118</xdr:row>
      <xdr:rowOff>64231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99</xdr:row>
      <xdr:rowOff>84109</xdr:rowOff>
    </xdr:from>
    <xdr:to>
      <xdr:col>9</xdr:col>
      <xdr:colOff>19050</xdr:colOff>
      <xdr:row>119</xdr:row>
      <xdr:rowOff>64231</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120</xdr:row>
      <xdr:rowOff>25659</xdr:rowOff>
    </xdr:from>
    <xdr:to>
      <xdr:col>9</xdr:col>
      <xdr:colOff>19050</xdr:colOff>
      <xdr:row>140</xdr:row>
      <xdr:rowOff>144434</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121</xdr:row>
      <xdr:rowOff>9782</xdr:rowOff>
    </xdr:from>
    <xdr:to>
      <xdr:col>9</xdr:col>
      <xdr:colOff>19050</xdr:colOff>
      <xdr:row>141</xdr:row>
      <xdr:rowOff>144435</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122</xdr:row>
      <xdr:rowOff>26671</xdr:rowOff>
    </xdr:from>
    <xdr:to>
      <xdr:col>9</xdr:col>
      <xdr:colOff>19050</xdr:colOff>
      <xdr:row>142</xdr:row>
      <xdr:rowOff>26959</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123</xdr:row>
      <xdr:rowOff>26671</xdr:rowOff>
    </xdr:from>
    <xdr:to>
      <xdr:col>9</xdr:col>
      <xdr:colOff>19050</xdr:colOff>
      <xdr:row>143</xdr:row>
      <xdr:rowOff>26959</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84109</xdr:rowOff>
    </xdr:from>
    <xdr:to>
      <xdr:col>26</xdr:col>
      <xdr:colOff>38100</xdr:colOff>
      <xdr:row>166</xdr:row>
      <xdr:rowOff>144435</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84109</xdr:rowOff>
    </xdr:from>
    <xdr:to>
      <xdr:col>27</xdr:col>
      <xdr:colOff>38100</xdr:colOff>
      <xdr:row>169</xdr:row>
      <xdr:rowOff>144435</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84109</xdr:rowOff>
    </xdr:from>
    <xdr:to>
      <xdr:col>28</xdr:col>
      <xdr:colOff>38100</xdr:colOff>
      <xdr:row>169</xdr:row>
      <xdr:rowOff>144435</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84109</xdr:rowOff>
    </xdr:from>
    <xdr:to>
      <xdr:col>29</xdr:col>
      <xdr:colOff>38100</xdr:colOff>
      <xdr:row>169</xdr:row>
      <xdr:rowOff>144435</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84109</xdr:rowOff>
    </xdr:from>
    <xdr:to>
      <xdr:col>30</xdr:col>
      <xdr:colOff>38100</xdr:colOff>
      <xdr:row>169</xdr:row>
      <xdr:rowOff>144435</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84109</xdr:rowOff>
    </xdr:from>
    <xdr:to>
      <xdr:col>31</xdr:col>
      <xdr:colOff>38100</xdr:colOff>
      <xdr:row>169</xdr:row>
      <xdr:rowOff>144435</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149</xdr:row>
      <xdr:rowOff>84109</xdr:rowOff>
    </xdr:from>
    <xdr:to>
      <xdr:col>32</xdr:col>
      <xdr:colOff>38100</xdr:colOff>
      <xdr:row>169</xdr:row>
      <xdr:rowOff>144435</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149</xdr:row>
      <xdr:rowOff>84109</xdr:rowOff>
    </xdr:from>
    <xdr:to>
      <xdr:col>34</xdr:col>
      <xdr:colOff>38100</xdr:colOff>
      <xdr:row>169</xdr:row>
      <xdr:rowOff>144435</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31</xdr:row>
      <xdr:rowOff>25834</xdr:rowOff>
    </xdr:from>
    <xdr:to>
      <xdr:col>34</xdr:col>
      <xdr:colOff>38100</xdr:colOff>
      <xdr:row>51</xdr:row>
      <xdr:rowOff>103710</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371475</xdr:colOff>
      <xdr:row>31</xdr:row>
      <xdr:rowOff>25834</xdr:rowOff>
    </xdr:from>
    <xdr:to>
      <xdr:col>38</xdr:col>
      <xdr:colOff>38100</xdr:colOff>
      <xdr:row>51</xdr:row>
      <xdr:rowOff>103710</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257175</xdr:colOff>
      <xdr:row>35</xdr:row>
      <xdr:rowOff>45685</xdr:rowOff>
    </xdr:from>
    <xdr:to>
      <xdr:col>27</xdr:col>
      <xdr:colOff>38100</xdr:colOff>
      <xdr:row>55</xdr:row>
      <xdr:rowOff>103711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35</xdr:row>
      <xdr:rowOff>45685</xdr:rowOff>
    </xdr:from>
    <xdr:to>
      <xdr:col>28</xdr:col>
      <xdr:colOff>38100</xdr:colOff>
      <xdr:row>55</xdr:row>
      <xdr:rowOff>103711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35</xdr:row>
      <xdr:rowOff>45685</xdr:rowOff>
    </xdr:from>
    <xdr:to>
      <xdr:col>29</xdr:col>
      <xdr:colOff>38100</xdr:colOff>
      <xdr:row>55</xdr:row>
      <xdr:rowOff>103711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35</xdr:row>
      <xdr:rowOff>45685</xdr:rowOff>
    </xdr:from>
    <xdr:to>
      <xdr:col>30</xdr:col>
      <xdr:colOff>38100</xdr:colOff>
      <xdr:row>55</xdr:row>
      <xdr:rowOff>103711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35</xdr:row>
      <xdr:rowOff>45685</xdr:rowOff>
    </xdr:from>
    <xdr:to>
      <xdr:col>31</xdr:col>
      <xdr:colOff>38100</xdr:colOff>
      <xdr:row>55</xdr:row>
      <xdr:rowOff>103711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35</xdr:row>
      <xdr:rowOff>45685</xdr:rowOff>
    </xdr:from>
    <xdr:to>
      <xdr:col>32</xdr:col>
      <xdr:colOff>38100</xdr:colOff>
      <xdr:row>55</xdr:row>
      <xdr:rowOff>103711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35</xdr:row>
      <xdr:rowOff>45685</xdr:rowOff>
    </xdr:from>
    <xdr:to>
      <xdr:col>33</xdr:col>
      <xdr:colOff>38100</xdr:colOff>
      <xdr:row>55</xdr:row>
      <xdr:rowOff>103711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35</xdr:row>
      <xdr:rowOff>45685</xdr:rowOff>
    </xdr:from>
    <xdr:to>
      <xdr:col>34</xdr:col>
      <xdr:colOff>38100</xdr:colOff>
      <xdr:row>55</xdr:row>
      <xdr:rowOff>103711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46</xdr:row>
      <xdr:rowOff>46562</xdr:rowOff>
    </xdr:from>
    <xdr:to>
      <xdr:col>15</xdr:col>
      <xdr:colOff>495300</xdr:colOff>
      <xdr:row>62</xdr:row>
      <xdr:rowOff>105169</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50</xdr:row>
      <xdr:rowOff>46562</xdr:rowOff>
    </xdr:from>
    <xdr:to>
      <xdr:col>15</xdr:col>
      <xdr:colOff>495300</xdr:colOff>
      <xdr:row>70</xdr:row>
      <xdr:rowOff>75683</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587375</xdr:colOff>
      <xdr:row>50</xdr:row>
      <xdr:rowOff>46562</xdr:rowOff>
    </xdr:from>
    <xdr:to>
      <xdr:col>16</xdr:col>
      <xdr:colOff>704850</xdr:colOff>
      <xdr:row>70</xdr:row>
      <xdr:rowOff>75683</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50</xdr:row>
      <xdr:rowOff>46562</xdr:rowOff>
    </xdr:from>
    <xdr:to>
      <xdr:col>17</xdr:col>
      <xdr:colOff>638175</xdr:colOff>
      <xdr:row>70</xdr:row>
      <xdr:rowOff>75683</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63</xdr:row>
      <xdr:rowOff>150626</xdr:rowOff>
    </xdr:from>
    <xdr:to>
      <xdr:col>9</xdr:col>
      <xdr:colOff>19050</xdr:colOff>
      <xdr:row>86</xdr:row>
      <xdr:rowOff>159562</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63</xdr:row>
      <xdr:rowOff>150626</xdr:rowOff>
    </xdr:from>
    <xdr:to>
      <xdr:col>17</xdr:col>
      <xdr:colOff>638175</xdr:colOff>
      <xdr:row>86</xdr:row>
      <xdr:rowOff>159562</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71</xdr:row>
      <xdr:rowOff>115195</xdr:rowOff>
    </xdr:from>
    <xdr:to>
      <xdr:col>9</xdr:col>
      <xdr:colOff>19050</xdr:colOff>
      <xdr:row>91</xdr:row>
      <xdr:rowOff>142483</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73</xdr:row>
      <xdr:rowOff>125544</xdr:rowOff>
    </xdr:from>
    <xdr:to>
      <xdr:col>9</xdr:col>
      <xdr:colOff>19050</xdr:colOff>
      <xdr:row>93</xdr:row>
      <xdr:rowOff>132907</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74</xdr:row>
      <xdr:rowOff>123905</xdr:rowOff>
    </xdr:from>
    <xdr:to>
      <xdr:col>9</xdr:col>
      <xdr:colOff>19050</xdr:colOff>
      <xdr:row>94</xdr:row>
      <xdr:rowOff>134147</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76</xdr:row>
      <xdr:rowOff>188</xdr:rowOff>
    </xdr:from>
    <xdr:to>
      <xdr:col>9</xdr:col>
      <xdr:colOff>19050</xdr:colOff>
      <xdr:row>96</xdr:row>
      <xdr:rowOff>45126</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76</xdr:row>
      <xdr:rowOff>188</xdr:rowOff>
    </xdr:from>
    <xdr:to>
      <xdr:col>17</xdr:col>
      <xdr:colOff>638175</xdr:colOff>
      <xdr:row>96</xdr:row>
      <xdr:rowOff>45126</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96</xdr:row>
      <xdr:rowOff>83226</xdr:rowOff>
    </xdr:from>
    <xdr:to>
      <xdr:col>9</xdr:col>
      <xdr:colOff>19050</xdr:colOff>
      <xdr:row>116</xdr:row>
      <xdr:rowOff>45246</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97</xdr:row>
      <xdr:rowOff>83785</xdr:rowOff>
    </xdr:from>
    <xdr:to>
      <xdr:col>9</xdr:col>
      <xdr:colOff>19050</xdr:colOff>
      <xdr:row>116</xdr:row>
      <xdr:rowOff>124281</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98</xdr:row>
      <xdr:rowOff>69660</xdr:rowOff>
    </xdr:from>
    <xdr:to>
      <xdr:col>9</xdr:col>
      <xdr:colOff>19050</xdr:colOff>
      <xdr:row>118</xdr:row>
      <xdr:rowOff>64231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99</xdr:row>
      <xdr:rowOff>84109</xdr:rowOff>
    </xdr:from>
    <xdr:to>
      <xdr:col>9</xdr:col>
      <xdr:colOff>19050</xdr:colOff>
      <xdr:row>119</xdr:row>
      <xdr:rowOff>64231</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120</xdr:row>
      <xdr:rowOff>25659</xdr:rowOff>
    </xdr:from>
    <xdr:to>
      <xdr:col>9</xdr:col>
      <xdr:colOff>19050</xdr:colOff>
      <xdr:row>140</xdr:row>
      <xdr:rowOff>144434</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121</xdr:row>
      <xdr:rowOff>9782</xdr:rowOff>
    </xdr:from>
    <xdr:to>
      <xdr:col>9</xdr:col>
      <xdr:colOff>19050</xdr:colOff>
      <xdr:row>141</xdr:row>
      <xdr:rowOff>144435</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122</xdr:row>
      <xdr:rowOff>26671</xdr:rowOff>
    </xdr:from>
    <xdr:to>
      <xdr:col>9</xdr:col>
      <xdr:colOff>19050</xdr:colOff>
      <xdr:row>142</xdr:row>
      <xdr:rowOff>26959</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123</xdr:row>
      <xdr:rowOff>26671</xdr:rowOff>
    </xdr:from>
    <xdr:to>
      <xdr:col>9</xdr:col>
      <xdr:colOff>19050</xdr:colOff>
      <xdr:row>143</xdr:row>
      <xdr:rowOff>26959</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257175</xdr:colOff>
      <xdr:row>146</xdr:row>
      <xdr:rowOff>84109</xdr:rowOff>
    </xdr:from>
    <xdr:to>
      <xdr:col>26</xdr:col>
      <xdr:colOff>38100</xdr:colOff>
      <xdr:row>166</xdr:row>
      <xdr:rowOff>144435</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257175</xdr:colOff>
      <xdr:row>149</xdr:row>
      <xdr:rowOff>84109</xdr:rowOff>
    </xdr:from>
    <xdr:to>
      <xdr:col>27</xdr:col>
      <xdr:colOff>38100</xdr:colOff>
      <xdr:row>169</xdr:row>
      <xdr:rowOff>144435</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149</xdr:row>
      <xdr:rowOff>84109</xdr:rowOff>
    </xdr:from>
    <xdr:to>
      <xdr:col>28</xdr:col>
      <xdr:colOff>38100</xdr:colOff>
      <xdr:row>169</xdr:row>
      <xdr:rowOff>144435</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149</xdr:row>
      <xdr:rowOff>84109</xdr:rowOff>
    </xdr:from>
    <xdr:to>
      <xdr:col>29</xdr:col>
      <xdr:colOff>38100</xdr:colOff>
      <xdr:row>169</xdr:row>
      <xdr:rowOff>144435</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149</xdr:row>
      <xdr:rowOff>84109</xdr:rowOff>
    </xdr:from>
    <xdr:to>
      <xdr:col>30</xdr:col>
      <xdr:colOff>38100</xdr:colOff>
      <xdr:row>169</xdr:row>
      <xdr:rowOff>144435</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149</xdr:row>
      <xdr:rowOff>84109</xdr:rowOff>
    </xdr:from>
    <xdr:to>
      <xdr:col>31</xdr:col>
      <xdr:colOff>38100</xdr:colOff>
      <xdr:row>169</xdr:row>
      <xdr:rowOff>144435</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149</xdr:row>
      <xdr:rowOff>84109</xdr:rowOff>
    </xdr:from>
    <xdr:to>
      <xdr:col>32</xdr:col>
      <xdr:colOff>38100</xdr:colOff>
      <xdr:row>169</xdr:row>
      <xdr:rowOff>144435</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149</xdr:row>
      <xdr:rowOff>84109</xdr:rowOff>
    </xdr:from>
    <xdr:to>
      <xdr:col>34</xdr:col>
      <xdr:colOff>38100</xdr:colOff>
      <xdr:row>169</xdr:row>
      <xdr:rowOff>144435</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371475</xdr:colOff>
      <xdr:row>35</xdr:row>
      <xdr:rowOff>45685</xdr:rowOff>
    </xdr:from>
    <xdr:to>
      <xdr:col>30</xdr:col>
      <xdr:colOff>819150</xdr:colOff>
      <xdr:row>39</xdr:row>
      <xdr:rowOff>125376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371475</xdr:colOff>
      <xdr:row>149</xdr:row>
      <xdr:rowOff>84109</xdr:rowOff>
    </xdr:from>
    <xdr:to>
      <xdr:col>30</xdr:col>
      <xdr:colOff>819150</xdr:colOff>
      <xdr:row>153</xdr:row>
      <xdr:rowOff>172449</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257175</xdr:colOff>
      <xdr:row>12</xdr:row>
      <xdr:rowOff>69477</xdr:rowOff>
    </xdr:from>
    <xdr:to>
      <xdr:col>18</xdr:col>
      <xdr:colOff>809625</xdr:colOff>
      <xdr:row>16</xdr:row>
      <xdr:rowOff>141941</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371475</xdr:colOff>
      <xdr:row>20</xdr:row>
      <xdr:rowOff>69476</xdr:rowOff>
    </xdr:from>
    <xdr:to>
      <xdr:col>30</xdr:col>
      <xdr:colOff>819150</xdr:colOff>
      <xdr:row>24</xdr:row>
      <xdr:rowOff>140003</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257175</xdr:colOff>
      <xdr:row>23</xdr:row>
      <xdr:rowOff>69476</xdr:rowOff>
    </xdr:from>
    <xdr:to>
      <xdr:col>23</xdr:col>
      <xdr:colOff>47625</xdr:colOff>
      <xdr:row>27</xdr:row>
      <xdr:rowOff>124053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23</xdr:row>
      <xdr:rowOff>69476</xdr:rowOff>
    </xdr:from>
    <xdr:to>
      <xdr:col>24</xdr:col>
      <xdr:colOff>47625</xdr:colOff>
      <xdr:row>27</xdr:row>
      <xdr:rowOff>124053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23</xdr:row>
      <xdr:rowOff>69476</xdr:rowOff>
    </xdr:from>
    <xdr:to>
      <xdr:col>25</xdr:col>
      <xdr:colOff>47625</xdr:colOff>
      <xdr:row>27</xdr:row>
      <xdr:rowOff>124053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23</xdr:row>
      <xdr:rowOff>69476</xdr:rowOff>
    </xdr:from>
    <xdr:to>
      <xdr:col>26</xdr:col>
      <xdr:colOff>47625</xdr:colOff>
      <xdr:row>27</xdr:row>
      <xdr:rowOff>124053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23</xdr:row>
      <xdr:rowOff>69476</xdr:rowOff>
    </xdr:from>
    <xdr:to>
      <xdr:col>27</xdr:col>
      <xdr:colOff>38100</xdr:colOff>
      <xdr:row>27</xdr:row>
      <xdr:rowOff>124053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23</xdr:row>
      <xdr:rowOff>69476</xdr:rowOff>
    </xdr:from>
    <xdr:to>
      <xdr:col>28</xdr:col>
      <xdr:colOff>38100</xdr:colOff>
      <xdr:row>27</xdr:row>
      <xdr:rowOff>124053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23</xdr:row>
      <xdr:rowOff>69476</xdr:rowOff>
    </xdr:from>
    <xdr:to>
      <xdr:col>29</xdr:col>
      <xdr:colOff>38100</xdr:colOff>
      <xdr:row>27</xdr:row>
      <xdr:rowOff>124053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23</xdr:row>
      <xdr:rowOff>69476</xdr:rowOff>
    </xdr:from>
    <xdr:to>
      <xdr:col>29</xdr:col>
      <xdr:colOff>819150</xdr:colOff>
      <xdr:row>27</xdr:row>
      <xdr:rowOff>124053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371475</xdr:colOff>
      <xdr:row>23</xdr:row>
      <xdr:rowOff>69476</xdr:rowOff>
    </xdr:from>
    <xdr:to>
      <xdr:col>30</xdr:col>
      <xdr:colOff>819150</xdr:colOff>
      <xdr:row>27</xdr:row>
      <xdr:rowOff>124053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31</xdr:row>
      <xdr:rowOff>25834</xdr:rowOff>
    </xdr:from>
    <xdr:to>
      <xdr:col>34</xdr:col>
      <xdr:colOff>38100</xdr:colOff>
      <xdr:row>51</xdr:row>
      <xdr:rowOff>103710</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25834</xdr:rowOff>
    </xdr:from>
    <xdr:to>
      <xdr:col>38</xdr:col>
      <xdr:colOff>38100</xdr:colOff>
      <xdr:row>51</xdr:row>
      <xdr:rowOff>103710</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45685</xdr:rowOff>
    </xdr:from>
    <xdr:to>
      <xdr:col>27</xdr:col>
      <xdr:colOff>38100</xdr:colOff>
      <xdr:row>55</xdr:row>
      <xdr:rowOff>103711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45685</xdr:rowOff>
    </xdr:from>
    <xdr:to>
      <xdr:col>28</xdr:col>
      <xdr:colOff>38100</xdr:colOff>
      <xdr:row>55</xdr:row>
      <xdr:rowOff>103711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45685</xdr:rowOff>
    </xdr:from>
    <xdr:to>
      <xdr:col>29</xdr:col>
      <xdr:colOff>38100</xdr:colOff>
      <xdr:row>55</xdr:row>
      <xdr:rowOff>103711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45685</xdr:rowOff>
    </xdr:from>
    <xdr:to>
      <xdr:col>30</xdr:col>
      <xdr:colOff>38100</xdr:colOff>
      <xdr:row>55</xdr:row>
      <xdr:rowOff>103711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45685</xdr:rowOff>
    </xdr:from>
    <xdr:to>
      <xdr:col>31</xdr:col>
      <xdr:colOff>38100</xdr:colOff>
      <xdr:row>55</xdr:row>
      <xdr:rowOff>103711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35</xdr:row>
      <xdr:rowOff>45685</xdr:rowOff>
    </xdr:from>
    <xdr:to>
      <xdr:col>32</xdr:col>
      <xdr:colOff>38100</xdr:colOff>
      <xdr:row>55</xdr:row>
      <xdr:rowOff>103711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35</xdr:row>
      <xdr:rowOff>45685</xdr:rowOff>
    </xdr:from>
    <xdr:to>
      <xdr:col>33</xdr:col>
      <xdr:colOff>38100</xdr:colOff>
      <xdr:row>55</xdr:row>
      <xdr:rowOff>103711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35</xdr:row>
      <xdr:rowOff>45685</xdr:rowOff>
    </xdr:from>
    <xdr:to>
      <xdr:col>34</xdr:col>
      <xdr:colOff>38100</xdr:colOff>
      <xdr:row>55</xdr:row>
      <xdr:rowOff>103711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46</xdr:row>
      <xdr:rowOff>46562</xdr:rowOff>
    </xdr:from>
    <xdr:to>
      <xdr:col>15</xdr:col>
      <xdr:colOff>495300</xdr:colOff>
      <xdr:row>62</xdr:row>
      <xdr:rowOff>105169</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50</xdr:row>
      <xdr:rowOff>46562</xdr:rowOff>
    </xdr:from>
    <xdr:to>
      <xdr:col>15</xdr:col>
      <xdr:colOff>495300</xdr:colOff>
      <xdr:row>70</xdr:row>
      <xdr:rowOff>75683</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577850</xdr:colOff>
      <xdr:row>50</xdr:row>
      <xdr:rowOff>46562</xdr:rowOff>
    </xdr:from>
    <xdr:to>
      <xdr:col>16</xdr:col>
      <xdr:colOff>704850</xdr:colOff>
      <xdr:row>70</xdr:row>
      <xdr:rowOff>75683</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50</xdr:row>
      <xdr:rowOff>46562</xdr:rowOff>
    </xdr:from>
    <xdr:to>
      <xdr:col>17</xdr:col>
      <xdr:colOff>628650</xdr:colOff>
      <xdr:row>70</xdr:row>
      <xdr:rowOff>75683</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63</xdr:row>
      <xdr:rowOff>150626</xdr:rowOff>
    </xdr:from>
    <xdr:to>
      <xdr:col>9</xdr:col>
      <xdr:colOff>19050</xdr:colOff>
      <xdr:row>86</xdr:row>
      <xdr:rowOff>159562</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63</xdr:row>
      <xdr:rowOff>150626</xdr:rowOff>
    </xdr:from>
    <xdr:to>
      <xdr:col>17</xdr:col>
      <xdr:colOff>628650</xdr:colOff>
      <xdr:row>86</xdr:row>
      <xdr:rowOff>159562</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71</xdr:row>
      <xdr:rowOff>115195</xdr:rowOff>
    </xdr:from>
    <xdr:to>
      <xdr:col>9</xdr:col>
      <xdr:colOff>19050</xdr:colOff>
      <xdr:row>91</xdr:row>
      <xdr:rowOff>142483</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73</xdr:row>
      <xdr:rowOff>125544</xdr:rowOff>
    </xdr:from>
    <xdr:to>
      <xdr:col>9</xdr:col>
      <xdr:colOff>19050</xdr:colOff>
      <xdr:row>93</xdr:row>
      <xdr:rowOff>132907</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74</xdr:row>
      <xdr:rowOff>123905</xdr:rowOff>
    </xdr:from>
    <xdr:to>
      <xdr:col>9</xdr:col>
      <xdr:colOff>19050</xdr:colOff>
      <xdr:row>94</xdr:row>
      <xdr:rowOff>134147</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76</xdr:row>
      <xdr:rowOff>188</xdr:rowOff>
    </xdr:from>
    <xdr:to>
      <xdr:col>9</xdr:col>
      <xdr:colOff>19050</xdr:colOff>
      <xdr:row>96</xdr:row>
      <xdr:rowOff>45126</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76</xdr:row>
      <xdr:rowOff>188</xdr:rowOff>
    </xdr:from>
    <xdr:to>
      <xdr:col>17</xdr:col>
      <xdr:colOff>628650</xdr:colOff>
      <xdr:row>96</xdr:row>
      <xdr:rowOff>45126</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96</xdr:row>
      <xdr:rowOff>83226</xdr:rowOff>
    </xdr:from>
    <xdr:to>
      <xdr:col>9</xdr:col>
      <xdr:colOff>19050</xdr:colOff>
      <xdr:row>116</xdr:row>
      <xdr:rowOff>45246</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97</xdr:row>
      <xdr:rowOff>83785</xdr:rowOff>
    </xdr:from>
    <xdr:to>
      <xdr:col>9</xdr:col>
      <xdr:colOff>19050</xdr:colOff>
      <xdr:row>116</xdr:row>
      <xdr:rowOff>124281</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98</xdr:row>
      <xdr:rowOff>69660</xdr:rowOff>
    </xdr:from>
    <xdr:to>
      <xdr:col>9</xdr:col>
      <xdr:colOff>19050</xdr:colOff>
      <xdr:row>118</xdr:row>
      <xdr:rowOff>64231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99</xdr:row>
      <xdr:rowOff>84109</xdr:rowOff>
    </xdr:from>
    <xdr:to>
      <xdr:col>9</xdr:col>
      <xdr:colOff>19050</xdr:colOff>
      <xdr:row>119</xdr:row>
      <xdr:rowOff>64231</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120</xdr:row>
      <xdr:rowOff>25659</xdr:rowOff>
    </xdr:from>
    <xdr:to>
      <xdr:col>9</xdr:col>
      <xdr:colOff>19050</xdr:colOff>
      <xdr:row>140</xdr:row>
      <xdr:rowOff>144434</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121</xdr:row>
      <xdr:rowOff>9782</xdr:rowOff>
    </xdr:from>
    <xdr:to>
      <xdr:col>9</xdr:col>
      <xdr:colOff>19050</xdr:colOff>
      <xdr:row>141</xdr:row>
      <xdr:rowOff>144435</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122</xdr:row>
      <xdr:rowOff>26671</xdr:rowOff>
    </xdr:from>
    <xdr:to>
      <xdr:col>9</xdr:col>
      <xdr:colOff>19050</xdr:colOff>
      <xdr:row>142</xdr:row>
      <xdr:rowOff>26959</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123</xdr:row>
      <xdr:rowOff>26671</xdr:rowOff>
    </xdr:from>
    <xdr:to>
      <xdr:col>9</xdr:col>
      <xdr:colOff>19050</xdr:colOff>
      <xdr:row>143</xdr:row>
      <xdr:rowOff>26959</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84109</xdr:rowOff>
    </xdr:from>
    <xdr:to>
      <xdr:col>26</xdr:col>
      <xdr:colOff>38100</xdr:colOff>
      <xdr:row>166</xdr:row>
      <xdr:rowOff>144435</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84109</xdr:rowOff>
    </xdr:from>
    <xdr:to>
      <xdr:col>27</xdr:col>
      <xdr:colOff>38100</xdr:colOff>
      <xdr:row>169</xdr:row>
      <xdr:rowOff>144435</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84109</xdr:rowOff>
    </xdr:from>
    <xdr:to>
      <xdr:col>28</xdr:col>
      <xdr:colOff>38100</xdr:colOff>
      <xdr:row>169</xdr:row>
      <xdr:rowOff>144435</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84109</xdr:rowOff>
    </xdr:from>
    <xdr:to>
      <xdr:col>29</xdr:col>
      <xdr:colOff>38100</xdr:colOff>
      <xdr:row>169</xdr:row>
      <xdr:rowOff>144435</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84109</xdr:rowOff>
    </xdr:from>
    <xdr:to>
      <xdr:col>30</xdr:col>
      <xdr:colOff>38100</xdr:colOff>
      <xdr:row>169</xdr:row>
      <xdr:rowOff>144435</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84109</xdr:rowOff>
    </xdr:from>
    <xdr:to>
      <xdr:col>31</xdr:col>
      <xdr:colOff>38100</xdr:colOff>
      <xdr:row>169</xdr:row>
      <xdr:rowOff>144435</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149</xdr:row>
      <xdr:rowOff>84109</xdr:rowOff>
    </xdr:from>
    <xdr:to>
      <xdr:col>32</xdr:col>
      <xdr:colOff>38100</xdr:colOff>
      <xdr:row>169</xdr:row>
      <xdr:rowOff>144435</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149</xdr:row>
      <xdr:rowOff>84109</xdr:rowOff>
    </xdr:from>
    <xdr:to>
      <xdr:col>34</xdr:col>
      <xdr:colOff>38100</xdr:colOff>
      <xdr:row>169</xdr:row>
      <xdr:rowOff>144435</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45685</xdr:rowOff>
    </xdr:from>
    <xdr:to>
      <xdr:col>30</xdr:col>
      <xdr:colOff>809625</xdr:colOff>
      <xdr:row>39</xdr:row>
      <xdr:rowOff>125376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84109</xdr:rowOff>
    </xdr:from>
    <xdr:to>
      <xdr:col>30</xdr:col>
      <xdr:colOff>809625</xdr:colOff>
      <xdr:row>153</xdr:row>
      <xdr:rowOff>172449</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69477</xdr:rowOff>
    </xdr:from>
    <xdr:to>
      <xdr:col>18</xdr:col>
      <xdr:colOff>800100</xdr:colOff>
      <xdr:row>16</xdr:row>
      <xdr:rowOff>141941</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20</xdr:row>
      <xdr:rowOff>69476</xdr:rowOff>
    </xdr:from>
    <xdr:to>
      <xdr:col>30</xdr:col>
      <xdr:colOff>809625</xdr:colOff>
      <xdr:row>24</xdr:row>
      <xdr:rowOff>140003</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69476</xdr:rowOff>
    </xdr:from>
    <xdr:to>
      <xdr:col>23</xdr:col>
      <xdr:colOff>38100</xdr:colOff>
      <xdr:row>27</xdr:row>
      <xdr:rowOff>124053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69476</xdr:rowOff>
    </xdr:from>
    <xdr:to>
      <xdr:col>24</xdr:col>
      <xdr:colOff>38100</xdr:colOff>
      <xdr:row>27</xdr:row>
      <xdr:rowOff>124053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69476</xdr:rowOff>
    </xdr:from>
    <xdr:to>
      <xdr:col>25</xdr:col>
      <xdr:colOff>38100</xdr:colOff>
      <xdr:row>27</xdr:row>
      <xdr:rowOff>124053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69476</xdr:rowOff>
    </xdr:from>
    <xdr:to>
      <xdr:col>26</xdr:col>
      <xdr:colOff>38100</xdr:colOff>
      <xdr:row>27</xdr:row>
      <xdr:rowOff>124053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69476</xdr:rowOff>
    </xdr:from>
    <xdr:to>
      <xdr:col>27</xdr:col>
      <xdr:colOff>38100</xdr:colOff>
      <xdr:row>27</xdr:row>
      <xdr:rowOff>124053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23</xdr:row>
      <xdr:rowOff>69476</xdr:rowOff>
    </xdr:from>
    <xdr:to>
      <xdr:col>28</xdr:col>
      <xdr:colOff>38100</xdr:colOff>
      <xdr:row>27</xdr:row>
      <xdr:rowOff>124053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23</xdr:row>
      <xdr:rowOff>69476</xdr:rowOff>
    </xdr:from>
    <xdr:to>
      <xdr:col>29</xdr:col>
      <xdr:colOff>38100</xdr:colOff>
      <xdr:row>27</xdr:row>
      <xdr:rowOff>124053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23</xdr:row>
      <xdr:rowOff>69476</xdr:rowOff>
    </xdr:from>
    <xdr:to>
      <xdr:col>29</xdr:col>
      <xdr:colOff>819150</xdr:colOff>
      <xdr:row>27</xdr:row>
      <xdr:rowOff>124053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23</xdr:row>
      <xdr:rowOff>69476</xdr:rowOff>
    </xdr:from>
    <xdr:to>
      <xdr:col>30</xdr:col>
      <xdr:colOff>809625</xdr:colOff>
      <xdr:row>27</xdr:row>
      <xdr:rowOff>124053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25</xdr:row>
      <xdr:rowOff>114990</xdr:rowOff>
    </xdr:from>
    <xdr:to>
      <xdr:col>34</xdr:col>
      <xdr:colOff>19050</xdr:colOff>
      <xdr:row>45</xdr:row>
      <xdr:rowOff>97735</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114990</xdr:rowOff>
    </xdr:from>
    <xdr:to>
      <xdr:col>38</xdr:col>
      <xdr:colOff>19050</xdr:colOff>
      <xdr:row>45</xdr:row>
      <xdr:rowOff>97735</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27885</xdr:rowOff>
    </xdr:from>
    <xdr:to>
      <xdr:col>27</xdr:col>
      <xdr:colOff>19050</xdr:colOff>
      <xdr:row>55</xdr:row>
      <xdr:rowOff>59635</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27885</xdr:rowOff>
    </xdr:from>
    <xdr:to>
      <xdr:col>28</xdr:col>
      <xdr:colOff>19050</xdr:colOff>
      <xdr:row>55</xdr:row>
      <xdr:rowOff>59635</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27885</xdr:rowOff>
    </xdr:from>
    <xdr:to>
      <xdr:col>29</xdr:col>
      <xdr:colOff>19050</xdr:colOff>
      <xdr:row>55</xdr:row>
      <xdr:rowOff>59635</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27885</xdr:rowOff>
    </xdr:from>
    <xdr:to>
      <xdr:col>30</xdr:col>
      <xdr:colOff>19050</xdr:colOff>
      <xdr:row>55</xdr:row>
      <xdr:rowOff>59635</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27885</xdr:rowOff>
    </xdr:from>
    <xdr:to>
      <xdr:col>31</xdr:col>
      <xdr:colOff>19050</xdr:colOff>
      <xdr:row>55</xdr:row>
      <xdr:rowOff>59635</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35</xdr:row>
      <xdr:rowOff>27885</xdr:rowOff>
    </xdr:from>
    <xdr:to>
      <xdr:col>32</xdr:col>
      <xdr:colOff>19050</xdr:colOff>
      <xdr:row>55</xdr:row>
      <xdr:rowOff>59635</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35</xdr:row>
      <xdr:rowOff>27885</xdr:rowOff>
    </xdr:from>
    <xdr:to>
      <xdr:col>33</xdr:col>
      <xdr:colOff>19050</xdr:colOff>
      <xdr:row>55</xdr:row>
      <xdr:rowOff>59635</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35</xdr:row>
      <xdr:rowOff>27885</xdr:rowOff>
    </xdr:from>
    <xdr:to>
      <xdr:col>34</xdr:col>
      <xdr:colOff>19050</xdr:colOff>
      <xdr:row>55</xdr:row>
      <xdr:rowOff>59635</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40</xdr:row>
      <xdr:rowOff>97735</xdr:rowOff>
    </xdr:from>
    <xdr:to>
      <xdr:col>15</xdr:col>
      <xdr:colOff>495300</xdr:colOff>
      <xdr:row>59</xdr:row>
      <xdr:rowOff>378377</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50</xdr:row>
      <xdr:rowOff>40585</xdr:rowOff>
    </xdr:from>
    <xdr:to>
      <xdr:col>15</xdr:col>
      <xdr:colOff>495300</xdr:colOff>
      <xdr:row>72</xdr:row>
      <xdr:rowOff>19464</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577850</xdr:colOff>
      <xdr:row>50</xdr:row>
      <xdr:rowOff>40585</xdr:rowOff>
    </xdr:from>
    <xdr:to>
      <xdr:col>16</xdr:col>
      <xdr:colOff>704850</xdr:colOff>
      <xdr:row>72</xdr:row>
      <xdr:rowOff>19464</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50</xdr:row>
      <xdr:rowOff>40585</xdr:rowOff>
    </xdr:from>
    <xdr:to>
      <xdr:col>17</xdr:col>
      <xdr:colOff>628650</xdr:colOff>
      <xdr:row>72</xdr:row>
      <xdr:rowOff>19464</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60</xdr:row>
      <xdr:rowOff>103395</xdr:rowOff>
    </xdr:from>
    <xdr:to>
      <xdr:col>9</xdr:col>
      <xdr:colOff>0</xdr:colOff>
      <xdr:row>81</xdr:row>
      <xdr:rowOff>172692</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60</xdr:row>
      <xdr:rowOff>103395</xdr:rowOff>
    </xdr:from>
    <xdr:to>
      <xdr:col>17</xdr:col>
      <xdr:colOff>628650</xdr:colOff>
      <xdr:row>81</xdr:row>
      <xdr:rowOff>172692</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67</xdr:row>
      <xdr:rowOff>30369</xdr:rowOff>
    </xdr:from>
    <xdr:to>
      <xdr:col>9</xdr:col>
      <xdr:colOff>19050</xdr:colOff>
      <xdr:row>87</xdr:row>
      <xdr:rowOff>28575</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67227</xdr:rowOff>
    </xdr:from>
    <xdr:to>
      <xdr:col>9</xdr:col>
      <xdr:colOff>19050</xdr:colOff>
      <xdr:row>87</xdr:row>
      <xdr:rowOff>276225</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69</xdr:row>
      <xdr:rowOff>37272</xdr:rowOff>
    </xdr:from>
    <xdr:to>
      <xdr:col>9</xdr:col>
      <xdr:colOff>0</xdr:colOff>
      <xdr:row>88</xdr:row>
      <xdr:rowOff>153643</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76</xdr:row>
      <xdr:rowOff>123135</xdr:rowOff>
    </xdr:from>
    <xdr:to>
      <xdr:col>9</xdr:col>
      <xdr:colOff>19050</xdr:colOff>
      <xdr:row>96</xdr:row>
      <xdr:rowOff>46383</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76</xdr:row>
      <xdr:rowOff>123135</xdr:rowOff>
    </xdr:from>
    <xdr:to>
      <xdr:col>17</xdr:col>
      <xdr:colOff>628650</xdr:colOff>
      <xdr:row>96</xdr:row>
      <xdr:rowOff>46383</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96</xdr:row>
      <xdr:rowOff>160683</xdr:rowOff>
    </xdr:from>
    <xdr:to>
      <xdr:col>9</xdr:col>
      <xdr:colOff>19050</xdr:colOff>
      <xdr:row>116</xdr:row>
      <xdr:rowOff>8283</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97</xdr:row>
      <xdr:rowOff>68607</xdr:rowOff>
    </xdr:from>
    <xdr:to>
      <xdr:col>9</xdr:col>
      <xdr:colOff>19050</xdr:colOff>
      <xdr:row>117</xdr:row>
      <xdr:rowOff>7454</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98</xdr:row>
      <xdr:rowOff>68608</xdr:rowOff>
    </xdr:from>
    <xdr:to>
      <xdr:col>9</xdr:col>
      <xdr:colOff>19050</xdr:colOff>
      <xdr:row>118</xdr:row>
      <xdr:rowOff>7455</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99</xdr:row>
      <xdr:rowOff>65432</xdr:rowOff>
    </xdr:from>
    <xdr:to>
      <xdr:col>9</xdr:col>
      <xdr:colOff>19050</xdr:colOff>
      <xdr:row>119</xdr:row>
      <xdr:rowOff>7454</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114</xdr:row>
      <xdr:rowOff>121754</xdr:rowOff>
    </xdr:from>
    <xdr:to>
      <xdr:col>9</xdr:col>
      <xdr:colOff>19050</xdr:colOff>
      <xdr:row>135</xdr:row>
      <xdr:rowOff>8283</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121</xdr:row>
      <xdr:rowOff>27332</xdr:rowOff>
    </xdr:from>
    <xdr:to>
      <xdr:col>9</xdr:col>
      <xdr:colOff>19050</xdr:colOff>
      <xdr:row>141</xdr:row>
      <xdr:rowOff>8283</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122</xdr:row>
      <xdr:rowOff>27333</xdr:rowOff>
    </xdr:from>
    <xdr:to>
      <xdr:col>9</xdr:col>
      <xdr:colOff>19050</xdr:colOff>
      <xdr:row>142</xdr:row>
      <xdr:rowOff>65432</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123</xdr:row>
      <xdr:rowOff>27333</xdr:rowOff>
    </xdr:from>
    <xdr:to>
      <xdr:col>9</xdr:col>
      <xdr:colOff>19050</xdr:colOff>
      <xdr:row>143</xdr:row>
      <xdr:rowOff>27333</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65433</xdr:rowOff>
    </xdr:from>
    <xdr:to>
      <xdr:col>26</xdr:col>
      <xdr:colOff>19050</xdr:colOff>
      <xdr:row>166</xdr:row>
      <xdr:rowOff>141633</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65432</xdr:rowOff>
    </xdr:from>
    <xdr:to>
      <xdr:col>27</xdr:col>
      <xdr:colOff>19050</xdr:colOff>
      <xdr:row>169</xdr:row>
      <xdr:rowOff>141633</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65432</xdr:rowOff>
    </xdr:from>
    <xdr:to>
      <xdr:col>28</xdr:col>
      <xdr:colOff>19050</xdr:colOff>
      <xdr:row>169</xdr:row>
      <xdr:rowOff>141633</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65432</xdr:rowOff>
    </xdr:from>
    <xdr:to>
      <xdr:col>29</xdr:col>
      <xdr:colOff>19050</xdr:colOff>
      <xdr:row>169</xdr:row>
      <xdr:rowOff>141633</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65432</xdr:rowOff>
    </xdr:from>
    <xdr:to>
      <xdr:col>30</xdr:col>
      <xdr:colOff>19050</xdr:colOff>
      <xdr:row>169</xdr:row>
      <xdr:rowOff>141633</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65432</xdr:rowOff>
    </xdr:from>
    <xdr:to>
      <xdr:col>31</xdr:col>
      <xdr:colOff>19050</xdr:colOff>
      <xdr:row>169</xdr:row>
      <xdr:rowOff>141633</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149</xdr:row>
      <xdr:rowOff>65432</xdr:rowOff>
    </xdr:from>
    <xdr:to>
      <xdr:col>32</xdr:col>
      <xdr:colOff>19050</xdr:colOff>
      <xdr:row>169</xdr:row>
      <xdr:rowOff>141633</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149</xdr:row>
      <xdr:rowOff>65432</xdr:rowOff>
    </xdr:from>
    <xdr:to>
      <xdr:col>34</xdr:col>
      <xdr:colOff>19050</xdr:colOff>
      <xdr:row>169</xdr:row>
      <xdr:rowOff>141633</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27885</xdr:rowOff>
    </xdr:from>
    <xdr:to>
      <xdr:col>34</xdr:col>
      <xdr:colOff>600075</xdr:colOff>
      <xdr:row>55</xdr:row>
      <xdr:rowOff>78685</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65432</xdr:rowOff>
    </xdr:from>
    <xdr:to>
      <xdr:col>34</xdr:col>
      <xdr:colOff>600075</xdr:colOff>
      <xdr:row>169</xdr:row>
      <xdr:rowOff>160683</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123135</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17</xdr:row>
      <xdr:rowOff>114300</xdr:rowOff>
    </xdr:from>
    <xdr:to>
      <xdr:col>32</xdr:col>
      <xdr:colOff>19050</xdr:colOff>
      <xdr:row>39</xdr:row>
      <xdr:rowOff>135835</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17</xdr:row>
      <xdr:rowOff>114300</xdr:rowOff>
    </xdr:from>
    <xdr:to>
      <xdr:col>33</xdr:col>
      <xdr:colOff>19050</xdr:colOff>
      <xdr:row>39</xdr:row>
      <xdr:rowOff>135835</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17</xdr:row>
      <xdr:rowOff>114300</xdr:rowOff>
    </xdr:from>
    <xdr:to>
      <xdr:col>33</xdr:col>
      <xdr:colOff>800100</xdr:colOff>
      <xdr:row>39</xdr:row>
      <xdr:rowOff>135835</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600075</xdr:colOff>
      <xdr:row>39</xdr:row>
      <xdr:rowOff>135835</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159302</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600075</xdr:colOff>
      <xdr:row>36</xdr:row>
      <xdr:rowOff>135835</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33</xdr:col>
      <xdr:colOff>800100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25</xdr:row>
      <xdr:rowOff>172002</xdr:rowOff>
    </xdr:from>
    <xdr:to>
      <xdr:col>34</xdr:col>
      <xdr:colOff>19050</xdr:colOff>
      <xdr:row>46</xdr:row>
      <xdr:rowOff>159302</xdr:rowOff>
    </xdr:to>
    <xdr:sp macro="" textlink="">
      <xdr:nvSpPr>
        <xdr:cNvPr id="507956" name="Text Box 52" hidden="1">
          <a:extLst>
            <a:ext uri="{FF2B5EF4-FFF2-40B4-BE49-F238E27FC236}">
              <a16:creationId xmlns:a16="http://schemas.microsoft.com/office/drawing/2014/main" id="{224B0408-3019-C65C-DF61-C701AE3B7009}"/>
            </a:ext>
          </a:extLst>
        </xdr:cNvPr>
        <xdr:cNvSpPr txBox="1">
          <a:spLocks noChangeArrowheads="1"/>
        </xdr:cNvSpPr>
      </xdr:nvSpPr>
      <xdr:spPr bwMode="auto">
        <a:xfrm>
          <a:off x="24809450" y="5651500"/>
          <a:ext cx="528320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172002</xdr:rowOff>
    </xdr:from>
    <xdr:to>
      <xdr:col>38</xdr:col>
      <xdr:colOff>19050</xdr:colOff>
      <xdr:row>46</xdr:row>
      <xdr:rowOff>159302</xdr:rowOff>
    </xdr:to>
    <xdr:sp macro="" textlink="">
      <xdr:nvSpPr>
        <xdr:cNvPr id="507955" name="Text Box 51" hidden="1">
          <a:extLst>
            <a:ext uri="{FF2B5EF4-FFF2-40B4-BE49-F238E27FC236}">
              <a16:creationId xmlns:a16="http://schemas.microsoft.com/office/drawing/2014/main" id="{AACCCFDA-1616-2A08-886C-3F60054D3BC9}"/>
            </a:ext>
          </a:extLst>
        </xdr:cNvPr>
        <xdr:cNvSpPr txBox="1">
          <a:spLocks noChangeArrowheads="1"/>
        </xdr:cNvSpPr>
      </xdr:nvSpPr>
      <xdr:spPr bwMode="auto">
        <a:xfrm>
          <a:off x="28682950" y="5651500"/>
          <a:ext cx="49847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27885</xdr:rowOff>
    </xdr:from>
    <xdr:to>
      <xdr:col>27</xdr:col>
      <xdr:colOff>19050</xdr:colOff>
      <xdr:row>55</xdr:row>
      <xdr:rowOff>59635</xdr:rowOff>
    </xdr:to>
    <xdr:sp macro="" textlink="">
      <xdr:nvSpPr>
        <xdr:cNvPr id="507954" name="Text Box 50" hidden="1">
          <a:extLst>
            <a:ext uri="{FF2B5EF4-FFF2-40B4-BE49-F238E27FC236}">
              <a16:creationId xmlns:a16="http://schemas.microsoft.com/office/drawing/2014/main" id="{A9CB12AE-0176-8351-42CD-87F6BFCD001C}"/>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27885</xdr:rowOff>
    </xdr:from>
    <xdr:to>
      <xdr:col>28</xdr:col>
      <xdr:colOff>19050</xdr:colOff>
      <xdr:row>55</xdr:row>
      <xdr:rowOff>59635</xdr:rowOff>
    </xdr:to>
    <xdr:sp macro="" textlink="">
      <xdr:nvSpPr>
        <xdr:cNvPr id="507953" name="Text Box 49" hidden="1">
          <a:extLst>
            <a:ext uri="{FF2B5EF4-FFF2-40B4-BE49-F238E27FC236}">
              <a16:creationId xmlns:a16="http://schemas.microsoft.com/office/drawing/2014/main" id="{451B25AA-BED4-CFA7-07BA-8491E3AB2DF0}"/>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27885</xdr:rowOff>
    </xdr:from>
    <xdr:to>
      <xdr:col>29</xdr:col>
      <xdr:colOff>19050</xdr:colOff>
      <xdr:row>55</xdr:row>
      <xdr:rowOff>59635</xdr:rowOff>
    </xdr:to>
    <xdr:sp macro="" textlink="">
      <xdr:nvSpPr>
        <xdr:cNvPr id="507952" name="Text Box 48" hidden="1">
          <a:extLst>
            <a:ext uri="{FF2B5EF4-FFF2-40B4-BE49-F238E27FC236}">
              <a16:creationId xmlns:a16="http://schemas.microsoft.com/office/drawing/2014/main" id="{88BD1496-AA59-2BF4-5FF5-8C97A1D75D1C}"/>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27885</xdr:rowOff>
    </xdr:from>
    <xdr:to>
      <xdr:col>30</xdr:col>
      <xdr:colOff>19050</xdr:colOff>
      <xdr:row>55</xdr:row>
      <xdr:rowOff>59635</xdr:rowOff>
    </xdr:to>
    <xdr:sp macro="" textlink="">
      <xdr:nvSpPr>
        <xdr:cNvPr id="507951" name="Text Box 47" hidden="1">
          <a:extLst>
            <a:ext uri="{FF2B5EF4-FFF2-40B4-BE49-F238E27FC236}">
              <a16:creationId xmlns:a16="http://schemas.microsoft.com/office/drawing/2014/main" id="{22BD49BB-B6F4-1540-5BCD-E6976393AFE6}"/>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27885</xdr:rowOff>
    </xdr:from>
    <xdr:to>
      <xdr:col>31</xdr:col>
      <xdr:colOff>19050</xdr:colOff>
      <xdr:row>55</xdr:row>
      <xdr:rowOff>59635</xdr:rowOff>
    </xdr:to>
    <xdr:sp macro="" textlink="">
      <xdr:nvSpPr>
        <xdr:cNvPr id="507950" name="Text Box 46" hidden="1">
          <a:extLst>
            <a:ext uri="{FF2B5EF4-FFF2-40B4-BE49-F238E27FC236}">
              <a16:creationId xmlns:a16="http://schemas.microsoft.com/office/drawing/2014/main" id="{0BABA0BA-7203-FF77-64CF-AF27A1A6481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35</xdr:row>
      <xdr:rowOff>27885</xdr:rowOff>
    </xdr:from>
    <xdr:to>
      <xdr:col>32</xdr:col>
      <xdr:colOff>19050</xdr:colOff>
      <xdr:row>55</xdr:row>
      <xdr:rowOff>59635</xdr:rowOff>
    </xdr:to>
    <xdr:sp macro="" textlink="">
      <xdr:nvSpPr>
        <xdr:cNvPr id="507949" name="Text Box 45" hidden="1">
          <a:extLst>
            <a:ext uri="{FF2B5EF4-FFF2-40B4-BE49-F238E27FC236}">
              <a16:creationId xmlns:a16="http://schemas.microsoft.com/office/drawing/2014/main" id="{40A190F5-F2C6-903A-84AD-62C86B65D355}"/>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35</xdr:row>
      <xdr:rowOff>27885</xdr:rowOff>
    </xdr:from>
    <xdr:to>
      <xdr:col>33</xdr:col>
      <xdr:colOff>19050</xdr:colOff>
      <xdr:row>55</xdr:row>
      <xdr:rowOff>59635</xdr:rowOff>
    </xdr:to>
    <xdr:sp macro="" textlink="">
      <xdr:nvSpPr>
        <xdr:cNvPr id="507948" name="Text Box 44" hidden="1">
          <a:extLst>
            <a:ext uri="{FF2B5EF4-FFF2-40B4-BE49-F238E27FC236}">
              <a16:creationId xmlns:a16="http://schemas.microsoft.com/office/drawing/2014/main" id="{20DAE922-7FD0-CD52-BD3C-37C4C524E6E2}"/>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35</xdr:row>
      <xdr:rowOff>27885</xdr:rowOff>
    </xdr:from>
    <xdr:to>
      <xdr:col>34</xdr:col>
      <xdr:colOff>19050</xdr:colOff>
      <xdr:row>55</xdr:row>
      <xdr:rowOff>59635</xdr:rowOff>
    </xdr:to>
    <xdr:sp macro="" textlink="">
      <xdr:nvSpPr>
        <xdr:cNvPr id="507947" name="Text Box 43" hidden="1">
          <a:extLst>
            <a:ext uri="{FF2B5EF4-FFF2-40B4-BE49-F238E27FC236}">
              <a16:creationId xmlns:a16="http://schemas.microsoft.com/office/drawing/2014/main" id="{AEF35A79-C601-8F2D-EDD2-A9E22D504AB8}"/>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40</xdr:row>
      <xdr:rowOff>97735</xdr:rowOff>
    </xdr:from>
    <xdr:to>
      <xdr:col>15</xdr:col>
      <xdr:colOff>495300</xdr:colOff>
      <xdr:row>59</xdr:row>
      <xdr:rowOff>378377</xdr:rowOff>
    </xdr:to>
    <xdr:sp macro="" textlink="">
      <xdr:nvSpPr>
        <xdr:cNvPr id="507946" name="Text Box 42" hidden="1">
          <a:extLst>
            <a:ext uri="{FF2B5EF4-FFF2-40B4-BE49-F238E27FC236}">
              <a16:creationId xmlns:a16="http://schemas.microsoft.com/office/drawing/2014/main" id="{6C6225FF-DA90-BB1C-0B8E-2FDD3B9E1765}"/>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558800</xdr:colOff>
      <xdr:row>45</xdr:row>
      <xdr:rowOff>2485</xdr:rowOff>
    </xdr:from>
    <xdr:to>
      <xdr:col>15</xdr:col>
      <xdr:colOff>495300</xdr:colOff>
      <xdr:row>67</xdr:row>
      <xdr:rowOff>105327</xdr:rowOff>
    </xdr:to>
    <xdr:sp macro="" textlink="">
      <xdr:nvSpPr>
        <xdr:cNvPr id="507945" name="Text Box 41" hidden="1">
          <a:extLst>
            <a:ext uri="{FF2B5EF4-FFF2-40B4-BE49-F238E27FC236}">
              <a16:creationId xmlns:a16="http://schemas.microsoft.com/office/drawing/2014/main" id="{22CCC784-EF34-1985-0DEA-88BCB3EDC02A}"/>
            </a:ext>
          </a:extLst>
        </xdr:cNvPr>
        <xdr:cNvSpPr txBox="1">
          <a:spLocks noChangeArrowheads="1"/>
        </xdr:cNvSpPr>
      </xdr:nvSpPr>
      <xdr:spPr bwMode="auto">
        <a:xfrm>
          <a:off x="10179050" y="9163050"/>
          <a:ext cx="48577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577850</xdr:colOff>
      <xdr:row>45</xdr:row>
      <xdr:rowOff>2485</xdr:rowOff>
    </xdr:from>
    <xdr:to>
      <xdr:col>16</xdr:col>
      <xdr:colOff>704850</xdr:colOff>
      <xdr:row>67</xdr:row>
      <xdr:rowOff>105327</xdr:rowOff>
    </xdr:to>
    <xdr:sp macro="" textlink="">
      <xdr:nvSpPr>
        <xdr:cNvPr id="507944" name="Text Box 40" hidden="1">
          <a:extLst>
            <a:ext uri="{FF2B5EF4-FFF2-40B4-BE49-F238E27FC236}">
              <a16:creationId xmlns:a16="http://schemas.microsoft.com/office/drawing/2014/main" id="{4CDCBCF3-1397-0E4C-C06F-2AA6189F1EBF}"/>
            </a:ext>
          </a:extLst>
        </xdr:cNvPr>
        <xdr:cNvSpPr txBox="1">
          <a:spLocks noChangeArrowheads="1"/>
        </xdr:cNvSpPr>
      </xdr:nvSpPr>
      <xdr:spPr bwMode="auto">
        <a:xfrm>
          <a:off x="11277600" y="9163050"/>
          <a:ext cx="474980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45</xdr:row>
      <xdr:rowOff>2485</xdr:rowOff>
    </xdr:from>
    <xdr:to>
      <xdr:col>17</xdr:col>
      <xdr:colOff>628650</xdr:colOff>
      <xdr:row>67</xdr:row>
      <xdr:rowOff>105327</xdr:rowOff>
    </xdr:to>
    <xdr:sp macro="" textlink="">
      <xdr:nvSpPr>
        <xdr:cNvPr id="507943" name="Text Box 39" hidden="1">
          <a:extLst>
            <a:ext uri="{FF2B5EF4-FFF2-40B4-BE49-F238E27FC236}">
              <a16:creationId xmlns:a16="http://schemas.microsoft.com/office/drawing/2014/main" id="{45D4CB4B-834B-2C85-23CF-B9B665ABC57B}"/>
            </a:ext>
          </a:extLst>
        </xdr:cNvPr>
        <xdr:cNvSpPr txBox="1">
          <a:spLocks noChangeArrowheads="1"/>
        </xdr:cNvSpPr>
      </xdr:nvSpPr>
      <xdr:spPr bwMode="auto">
        <a:xfrm>
          <a:off x="12147550" y="9163050"/>
          <a:ext cx="45656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60</xdr:row>
      <xdr:rowOff>103395</xdr:rowOff>
    </xdr:from>
    <xdr:to>
      <xdr:col>9</xdr:col>
      <xdr:colOff>0</xdr:colOff>
      <xdr:row>81</xdr:row>
      <xdr:rowOff>134592</xdr:rowOff>
    </xdr:to>
    <xdr:sp macro="" textlink="">
      <xdr:nvSpPr>
        <xdr:cNvPr id="507942" name="Text Box 38" hidden="1">
          <a:extLst>
            <a:ext uri="{FF2B5EF4-FFF2-40B4-BE49-F238E27FC236}">
              <a16:creationId xmlns:a16="http://schemas.microsoft.com/office/drawing/2014/main" id="{4FC5E2DF-9DD7-477A-8988-FCC92BDE0C60}"/>
            </a:ext>
          </a:extLst>
        </xdr:cNvPr>
        <xdr:cNvSpPr txBox="1">
          <a:spLocks noChangeArrowheads="1"/>
        </xdr:cNvSpPr>
      </xdr:nvSpPr>
      <xdr:spPr bwMode="auto">
        <a:xfrm>
          <a:off x="4508500" y="12573000"/>
          <a:ext cx="434340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60</xdr:row>
      <xdr:rowOff>103395</xdr:rowOff>
    </xdr:from>
    <xdr:to>
      <xdr:col>17</xdr:col>
      <xdr:colOff>628650</xdr:colOff>
      <xdr:row>81</xdr:row>
      <xdr:rowOff>134592</xdr:rowOff>
    </xdr:to>
    <xdr:sp macro="" textlink="">
      <xdr:nvSpPr>
        <xdr:cNvPr id="507941" name="Text Box 37" hidden="1">
          <a:extLst>
            <a:ext uri="{FF2B5EF4-FFF2-40B4-BE49-F238E27FC236}">
              <a16:creationId xmlns:a16="http://schemas.microsoft.com/office/drawing/2014/main" id="{960DEA04-AB6A-BBDE-F556-C3351553A5A2}"/>
            </a:ext>
          </a:extLst>
        </xdr:cNvPr>
        <xdr:cNvSpPr txBox="1">
          <a:spLocks noChangeArrowheads="1"/>
        </xdr:cNvSpPr>
      </xdr:nvSpPr>
      <xdr:spPr bwMode="auto">
        <a:xfrm>
          <a:off x="12147550" y="12573000"/>
          <a:ext cx="456565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65</xdr:row>
      <xdr:rowOff>74129</xdr:rowOff>
    </xdr:from>
    <xdr:to>
      <xdr:col>9</xdr:col>
      <xdr:colOff>19050</xdr:colOff>
      <xdr:row>86</xdr:row>
      <xdr:rowOff>95249</xdr:rowOff>
    </xdr:to>
    <xdr:sp macro="" textlink="">
      <xdr:nvSpPr>
        <xdr:cNvPr id="507940" name="Text Box 36" hidden="1">
          <a:extLst>
            <a:ext uri="{FF2B5EF4-FFF2-40B4-BE49-F238E27FC236}">
              <a16:creationId xmlns:a16="http://schemas.microsoft.com/office/drawing/2014/main" id="{9DCC5A38-AA97-AE7F-A579-51429C5C1D23}"/>
            </a:ext>
          </a:extLst>
        </xdr:cNvPr>
        <xdr:cNvSpPr txBox="1">
          <a:spLocks noChangeArrowheads="1"/>
        </xdr:cNvSpPr>
      </xdr:nvSpPr>
      <xdr:spPr bwMode="auto">
        <a:xfrm>
          <a:off x="4508500" y="13912850"/>
          <a:ext cx="43624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86277</xdr:rowOff>
    </xdr:from>
    <xdr:to>
      <xdr:col>9</xdr:col>
      <xdr:colOff>19050</xdr:colOff>
      <xdr:row>88</xdr:row>
      <xdr:rowOff>19050</xdr:rowOff>
    </xdr:to>
    <xdr:sp macro="" textlink="">
      <xdr:nvSpPr>
        <xdr:cNvPr id="507939" name="Text Box 35" hidden="1">
          <a:extLst>
            <a:ext uri="{FF2B5EF4-FFF2-40B4-BE49-F238E27FC236}">
              <a16:creationId xmlns:a16="http://schemas.microsoft.com/office/drawing/2014/main" id="{E0F121D9-4FFD-9D8B-207F-3A06359A3008}"/>
            </a:ext>
          </a:extLst>
        </xdr:cNvPr>
        <xdr:cNvSpPr txBox="1">
          <a:spLocks noChangeArrowheads="1"/>
        </xdr:cNvSpPr>
      </xdr:nvSpPr>
      <xdr:spPr bwMode="auto">
        <a:xfrm>
          <a:off x="4508500" y="14471650"/>
          <a:ext cx="436245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68</xdr:row>
      <xdr:rowOff>208722</xdr:rowOff>
    </xdr:from>
    <xdr:to>
      <xdr:col>9</xdr:col>
      <xdr:colOff>0</xdr:colOff>
      <xdr:row>88</xdr:row>
      <xdr:rowOff>134593</xdr:rowOff>
    </xdr:to>
    <xdr:sp macro="" textlink="">
      <xdr:nvSpPr>
        <xdr:cNvPr id="507938" name="Text Box 34" hidden="1">
          <a:extLst>
            <a:ext uri="{FF2B5EF4-FFF2-40B4-BE49-F238E27FC236}">
              <a16:creationId xmlns:a16="http://schemas.microsoft.com/office/drawing/2014/main" id="{CA3006CB-C2CC-056C-4362-154F67DE3C3B}"/>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76</xdr:row>
      <xdr:rowOff>123135</xdr:rowOff>
    </xdr:from>
    <xdr:to>
      <xdr:col>9</xdr:col>
      <xdr:colOff>19050</xdr:colOff>
      <xdr:row>96</xdr:row>
      <xdr:rowOff>46383</xdr:rowOff>
    </xdr:to>
    <xdr:sp macro="" textlink="">
      <xdr:nvSpPr>
        <xdr:cNvPr id="507937" name="Text Box 33" hidden="1">
          <a:extLst>
            <a:ext uri="{FF2B5EF4-FFF2-40B4-BE49-F238E27FC236}">
              <a16:creationId xmlns:a16="http://schemas.microsoft.com/office/drawing/2014/main" id="{3E8D01B1-0EDC-4DB8-2F3A-C8067EC86B92}"/>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349250</xdr:colOff>
      <xdr:row>76</xdr:row>
      <xdr:rowOff>123135</xdr:rowOff>
    </xdr:from>
    <xdr:to>
      <xdr:col>17</xdr:col>
      <xdr:colOff>628650</xdr:colOff>
      <xdr:row>96</xdr:row>
      <xdr:rowOff>46383</xdr:rowOff>
    </xdr:to>
    <xdr:sp macro="" textlink="">
      <xdr:nvSpPr>
        <xdr:cNvPr id="507936" name="Text Box 32" hidden="1">
          <a:extLst>
            <a:ext uri="{FF2B5EF4-FFF2-40B4-BE49-F238E27FC236}">
              <a16:creationId xmlns:a16="http://schemas.microsoft.com/office/drawing/2014/main" id="{D19F1B79-3D54-B1CE-39A9-3F3495688B7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96</xdr:row>
      <xdr:rowOff>160683</xdr:rowOff>
    </xdr:from>
    <xdr:to>
      <xdr:col>9</xdr:col>
      <xdr:colOff>19050</xdr:colOff>
      <xdr:row>116</xdr:row>
      <xdr:rowOff>8283</xdr:rowOff>
    </xdr:to>
    <xdr:sp macro="" textlink="">
      <xdr:nvSpPr>
        <xdr:cNvPr id="507935" name="Text Box 31" hidden="1">
          <a:extLst>
            <a:ext uri="{FF2B5EF4-FFF2-40B4-BE49-F238E27FC236}">
              <a16:creationId xmlns:a16="http://schemas.microsoft.com/office/drawing/2014/main" id="{919B939C-E7D8-BE30-AD85-D454E685569B}"/>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97</xdr:row>
      <xdr:rowOff>68607</xdr:rowOff>
    </xdr:from>
    <xdr:to>
      <xdr:col>9</xdr:col>
      <xdr:colOff>19050</xdr:colOff>
      <xdr:row>117</xdr:row>
      <xdr:rowOff>7454</xdr:rowOff>
    </xdr:to>
    <xdr:sp macro="" textlink="">
      <xdr:nvSpPr>
        <xdr:cNvPr id="507934" name="Text Box 30" hidden="1">
          <a:extLst>
            <a:ext uri="{FF2B5EF4-FFF2-40B4-BE49-F238E27FC236}">
              <a16:creationId xmlns:a16="http://schemas.microsoft.com/office/drawing/2014/main" id="{40138724-DEEB-F438-D53B-1F1A7A8DDCF9}"/>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98</xdr:row>
      <xdr:rowOff>68608</xdr:rowOff>
    </xdr:from>
    <xdr:to>
      <xdr:col>9</xdr:col>
      <xdr:colOff>19050</xdr:colOff>
      <xdr:row>118</xdr:row>
      <xdr:rowOff>7455</xdr:rowOff>
    </xdr:to>
    <xdr:sp macro="" textlink="">
      <xdr:nvSpPr>
        <xdr:cNvPr id="507933" name="Text Box 29" hidden="1">
          <a:extLst>
            <a:ext uri="{FF2B5EF4-FFF2-40B4-BE49-F238E27FC236}">
              <a16:creationId xmlns:a16="http://schemas.microsoft.com/office/drawing/2014/main" id="{0F3AE9D6-87D7-FC39-8EFB-75481FD9A53A}"/>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93</xdr:row>
      <xdr:rowOff>122583</xdr:rowOff>
    </xdr:from>
    <xdr:to>
      <xdr:col>9</xdr:col>
      <xdr:colOff>19050</xdr:colOff>
      <xdr:row>113</xdr:row>
      <xdr:rowOff>102705</xdr:rowOff>
    </xdr:to>
    <xdr:sp macro="" textlink="">
      <xdr:nvSpPr>
        <xdr:cNvPr id="507932" name="Text Box 28" hidden="1">
          <a:extLst>
            <a:ext uri="{FF2B5EF4-FFF2-40B4-BE49-F238E27FC236}">
              <a16:creationId xmlns:a16="http://schemas.microsoft.com/office/drawing/2014/main" id="{DF7BA15C-A5DE-1E18-591C-ECE84F5F326D}"/>
            </a:ext>
          </a:extLst>
        </xdr:cNvPr>
        <xdr:cNvSpPr txBox="1">
          <a:spLocks noChangeArrowheads="1"/>
        </xdr:cNvSpPr>
      </xdr:nvSpPr>
      <xdr:spPr bwMode="auto">
        <a:xfrm>
          <a:off x="4508500" y="19665950"/>
          <a:ext cx="436245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114</xdr:row>
      <xdr:rowOff>121754</xdr:rowOff>
    </xdr:from>
    <xdr:to>
      <xdr:col>9</xdr:col>
      <xdr:colOff>19050</xdr:colOff>
      <xdr:row>134</xdr:row>
      <xdr:rowOff>173382</xdr:rowOff>
    </xdr:to>
    <xdr:sp macro="" textlink="">
      <xdr:nvSpPr>
        <xdr:cNvPr id="507931" name="Text Box 27" hidden="1">
          <a:extLst>
            <a:ext uri="{FF2B5EF4-FFF2-40B4-BE49-F238E27FC236}">
              <a16:creationId xmlns:a16="http://schemas.microsoft.com/office/drawing/2014/main" id="{48D9B4EF-5A5E-E52E-639C-4A9C2B05046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121</xdr:row>
      <xdr:rowOff>27332</xdr:rowOff>
    </xdr:from>
    <xdr:to>
      <xdr:col>9</xdr:col>
      <xdr:colOff>19050</xdr:colOff>
      <xdr:row>141</xdr:row>
      <xdr:rowOff>8283</xdr:rowOff>
    </xdr:to>
    <xdr:sp macro="" textlink="">
      <xdr:nvSpPr>
        <xdr:cNvPr id="507930" name="Text Box 26" hidden="1">
          <a:extLst>
            <a:ext uri="{FF2B5EF4-FFF2-40B4-BE49-F238E27FC236}">
              <a16:creationId xmlns:a16="http://schemas.microsoft.com/office/drawing/2014/main" id="{5452A98C-7BF5-4708-0493-20A63DC42EC0}"/>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122</xdr:row>
      <xdr:rowOff>27333</xdr:rowOff>
    </xdr:from>
    <xdr:to>
      <xdr:col>9</xdr:col>
      <xdr:colOff>19050</xdr:colOff>
      <xdr:row>142</xdr:row>
      <xdr:rowOff>65432</xdr:rowOff>
    </xdr:to>
    <xdr:sp macro="" textlink="">
      <xdr:nvSpPr>
        <xdr:cNvPr id="507929" name="Text Box 25" hidden="1">
          <a:extLst>
            <a:ext uri="{FF2B5EF4-FFF2-40B4-BE49-F238E27FC236}">
              <a16:creationId xmlns:a16="http://schemas.microsoft.com/office/drawing/2014/main" id="{ADF02071-FC7A-3240-711C-7E108A0FA5F0}"/>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3244850</xdr:colOff>
      <xdr:row>123</xdr:row>
      <xdr:rowOff>27333</xdr:rowOff>
    </xdr:from>
    <xdr:to>
      <xdr:col>9</xdr:col>
      <xdr:colOff>19050</xdr:colOff>
      <xdr:row>143</xdr:row>
      <xdr:rowOff>27333</xdr:rowOff>
    </xdr:to>
    <xdr:sp macro="" textlink="">
      <xdr:nvSpPr>
        <xdr:cNvPr id="507928" name="Text Box 24" hidden="1">
          <a:extLst>
            <a:ext uri="{FF2B5EF4-FFF2-40B4-BE49-F238E27FC236}">
              <a16:creationId xmlns:a16="http://schemas.microsoft.com/office/drawing/2014/main" id="{247B395C-8EE4-67C4-DEF9-450DDC3697F8}"/>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65433</xdr:rowOff>
    </xdr:from>
    <xdr:to>
      <xdr:col>26</xdr:col>
      <xdr:colOff>19050</xdr:colOff>
      <xdr:row>166</xdr:row>
      <xdr:rowOff>141633</xdr:rowOff>
    </xdr:to>
    <xdr:sp macro="" textlink="">
      <xdr:nvSpPr>
        <xdr:cNvPr id="507927" name="Text Box 23" hidden="1">
          <a:extLst>
            <a:ext uri="{FF2B5EF4-FFF2-40B4-BE49-F238E27FC236}">
              <a16:creationId xmlns:a16="http://schemas.microsoft.com/office/drawing/2014/main" id="{79FB50FA-58CB-81C2-B4A4-0522A67723C9}"/>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65432</xdr:rowOff>
    </xdr:from>
    <xdr:to>
      <xdr:col>27</xdr:col>
      <xdr:colOff>19050</xdr:colOff>
      <xdr:row>169</xdr:row>
      <xdr:rowOff>141633</xdr:rowOff>
    </xdr:to>
    <xdr:sp macro="" textlink="">
      <xdr:nvSpPr>
        <xdr:cNvPr id="507926" name="Text Box 22" hidden="1">
          <a:extLst>
            <a:ext uri="{FF2B5EF4-FFF2-40B4-BE49-F238E27FC236}">
              <a16:creationId xmlns:a16="http://schemas.microsoft.com/office/drawing/2014/main" id="{51E59E3E-0C59-6ED9-BCBB-D2FF9D72B9A6}"/>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65432</xdr:rowOff>
    </xdr:from>
    <xdr:to>
      <xdr:col>28</xdr:col>
      <xdr:colOff>19050</xdr:colOff>
      <xdr:row>169</xdr:row>
      <xdr:rowOff>141633</xdr:rowOff>
    </xdr:to>
    <xdr:sp macro="" textlink="">
      <xdr:nvSpPr>
        <xdr:cNvPr id="507925" name="Text Box 21" hidden="1">
          <a:extLst>
            <a:ext uri="{FF2B5EF4-FFF2-40B4-BE49-F238E27FC236}">
              <a16:creationId xmlns:a16="http://schemas.microsoft.com/office/drawing/2014/main" id="{06309F19-44EB-2DDE-9D91-2E50D8F7F6ED}"/>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65432</xdr:rowOff>
    </xdr:from>
    <xdr:to>
      <xdr:col>29</xdr:col>
      <xdr:colOff>19050</xdr:colOff>
      <xdr:row>169</xdr:row>
      <xdr:rowOff>141633</xdr:rowOff>
    </xdr:to>
    <xdr:sp macro="" textlink="">
      <xdr:nvSpPr>
        <xdr:cNvPr id="507924" name="Text Box 20" hidden="1">
          <a:extLst>
            <a:ext uri="{FF2B5EF4-FFF2-40B4-BE49-F238E27FC236}">
              <a16:creationId xmlns:a16="http://schemas.microsoft.com/office/drawing/2014/main" id="{5D61C428-B43E-375D-6D99-3C50F73961D7}"/>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65432</xdr:rowOff>
    </xdr:from>
    <xdr:to>
      <xdr:col>30</xdr:col>
      <xdr:colOff>19050</xdr:colOff>
      <xdr:row>169</xdr:row>
      <xdr:rowOff>141633</xdr:rowOff>
    </xdr:to>
    <xdr:sp macro="" textlink="">
      <xdr:nvSpPr>
        <xdr:cNvPr id="507923" name="Text Box 19" hidden="1">
          <a:extLst>
            <a:ext uri="{FF2B5EF4-FFF2-40B4-BE49-F238E27FC236}">
              <a16:creationId xmlns:a16="http://schemas.microsoft.com/office/drawing/2014/main" id="{69FFC326-D7C0-87AD-22F1-1BE72F617D31}"/>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65432</xdr:rowOff>
    </xdr:from>
    <xdr:to>
      <xdr:col>31</xdr:col>
      <xdr:colOff>19050</xdr:colOff>
      <xdr:row>169</xdr:row>
      <xdr:rowOff>141633</xdr:rowOff>
    </xdr:to>
    <xdr:sp macro="" textlink="">
      <xdr:nvSpPr>
        <xdr:cNvPr id="507922" name="Text Box 18" hidden="1">
          <a:extLst>
            <a:ext uri="{FF2B5EF4-FFF2-40B4-BE49-F238E27FC236}">
              <a16:creationId xmlns:a16="http://schemas.microsoft.com/office/drawing/2014/main" id="{254F6943-C90B-3196-B8C4-54B18BBCFDA8}"/>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149</xdr:row>
      <xdr:rowOff>65432</xdr:rowOff>
    </xdr:from>
    <xdr:to>
      <xdr:col>32</xdr:col>
      <xdr:colOff>19050</xdr:colOff>
      <xdr:row>169</xdr:row>
      <xdr:rowOff>141633</xdr:rowOff>
    </xdr:to>
    <xdr:sp macro="" textlink="">
      <xdr:nvSpPr>
        <xdr:cNvPr id="507921" name="Text Box 17" hidden="1">
          <a:extLst>
            <a:ext uri="{FF2B5EF4-FFF2-40B4-BE49-F238E27FC236}">
              <a16:creationId xmlns:a16="http://schemas.microsoft.com/office/drawing/2014/main" id="{1347CA2B-F5C3-194C-8FA6-CF6E81316671}"/>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149</xdr:row>
      <xdr:rowOff>65432</xdr:rowOff>
    </xdr:from>
    <xdr:to>
      <xdr:col>34</xdr:col>
      <xdr:colOff>19050</xdr:colOff>
      <xdr:row>169</xdr:row>
      <xdr:rowOff>141633</xdr:rowOff>
    </xdr:to>
    <xdr:sp macro="" textlink="">
      <xdr:nvSpPr>
        <xdr:cNvPr id="507920" name="Text Box 16" hidden="1">
          <a:extLst>
            <a:ext uri="{FF2B5EF4-FFF2-40B4-BE49-F238E27FC236}">
              <a16:creationId xmlns:a16="http://schemas.microsoft.com/office/drawing/2014/main" id="{95C13293-9C50-BC05-DE6C-7C52CD9C39A2}"/>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27885</xdr:rowOff>
    </xdr:from>
    <xdr:to>
      <xdr:col>34</xdr:col>
      <xdr:colOff>600075</xdr:colOff>
      <xdr:row>55</xdr:row>
      <xdr:rowOff>78685</xdr:rowOff>
    </xdr:to>
    <xdr:sp macro="" textlink="">
      <xdr:nvSpPr>
        <xdr:cNvPr id="507919" name="Text Box 15" hidden="1">
          <a:extLst>
            <a:ext uri="{FF2B5EF4-FFF2-40B4-BE49-F238E27FC236}">
              <a16:creationId xmlns:a16="http://schemas.microsoft.com/office/drawing/2014/main" id="{73243AA9-FB9E-3D3E-7C86-05058693DDD2}"/>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65432</xdr:rowOff>
    </xdr:from>
    <xdr:to>
      <xdr:col>34</xdr:col>
      <xdr:colOff>600075</xdr:colOff>
      <xdr:row>169</xdr:row>
      <xdr:rowOff>160683</xdr:rowOff>
    </xdr:to>
    <xdr:sp macro="" textlink="">
      <xdr:nvSpPr>
        <xdr:cNvPr id="507918" name="Text Box 14" hidden="1">
          <a:extLst>
            <a:ext uri="{FF2B5EF4-FFF2-40B4-BE49-F238E27FC236}">
              <a16:creationId xmlns:a16="http://schemas.microsoft.com/office/drawing/2014/main" id="{E136B19F-F338-4778-278F-D58C2A75AC6B}"/>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123135</xdr:rowOff>
    </xdr:to>
    <xdr:sp macro="" textlink="">
      <xdr:nvSpPr>
        <xdr:cNvPr id="507917" name="Text Box 13" hidden="1">
          <a:extLst>
            <a:ext uri="{FF2B5EF4-FFF2-40B4-BE49-F238E27FC236}">
              <a16:creationId xmlns:a16="http://schemas.microsoft.com/office/drawing/2014/main" id="{74234A77-7898-A2E1-C2B7-1627749F416D}"/>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507916" name="Text Box 12" hidden="1">
          <a:extLst>
            <a:ext uri="{FF2B5EF4-FFF2-40B4-BE49-F238E27FC236}">
              <a16:creationId xmlns:a16="http://schemas.microsoft.com/office/drawing/2014/main" id="{B7C73E6C-FC21-C876-D440-D6BC2B0D690C}"/>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507915" name="Text Box 11" hidden="1">
          <a:extLst>
            <a:ext uri="{FF2B5EF4-FFF2-40B4-BE49-F238E27FC236}">
              <a16:creationId xmlns:a16="http://schemas.microsoft.com/office/drawing/2014/main" id="{4B1E711F-DC22-74C9-9D9A-F658A17C0DEB}"/>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507914" name="Text Box 10" hidden="1">
          <a:extLst>
            <a:ext uri="{FF2B5EF4-FFF2-40B4-BE49-F238E27FC236}">
              <a16:creationId xmlns:a16="http://schemas.microsoft.com/office/drawing/2014/main" id="{7B06BADB-5F97-744F-EDB0-93025F5809AC}"/>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507913" name="Text Box 9" hidden="1">
          <a:extLst>
            <a:ext uri="{FF2B5EF4-FFF2-40B4-BE49-F238E27FC236}">
              <a16:creationId xmlns:a16="http://schemas.microsoft.com/office/drawing/2014/main" id="{B2FE9131-3BCA-59B8-DA44-8FA45C91EEB5}"/>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507912" name="Text Box 8" hidden="1">
          <a:extLst>
            <a:ext uri="{FF2B5EF4-FFF2-40B4-BE49-F238E27FC236}">
              <a16:creationId xmlns:a16="http://schemas.microsoft.com/office/drawing/2014/main" id="{030BF76E-6DC2-B4E8-EF4D-64948E4A446E}"/>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257175</xdr:colOff>
      <xdr:row>17</xdr:row>
      <xdr:rowOff>114300</xdr:rowOff>
    </xdr:from>
    <xdr:to>
      <xdr:col>32</xdr:col>
      <xdr:colOff>19050</xdr:colOff>
      <xdr:row>39</xdr:row>
      <xdr:rowOff>135835</xdr:rowOff>
    </xdr:to>
    <xdr:sp macro="" textlink="">
      <xdr:nvSpPr>
        <xdr:cNvPr id="507911" name="Text Box 7" hidden="1">
          <a:extLst>
            <a:ext uri="{FF2B5EF4-FFF2-40B4-BE49-F238E27FC236}">
              <a16:creationId xmlns:a16="http://schemas.microsoft.com/office/drawing/2014/main" id="{0CD870DC-A012-2B65-0409-B196C895AA7E}"/>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257175</xdr:colOff>
      <xdr:row>17</xdr:row>
      <xdr:rowOff>114300</xdr:rowOff>
    </xdr:from>
    <xdr:to>
      <xdr:col>33</xdr:col>
      <xdr:colOff>19050</xdr:colOff>
      <xdr:row>39</xdr:row>
      <xdr:rowOff>135835</xdr:rowOff>
    </xdr:to>
    <xdr:sp macro="" textlink="">
      <xdr:nvSpPr>
        <xdr:cNvPr id="507910" name="Text Box 6" hidden="1">
          <a:extLst>
            <a:ext uri="{FF2B5EF4-FFF2-40B4-BE49-F238E27FC236}">
              <a16:creationId xmlns:a16="http://schemas.microsoft.com/office/drawing/2014/main" id="{A93AC013-E0B4-289E-5696-A7FB532D248F}"/>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257175</xdr:colOff>
      <xdr:row>17</xdr:row>
      <xdr:rowOff>114300</xdr:rowOff>
    </xdr:from>
    <xdr:to>
      <xdr:col>33</xdr:col>
      <xdr:colOff>800100</xdr:colOff>
      <xdr:row>39</xdr:row>
      <xdr:rowOff>135835</xdr:rowOff>
    </xdr:to>
    <xdr:sp macro="" textlink="">
      <xdr:nvSpPr>
        <xdr:cNvPr id="507909" name="Text Box 5" hidden="1">
          <a:extLst>
            <a:ext uri="{FF2B5EF4-FFF2-40B4-BE49-F238E27FC236}">
              <a16:creationId xmlns:a16="http://schemas.microsoft.com/office/drawing/2014/main" id="{86C01A21-4AF5-2C91-F634-378E26E0017E}"/>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600075</xdr:colOff>
      <xdr:row>39</xdr:row>
      <xdr:rowOff>135835</xdr:rowOff>
    </xdr:to>
    <xdr:sp macro="" textlink="">
      <xdr:nvSpPr>
        <xdr:cNvPr id="507908" name="Text Box 4" hidden="1">
          <a:extLst>
            <a:ext uri="{FF2B5EF4-FFF2-40B4-BE49-F238E27FC236}">
              <a16:creationId xmlns:a16="http://schemas.microsoft.com/office/drawing/2014/main" id="{CDB44B27-AB5A-0088-CE53-24735A927A6A}"/>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159302</xdr:rowOff>
    </xdr:to>
    <xdr:sp macro="" textlink="">
      <xdr:nvSpPr>
        <xdr:cNvPr id="507907" name="Text Box 3" hidden="1">
          <a:extLst>
            <a:ext uri="{FF2B5EF4-FFF2-40B4-BE49-F238E27FC236}">
              <a16:creationId xmlns:a16="http://schemas.microsoft.com/office/drawing/2014/main" id="{C141517F-5549-10B7-ECA5-0FE00247CE22}"/>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600075</xdr:colOff>
      <xdr:row>36</xdr:row>
      <xdr:rowOff>135835</xdr:rowOff>
    </xdr:to>
    <xdr:sp macro="" textlink="">
      <xdr:nvSpPr>
        <xdr:cNvPr id="507906" name="Text Box 2" hidden="1">
          <a:extLst>
            <a:ext uri="{FF2B5EF4-FFF2-40B4-BE49-F238E27FC236}">
              <a16:creationId xmlns:a16="http://schemas.microsoft.com/office/drawing/2014/main" id="{6805A351-EB48-0AAB-2DF1-76A7DBA662B0}"/>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37</xdr:col>
      <xdr:colOff>711200</xdr:colOff>
      <xdr:row>32</xdr:row>
      <xdr:rowOff>140390</xdr:rowOff>
    </xdr:to>
    <xdr:sp macro="" textlink="">
      <xdr:nvSpPr>
        <xdr:cNvPr id="507905" name="Text Box 1" hidden="1">
          <a:extLst>
            <a:ext uri="{FF2B5EF4-FFF2-40B4-BE49-F238E27FC236}">
              <a16:creationId xmlns:a16="http://schemas.microsoft.com/office/drawing/2014/main" id="{CE7E8571-0E42-B15A-2B56-96990B8762A7}"/>
            </a:ext>
          </a:extLst>
        </xdr:cNvPr>
        <xdr:cNvSpPr txBox="1">
          <a:spLocks noChangeArrowheads="1"/>
        </xdr:cNvSpPr>
      </xdr:nvSpPr>
      <xdr:spPr bwMode="auto">
        <a:xfrm>
          <a:off x="28682950" y="2838450"/>
          <a:ext cx="48895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733425</xdr:colOff>
      <xdr:row>17</xdr:row>
      <xdr:rowOff>114300</xdr:rowOff>
    </xdr:from>
    <xdr:to>
      <xdr:col>35</xdr:col>
      <xdr:colOff>800100</xdr:colOff>
      <xdr:row>39</xdr:row>
      <xdr:rowOff>159302</xdr:rowOff>
    </xdr:to>
    <xdr:sp macro="" textlink="">
      <xdr:nvSpPr>
        <xdr:cNvPr id="507958" name="Text Box 54" hidden="1">
          <a:extLst>
            <a:ext uri="{FF2B5EF4-FFF2-40B4-BE49-F238E27FC236}">
              <a16:creationId xmlns:a16="http://schemas.microsoft.com/office/drawing/2014/main" id="{692742B5-2FC2-AB71-FC4A-9A3C9CC0AB2A}"/>
            </a:ext>
          </a:extLst>
        </xdr:cNvPr>
        <xdr:cNvSpPr txBox="1">
          <a:spLocks noChangeArrowheads="1"/>
        </xdr:cNvSpPr>
      </xdr:nvSpPr>
      <xdr:spPr bwMode="auto">
        <a:xfrm>
          <a:off x="2693035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171450</xdr:rowOff>
    </xdr:from>
    <xdr:to>
      <xdr:col>34</xdr:col>
      <xdr:colOff>628650</xdr:colOff>
      <xdr:row>45</xdr:row>
      <xdr:rowOff>0</xdr:rowOff>
    </xdr:to>
    <xdr:sp macro="" textlink="">
      <xdr:nvSpPr>
        <xdr:cNvPr id="508011" name="Text Box 107" hidden="1">
          <a:extLst>
            <a:ext uri="{FF2B5EF4-FFF2-40B4-BE49-F238E27FC236}">
              <a16:creationId xmlns:a16="http://schemas.microsoft.com/office/drawing/2014/main" id="{F5C17EA2-357E-CFFE-14E2-0C7951B2C53F}"/>
            </a:ext>
          </a:extLst>
        </xdr:cNvPr>
        <xdr:cNvSpPr txBox="1">
          <a:spLocks noChangeArrowheads="1"/>
        </xdr:cNvSpPr>
      </xdr:nvSpPr>
      <xdr:spPr bwMode="auto">
        <a:xfrm>
          <a:off x="25419050" y="5473700"/>
          <a:ext cx="52832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171450</xdr:rowOff>
    </xdr:from>
    <xdr:to>
      <xdr:col>38</xdr:col>
      <xdr:colOff>628650</xdr:colOff>
      <xdr:row>45</xdr:row>
      <xdr:rowOff>0</xdr:rowOff>
    </xdr:to>
    <xdr:sp macro="" textlink="">
      <xdr:nvSpPr>
        <xdr:cNvPr id="508010" name="Text Box 106" hidden="1">
          <a:extLst>
            <a:ext uri="{FF2B5EF4-FFF2-40B4-BE49-F238E27FC236}">
              <a16:creationId xmlns:a16="http://schemas.microsoft.com/office/drawing/2014/main" id="{41D52312-59DA-022E-6103-5CC24E1D71E7}"/>
            </a:ext>
          </a:extLst>
        </xdr:cNvPr>
        <xdr:cNvSpPr txBox="1">
          <a:spLocks noChangeArrowheads="1"/>
        </xdr:cNvSpPr>
      </xdr:nvSpPr>
      <xdr:spPr bwMode="auto">
        <a:xfrm>
          <a:off x="29292550" y="5473700"/>
          <a:ext cx="498475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30</xdr:row>
      <xdr:rowOff>95250</xdr:rowOff>
    </xdr:from>
    <xdr:to>
      <xdr:col>27</xdr:col>
      <xdr:colOff>628650</xdr:colOff>
      <xdr:row>50</xdr:row>
      <xdr:rowOff>95250</xdr:rowOff>
    </xdr:to>
    <xdr:sp macro="" textlink="">
      <xdr:nvSpPr>
        <xdr:cNvPr id="508009" name="Text Box 105" hidden="1">
          <a:extLst>
            <a:ext uri="{FF2B5EF4-FFF2-40B4-BE49-F238E27FC236}">
              <a16:creationId xmlns:a16="http://schemas.microsoft.com/office/drawing/2014/main" id="{A6EA0E90-5F2E-B97B-9023-676FD048E95D}"/>
            </a:ext>
          </a:extLst>
        </xdr:cNvPr>
        <xdr:cNvSpPr txBox="1">
          <a:spLocks noChangeArrowheads="1"/>
        </xdr:cNvSpPr>
      </xdr:nvSpPr>
      <xdr:spPr bwMode="auto">
        <a:xfrm>
          <a:off x="20066000" y="6502400"/>
          <a:ext cx="4349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95250</xdr:rowOff>
    </xdr:from>
    <xdr:to>
      <xdr:col>28</xdr:col>
      <xdr:colOff>628650</xdr:colOff>
      <xdr:row>50</xdr:row>
      <xdr:rowOff>95250</xdr:rowOff>
    </xdr:to>
    <xdr:sp macro="" textlink="">
      <xdr:nvSpPr>
        <xdr:cNvPr id="508008" name="Text Box 104" hidden="1">
          <a:extLst>
            <a:ext uri="{FF2B5EF4-FFF2-40B4-BE49-F238E27FC236}">
              <a16:creationId xmlns:a16="http://schemas.microsoft.com/office/drawing/2014/main" id="{295C935E-989E-7A2B-B4BC-1E81527ED743}"/>
            </a:ext>
          </a:extLst>
        </xdr:cNvPr>
        <xdr:cNvSpPr txBox="1">
          <a:spLocks noChangeArrowheads="1"/>
        </xdr:cNvSpPr>
      </xdr:nvSpPr>
      <xdr:spPr bwMode="auto">
        <a:xfrm>
          <a:off x="20828000" y="65024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30</xdr:row>
      <xdr:rowOff>95250</xdr:rowOff>
    </xdr:from>
    <xdr:to>
      <xdr:col>29</xdr:col>
      <xdr:colOff>628650</xdr:colOff>
      <xdr:row>50</xdr:row>
      <xdr:rowOff>95250</xdr:rowOff>
    </xdr:to>
    <xdr:sp macro="" textlink="">
      <xdr:nvSpPr>
        <xdr:cNvPr id="508007" name="Text Box 103" hidden="1">
          <a:extLst>
            <a:ext uri="{FF2B5EF4-FFF2-40B4-BE49-F238E27FC236}">
              <a16:creationId xmlns:a16="http://schemas.microsoft.com/office/drawing/2014/main" id="{D84F4AC6-8F40-0ED4-14CD-9C70AE8F170F}"/>
            </a:ext>
          </a:extLst>
        </xdr:cNvPr>
        <xdr:cNvSpPr txBox="1">
          <a:spLocks noChangeArrowheads="1"/>
        </xdr:cNvSpPr>
      </xdr:nvSpPr>
      <xdr:spPr bwMode="auto">
        <a:xfrm>
          <a:off x="21590000" y="65024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30</xdr:row>
      <xdr:rowOff>95250</xdr:rowOff>
    </xdr:from>
    <xdr:to>
      <xdr:col>30</xdr:col>
      <xdr:colOff>628650</xdr:colOff>
      <xdr:row>50</xdr:row>
      <xdr:rowOff>95250</xdr:rowOff>
    </xdr:to>
    <xdr:sp macro="" textlink="">
      <xdr:nvSpPr>
        <xdr:cNvPr id="508006" name="Text Box 102" hidden="1">
          <a:extLst>
            <a:ext uri="{FF2B5EF4-FFF2-40B4-BE49-F238E27FC236}">
              <a16:creationId xmlns:a16="http://schemas.microsoft.com/office/drawing/2014/main" id="{D9B43637-B95A-11D1-3064-D8BF2C3BE0E8}"/>
            </a:ext>
          </a:extLst>
        </xdr:cNvPr>
        <xdr:cNvSpPr txBox="1">
          <a:spLocks noChangeArrowheads="1"/>
        </xdr:cNvSpPr>
      </xdr:nvSpPr>
      <xdr:spPr bwMode="auto">
        <a:xfrm>
          <a:off x="22352000" y="6502400"/>
          <a:ext cx="4476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30</xdr:row>
      <xdr:rowOff>95250</xdr:rowOff>
    </xdr:from>
    <xdr:to>
      <xdr:col>31</xdr:col>
      <xdr:colOff>628650</xdr:colOff>
      <xdr:row>50</xdr:row>
      <xdr:rowOff>95250</xdr:rowOff>
    </xdr:to>
    <xdr:sp macro="" textlink="">
      <xdr:nvSpPr>
        <xdr:cNvPr id="508005" name="Text Box 101" hidden="1">
          <a:extLst>
            <a:ext uri="{FF2B5EF4-FFF2-40B4-BE49-F238E27FC236}">
              <a16:creationId xmlns:a16="http://schemas.microsoft.com/office/drawing/2014/main" id="{5C2F229A-1EE5-74E2-6B5F-0F0421BBE6B1}"/>
            </a:ext>
          </a:extLst>
        </xdr:cNvPr>
        <xdr:cNvSpPr txBox="1">
          <a:spLocks noChangeArrowheads="1"/>
        </xdr:cNvSpPr>
      </xdr:nvSpPr>
      <xdr:spPr bwMode="auto">
        <a:xfrm>
          <a:off x="23114000" y="6502400"/>
          <a:ext cx="49593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30</xdr:row>
      <xdr:rowOff>95250</xdr:rowOff>
    </xdr:from>
    <xdr:to>
      <xdr:col>32</xdr:col>
      <xdr:colOff>628650</xdr:colOff>
      <xdr:row>50</xdr:row>
      <xdr:rowOff>95250</xdr:rowOff>
    </xdr:to>
    <xdr:sp macro="" textlink="">
      <xdr:nvSpPr>
        <xdr:cNvPr id="508004" name="Text Box 100" hidden="1">
          <a:extLst>
            <a:ext uri="{FF2B5EF4-FFF2-40B4-BE49-F238E27FC236}">
              <a16:creationId xmlns:a16="http://schemas.microsoft.com/office/drawing/2014/main" id="{37469E07-9CA9-AC36-0D82-736896BFDEC2}"/>
            </a:ext>
          </a:extLst>
        </xdr:cNvPr>
        <xdr:cNvSpPr txBox="1">
          <a:spLocks noChangeArrowheads="1"/>
        </xdr:cNvSpPr>
      </xdr:nvSpPr>
      <xdr:spPr bwMode="auto">
        <a:xfrm>
          <a:off x="23882350" y="6502400"/>
          <a:ext cx="50673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30</xdr:row>
      <xdr:rowOff>95250</xdr:rowOff>
    </xdr:from>
    <xdr:to>
      <xdr:col>33</xdr:col>
      <xdr:colOff>628650</xdr:colOff>
      <xdr:row>50</xdr:row>
      <xdr:rowOff>95250</xdr:rowOff>
    </xdr:to>
    <xdr:sp macro="" textlink="">
      <xdr:nvSpPr>
        <xdr:cNvPr id="508003" name="Text Box 99" hidden="1">
          <a:extLst>
            <a:ext uri="{FF2B5EF4-FFF2-40B4-BE49-F238E27FC236}">
              <a16:creationId xmlns:a16="http://schemas.microsoft.com/office/drawing/2014/main" id="{B846727C-114E-1260-E601-8AAA4A292593}"/>
            </a:ext>
          </a:extLst>
        </xdr:cNvPr>
        <xdr:cNvSpPr txBox="1">
          <a:spLocks noChangeArrowheads="1"/>
        </xdr:cNvSpPr>
      </xdr:nvSpPr>
      <xdr:spPr bwMode="auto">
        <a:xfrm>
          <a:off x="24650700" y="6502400"/>
          <a:ext cx="51752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30</xdr:row>
      <xdr:rowOff>95250</xdr:rowOff>
    </xdr:from>
    <xdr:to>
      <xdr:col>34</xdr:col>
      <xdr:colOff>628650</xdr:colOff>
      <xdr:row>50</xdr:row>
      <xdr:rowOff>95250</xdr:rowOff>
    </xdr:to>
    <xdr:sp macro="" textlink="">
      <xdr:nvSpPr>
        <xdr:cNvPr id="508002" name="Text Box 98" hidden="1">
          <a:extLst>
            <a:ext uri="{FF2B5EF4-FFF2-40B4-BE49-F238E27FC236}">
              <a16:creationId xmlns:a16="http://schemas.microsoft.com/office/drawing/2014/main" id="{39002D3E-C009-701D-1F3A-7FCF5C0669C9}"/>
            </a:ext>
          </a:extLst>
        </xdr:cNvPr>
        <xdr:cNvSpPr txBox="1">
          <a:spLocks noChangeArrowheads="1"/>
        </xdr:cNvSpPr>
      </xdr:nvSpPr>
      <xdr:spPr bwMode="auto">
        <a:xfrm>
          <a:off x="25419050" y="6502400"/>
          <a:ext cx="52832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152400</xdr:rowOff>
    </xdr:from>
    <xdr:to>
      <xdr:col>16</xdr:col>
      <xdr:colOff>323850</xdr:colOff>
      <xdr:row>55</xdr:row>
      <xdr:rowOff>0</xdr:rowOff>
    </xdr:to>
    <xdr:sp macro="" textlink="">
      <xdr:nvSpPr>
        <xdr:cNvPr id="508001" name="Text Box 97" hidden="1">
          <a:extLst>
            <a:ext uri="{FF2B5EF4-FFF2-40B4-BE49-F238E27FC236}">
              <a16:creationId xmlns:a16="http://schemas.microsoft.com/office/drawing/2014/main" id="{F9F35E2E-D7B0-CF1E-1AD5-E215617FFF50}"/>
            </a:ext>
          </a:extLst>
        </xdr:cNvPr>
        <xdr:cNvSpPr txBox="1">
          <a:spLocks noChangeArrowheads="1"/>
        </xdr:cNvSpPr>
      </xdr:nvSpPr>
      <xdr:spPr bwMode="auto">
        <a:xfrm>
          <a:off x="10788650" y="7473950"/>
          <a:ext cx="48577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41</xdr:row>
      <xdr:rowOff>133350</xdr:rowOff>
    </xdr:from>
    <xdr:to>
      <xdr:col>16</xdr:col>
      <xdr:colOff>323850</xdr:colOff>
      <xdr:row>61</xdr:row>
      <xdr:rowOff>92075</xdr:rowOff>
    </xdr:to>
    <xdr:sp macro="" textlink="">
      <xdr:nvSpPr>
        <xdr:cNvPr id="508000" name="Text Box 96" hidden="1">
          <a:extLst>
            <a:ext uri="{FF2B5EF4-FFF2-40B4-BE49-F238E27FC236}">
              <a16:creationId xmlns:a16="http://schemas.microsoft.com/office/drawing/2014/main" id="{FD801B21-2860-522C-2D3B-B34E6DE0E2A2}"/>
            </a:ext>
          </a:extLst>
        </xdr:cNvPr>
        <xdr:cNvSpPr txBox="1">
          <a:spLocks noChangeArrowheads="1"/>
        </xdr:cNvSpPr>
      </xdr:nvSpPr>
      <xdr:spPr bwMode="auto">
        <a:xfrm>
          <a:off x="10788650" y="8559800"/>
          <a:ext cx="48577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41</xdr:row>
      <xdr:rowOff>133350</xdr:rowOff>
    </xdr:from>
    <xdr:to>
      <xdr:col>17</xdr:col>
      <xdr:colOff>552450</xdr:colOff>
      <xdr:row>61</xdr:row>
      <xdr:rowOff>92075</xdr:rowOff>
    </xdr:to>
    <xdr:sp macro="" textlink="">
      <xdr:nvSpPr>
        <xdr:cNvPr id="507999" name="Text Box 95" hidden="1">
          <a:extLst>
            <a:ext uri="{FF2B5EF4-FFF2-40B4-BE49-F238E27FC236}">
              <a16:creationId xmlns:a16="http://schemas.microsoft.com/office/drawing/2014/main" id="{77C6B6E0-1405-47A2-68A2-82132D63F6D6}"/>
            </a:ext>
          </a:extLst>
        </xdr:cNvPr>
        <xdr:cNvSpPr txBox="1">
          <a:spLocks noChangeArrowheads="1"/>
        </xdr:cNvSpPr>
      </xdr:nvSpPr>
      <xdr:spPr bwMode="auto">
        <a:xfrm>
          <a:off x="11887200" y="8559800"/>
          <a:ext cx="47498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41</xdr:row>
      <xdr:rowOff>133350</xdr:rowOff>
    </xdr:from>
    <xdr:to>
      <xdr:col>18</xdr:col>
      <xdr:colOff>476250</xdr:colOff>
      <xdr:row>61</xdr:row>
      <xdr:rowOff>92075</xdr:rowOff>
    </xdr:to>
    <xdr:sp macro="" textlink="">
      <xdr:nvSpPr>
        <xdr:cNvPr id="507998" name="Text Box 94" hidden="1">
          <a:extLst>
            <a:ext uri="{FF2B5EF4-FFF2-40B4-BE49-F238E27FC236}">
              <a16:creationId xmlns:a16="http://schemas.microsoft.com/office/drawing/2014/main" id="{5F414EF9-70FC-7D45-36F1-23E13AD34AFC}"/>
            </a:ext>
          </a:extLst>
        </xdr:cNvPr>
        <xdr:cNvSpPr txBox="1">
          <a:spLocks noChangeArrowheads="1"/>
        </xdr:cNvSpPr>
      </xdr:nvSpPr>
      <xdr:spPr bwMode="auto">
        <a:xfrm>
          <a:off x="12757150" y="8559800"/>
          <a:ext cx="45656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152400</xdr:rowOff>
    </xdr:from>
    <xdr:to>
      <xdr:col>9</xdr:col>
      <xdr:colOff>609600</xdr:colOff>
      <xdr:row>78</xdr:row>
      <xdr:rowOff>133350</xdr:rowOff>
    </xdr:to>
    <xdr:sp macro="" textlink="">
      <xdr:nvSpPr>
        <xdr:cNvPr id="507997" name="Text Box 93" hidden="1">
          <a:extLst>
            <a:ext uri="{FF2B5EF4-FFF2-40B4-BE49-F238E27FC236}">
              <a16:creationId xmlns:a16="http://schemas.microsoft.com/office/drawing/2014/main" id="{F7FD3091-780A-7D22-D4A2-CB654E96BDA2}"/>
            </a:ext>
          </a:extLst>
        </xdr:cNvPr>
        <xdr:cNvSpPr txBox="1">
          <a:spLocks noChangeArrowheads="1"/>
        </xdr:cNvSpPr>
      </xdr:nvSpPr>
      <xdr:spPr bwMode="auto">
        <a:xfrm>
          <a:off x="5118100" y="11709400"/>
          <a:ext cx="4343400" cy="479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323850</xdr:rowOff>
    </xdr:from>
    <xdr:to>
      <xdr:col>9</xdr:col>
      <xdr:colOff>628650</xdr:colOff>
      <xdr:row>81</xdr:row>
      <xdr:rowOff>0</xdr:rowOff>
    </xdr:to>
    <xdr:sp macro="" textlink="">
      <xdr:nvSpPr>
        <xdr:cNvPr id="507995" name="Text Box 91" hidden="1">
          <a:extLst>
            <a:ext uri="{FF2B5EF4-FFF2-40B4-BE49-F238E27FC236}">
              <a16:creationId xmlns:a16="http://schemas.microsoft.com/office/drawing/2014/main" id="{5EFB574F-3024-3606-6ED6-7F737A24E38D}"/>
            </a:ext>
          </a:extLst>
        </xdr:cNvPr>
        <xdr:cNvSpPr txBox="1">
          <a:spLocks noChangeArrowheads="1"/>
        </xdr:cNvSpPr>
      </xdr:nvSpPr>
      <xdr:spPr bwMode="auto">
        <a:xfrm>
          <a:off x="5118100" y="13182600"/>
          <a:ext cx="43624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111125</xdr:rowOff>
    </xdr:from>
    <xdr:to>
      <xdr:col>9</xdr:col>
      <xdr:colOff>628650</xdr:colOff>
      <xdr:row>85</xdr:row>
      <xdr:rowOff>0</xdr:rowOff>
    </xdr:to>
    <xdr:sp macro="" textlink="">
      <xdr:nvSpPr>
        <xdr:cNvPr id="507994" name="Text Box 90" hidden="1">
          <a:extLst>
            <a:ext uri="{FF2B5EF4-FFF2-40B4-BE49-F238E27FC236}">
              <a16:creationId xmlns:a16="http://schemas.microsoft.com/office/drawing/2014/main" id="{22CAED8F-18A0-993B-4822-4B2B55F46475}"/>
            </a:ext>
          </a:extLst>
        </xdr:cNvPr>
        <xdr:cNvSpPr txBox="1">
          <a:spLocks noChangeArrowheads="1"/>
        </xdr:cNvSpPr>
      </xdr:nvSpPr>
      <xdr:spPr bwMode="auto">
        <a:xfrm>
          <a:off x="5118100" y="137795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190500</xdr:rowOff>
    </xdr:from>
    <xdr:to>
      <xdr:col>9</xdr:col>
      <xdr:colOff>609600</xdr:colOff>
      <xdr:row>82</xdr:row>
      <xdr:rowOff>133350</xdr:rowOff>
    </xdr:to>
    <xdr:sp macro="" textlink="">
      <xdr:nvSpPr>
        <xdr:cNvPr id="507993" name="Text Box 89" hidden="1">
          <a:extLst>
            <a:ext uri="{FF2B5EF4-FFF2-40B4-BE49-F238E27FC236}">
              <a16:creationId xmlns:a16="http://schemas.microsoft.com/office/drawing/2014/main" id="{144B6F52-99A4-8FC5-CDD0-95E9876D0FAD}"/>
            </a:ext>
          </a:extLst>
        </xdr:cNvPr>
        <xdr:cNvSpPr txBox="1">
          <a:spLocks noChangeArrowheads="1"/>
        </xdr:cNvSpPr>
      </xdr:nvSpPr>
      <xdr:spPr bwMode="auto">
        <a:xfrm>
          <a:off x="5118100" y="13436600"/>
          <a:ext cx="4343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133350</xdr:rowOff>
    </xdr:from>
    <xdr:to>
      <xdr:col>9</xdr:col>
      <xdr:colOff>628650</xdr:colOff>
      <xdr:row>89</xdr:row>
      <xdr:rowOff>0</xdr:rowOff>
    </xdr:to>
    <xdr:sp macro="" textlink="">
      <xdr:nvSpPr>
        <xdr:cNvPr id="507992" name="Text Box 88" hidden="1">
          <a:extLst>
            <a:ext uri="{FF2B5EF4-FFF2-40B4-BE49-F238E27FC236}">
              <a16:creationId xmlns:a16="http://schemas.microsoft.com/office/drawing/2014/main" id="{C6D565F1-F8E6-5C7F-2A8B-2393D3B5E844}"/>
            </a:ext>
          </a:extLst>
        </xdr:cNvPr>
        <xdr:cNvSpPr txBox="1">
          <a:spLocks noChangeArrowheads="1"/>
        </xdr:cNvSpPr>
      </xdr:nvSpPr>
      <xdr:spPr bwMode="auto">
        <a:xfrm>
          <a:off x="5118100" y="14560550"/>
          <a:ext cx="436245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149225</xdr:rowOff>
    </xdr:from>
    <xdr:to>
      <xdr:col>9</xdr:col>
      <xdr:colOff>628650</xdr:colOff>
      <xdr:row>108</xdr:row>
      <xdr:rowOff>76200</xdr:rowOff>
    </xdr:to>
    <xdr:sp macro="" textlink="">
      <xdr:nvSpPr>
        <xdr:cNvPr id="507990" name="Text Box 86" hidden="1">
          <a:extLst>
            <a:ext uri="{FF2B5EF4-FFF2-40B4-BE49-F238E27FC236}">
              <a16:creationId xmlns:a16="http://schemas.microsoft.com/office/drawing/2014/main" id="{3B5681C3-176E-5F61-B438-0A2F548E7031}"/>
            </a:ext>
          </a:extLst>
        </xdr:cNvPr>
        <xdr:cNvSpPr txBox="1">
          <a:spLocks noChangeArrowheads="1"/>
        </xdr:cNvSpPr>
      </xdr:nvSpPr>
      <xdr:spPr bwMode="auto">
        <a:xfrm>
          <a:off x="5118100" y="18789650"/>
          <a:ext cx="4362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53975</xdr:rowOff>
    </xdr:from>
    <xdr:to>
      <xdr:col>9</xdr:col>
      <xdr:colOff>628650</xdr:colOff>
      <xdr:row>109</xdr:row>
      <xdr:rowOff>114300</xdr:rowOff>
    </xdr:to>
    <xdr:sp macro="" textlink="">
      <xdr:nvSpPr>
        <xdr:cNvPr id="507989" name="Text Box 85" hidden="1">
          <a:extLst>
            <a:ext uri="{FF2B5EF4-FFF2-40B4-BE49-F238E27FC236}">
              <a16:creationId xmlns:a16="http://schemas.microsoft.com/office/drawing/2014/main" id="{FE2E1FA5-7881-3BD9-2F2D-1B2FAFBEA4FB}"/>
            </a:ext>
          </a:extLst>
        </xdr:cNvPr>
        <xdr:cNvSpPr txBox="1">
          <a:spLocks noChangeArrowheads="1"/>
        </xdr:cNvSpPr>
      </xdr:nvSpPr>
      <xdr:spPr bwMode="auto">
        <a:xfrm>
          <a:off x="5118100" y="188785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57150</xdr:rowOff>
    </xdr:from>
    <xdr:to>
      <xdr:col>9</xdr:col>
      <xdr:colOff>628650</xdr:colOff>
      <xdr:row>110</xdr:row>
      <xdr:rowOff>114300</xdr:rowOff>
    </xdr:to>
    <xdr:sp macro="" textlink="">
      <xdr:nvSpPr>
        <xdr:cNvPr id="507988" name="Text Box 84" hidden="1">
          <a:extLst>
            <a:ext uri="{FF2B5EF4-FFF2-40B4-BE49-F238E27FC236}">
              <a16:creationId xmlns:a16="http://schemas.microsoft.com/office/drawing/2014/main" id="{73185563-E4B6-8C92-4818-7BA2125450F4}"/>
            </a:ext>
          </a:extLst>
        </xdr:cNvPr>
        <xdr:cNvSpPr txBox="1">
          <a:spLocks noChangeArrowheads="1"/>
        </xdr:cNvSpPr>
      </xdr:nvSpPr>
      <xdr:spPr bwMode="auto">
        <a:xfrm>
          <a:off x="5118100" y="19062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15875</xdr:rowOff>
    </xdr:from>
    <xdr:to>
      <xdr:col>9</xdr:col>
      <xdr:colOff>628650</xdr:colOff>
      <xdr:row>109</xdr:row>
      <xdr:rowOff>114300</xdr:rowOff>
    </xdr:to>
    <xdr:sp macro="" textlink="">
      <xdr:nvSpPr>
        <xdr:cNvPr id="507987" name="Text Box 83" hidden="1">
          <a:extLst>
            <a:ext uri="{FF2B5EF4-FFF2-40B4-BE49-F238E27FC236}">
              <a16:creationId xmlns:a16="http://schemas.microsoft.com/office/drawing/2014/main" id="{6B392074-DB47-9992-482A-0912F0D57604}"/>
            </a:ext>
          </a:extLst>
        </xdr:cNvPr>
        <xdr:cNvSpPr txBox="1">
          <a:spLocks noChangeArrowheads="1"/>
        </xdr:cNvSpPr>
      </xdr:nvSpPr>
      <xdr:spPr bwMode="auto">
        <a:xfrm>
          <a:off x="5118100" y="1884045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190500</xdr:rowOff>
    </xdr:from>
    <xdr:to>
      <xdr:col>9</xdr:col>
      <xdr:colOff>628650</xdr:colOff>
      <xdr:row>126</xdr:row>
      <xdr:rowOff>152400</xdr:rowOff>
    </xdr:to>
    <xdr:sp macro="" textlink="">
      <xdr:nvSpPr>
        <xdr:cNvPr id="507986" name="Text Box 82" hidden="1">
          <a:extLst>
            <a:ext uri="{FF2B5EF4-FFF2-40B4-BE49-F238E27FC236}">
              <a16:creationId xmlns:a16="http://schemas.microsoft.com/office/drawing/2014/main" id="{2BA32020-497D-D775-10D9-3584BA52E627}"/>
            </a:ext>
          </a:extLst>
        </xdr:cNvPr>
        <xdr:cNvSpPr txBox="1">
          <a:spLocks noChangeArrowheads="1"/>
        </xdr:cNvSpPr>
      </xdr:nvSpPr>
      <xdr:spPr bwMode="auto">
        <a:xfrm>
          <a:off x="5118100" y="22320250"/>
          <a:ext cx="43624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108</xdr:row>
      <xdr:rowOff>152400</xdr:rowOff>
    </xdr:from>
    <xdr:to>
      <xdr:col>9</xdr:col>
      <xdr:colOff>628650</xdr:colOff>
      <xdr:row>128</xdr:row>
      <xdr:rowOff>19050</xdr:rowOff>
    </xdr:to>
    <xdr:sp macro="" textlink="">
      <xdr:nvSpPr>
        <xdr:cNvPr id="507985" name="Text Box 81" hidden="1">
          <a:extLst>
            <a:ext uri="{FF2B5EF4-FFF2-40B4-BE49-F238E27FC236}">
              <a16:creationId xmlns:a16="http://schemas.microsoft.com/office/drawing/2014/main" id="{E41234FD-CFA3-88E6-4FBC-06BE29471B2F}"/>
            </a:ext>
          </a:extLst>
        </xdr:cNvPr>
        <xdr:cNvSpPr txBox="1">
          <a:spLocks noChangeArrowheads="1"/>
        </xdr:cNvSpPr>
      </xdr:nvSpPr>
      <xdr:spPr bwMode="auto">
        <a:xfrm>
          <a:off x="5118100" y="2270760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76200</xdr:rowOff>
    </xdr:from>
    <xdr:to>
      <xdr:col>9</xdr:col>
      <xdr:colOff>628650</xdr:colOff>
      <xdr:row>134</xdr:row>
      <xdr:rowOff>38100</xdr:rowOff>
    </xdr:to>
    <xdr:sp macro="" textlink="">
      <xdr:nvSpPr>
        <xdr:cNvPr id="507984" name="Text Box 80" hidden="1">
          <a:extLst>
            <a:ext uri="{FF2B5EF4-FFF2-40B4-BE49-F238E27FC236}">
              <a16:creationId xmlns:a16="http://schemas.microsoft.com/office/drawing/2014/main" id="{0DDBCDE1-2966-751B-4AB1-A8C12D7E759B}"/>
            </a:ext>
          </a:extLst>
        </xdr:cNvPr>
        <xdr:cNvSpPr txBox="1">
          <a:spLocks noChangeArrowheads="1"/>
        </xdr:cNvSpPr>
      </xdr:nvSpPr>
      <xdr:spPr bwMode="auto">
        <a:xfrm>
          <a:off x="5118100" y="23736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76200</xdr:rowOff>
    </xdr:from>
    <xdr:to>
      <xdr:col>9</xdr:col>
      <xdr:colOff>628650</xdr:colOff>
      <xdr:row>135</xdr:row>
      <xdr:rowOff>76200</xdr:rowOff>
    </xdr:to>
    <xdr:sp macro="" textlink="">
      <xdr:nvSpPr>
        <xdr:cNvPr id="507983" name="Text Box 79" hidden="1">
          <a:extLst>
            <a:ext uri="{FF2B5EF4-FFF2-40B4-BE49-F238E27FC236}">
              <a16:creationId xmlns:a16="http://schemas.microsoft.com/office/drawing/2014/main" id="{D81B3F9C-50AB-7C05-53BF-AB5125B767C2}"/>
            </a:ext>
          </a:extLst>
        </xdr:cNvPr>
        <xdr:cNvSpPr txBox="1">
          <a:spLocks noChangeArrowheads="1"/>
        </xdr:cNvSpPr>
      </xdr:nvSpPr>
      <xdr:spPr bwMode="auto">
        <a:xfrm>
          <a:off x="5118100" y="239204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138</xdr:row>
      <xdr:rowOff>57150</xdr:rowOff>
    </xdr:from>
    <xdr:to>
      <xdr:col>26</xdr:col>
      <xdr:colOff>628650</xdr:colOff>
      <xdr:row>158</xdr:row>
      <xdr:rowOff>133350</xdr:rowOff>
    </xdr:to>
    <xdr:sp macro="" textlink="">
      <xdr:nvSpPr>
        <xdr:cNvPr id="507982" name="Text Box 78" hidden="1">
          <a:extLst>
            <a:ext uri="{FF2B5EF4-FFF2-40B4-BE49-F238E27FC236}">
              <a16:creationId xmlns:a16="http://schemas.microsoft.com/office/drawing/2014/main" id="{3E5B1E81-5728-B55C-568C-705A7F44346E}"/>
            </a:ext>
          </a:extLst>
        </xdr:cNvPr>
        <xdr:cNvSpPr txBox="1">
          <a:spLocks noChangeArrowheads="1"/>
        </xdr:cNvSpPr>
      </xdr:nvSpPr>
      <xdr:spPr bwMode="auto">
        <a:xfrm>
          <a:off x="19304000" y="2818765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141</xdr:row>
      <xdr:rowOff>57150</xdr:rowOff>
    </xdr:from>
    <xdr:to>
      <xdr:col>27</xdr:col>
      <xdr:colOff>628650</xdr:colOff>
      <xdr:row>161</xdr:row>
      <xdr:rowOff>133350</xdr:rowOff>
    </xdr:to>
    <xdr:sp macro="" textlink="">
      <xdr:nvSpPr>
        <xdr:cNvPr id="507981" name="Text Box 77" hidden="1">
          <a:extLst>
            <a:ext uri="{FF2B5EF4-FFF2-40B4-BE49-F238E27FC236}">
              <a16:creationId xmlns:a16="http://schemas.microsoft.com/office/drawing/2014/main" id="{D65AB6EE-52A5-8077-ED26-5DB7BE4BB0DE}"/>
            </a:ext>
          </a:extLst>
        </xdr:cNvPr>
        <xdr:cNvSpPr txBox="1">
          <a:spLocks noChangeArrowheads="1"/>
        </xdr:cNvSpPr>
      </xdr:nvSpPr>
      <xdr:spPr bwMode="auto">
        <a:xfrm>
          <a:off x="20066000" y="2874010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141</xdr:row>
      <xdr:rowOff>57150</xdr:rowOff>
    </xdr:from>
    <xdr:to>
      <xdr:col>28</xdr:col>
      <xdr:colOff>628650</xdr:colOff>
      <xdr:row>161</xdr:row>
      <xdr:rowOff>133350</xdr:rowOff>
    </xdr:to>
    <xdr:sp macro="" textlink="">
      <xdr:nvSpPr>
        <xdr:cNvPr id="507980" name="Text Box 76" hidden="1">
          <a:extLst>
            <a:ext uri="{FF2B5EF4-FFF2-40B4-BE49-F238E27FC236}">
              <a16:creationId xmlns:a16="http://schemas.microsoft.com/office/drawing/2014/main" id="{319A7BD4-7BD3-782D-8D71-9B561C5361E6}"/>
            </a:ext>
          </a:extLst>
        </xdr:cNvPr>
        <xdr:cNvSpPr txBox="1">
          <a:spLocks noChangeArrowheads="1"/>
        </xdr:cNvSpPr>
      </xdr:nvSpPr>
      <xdr:spPr bwMode="auto">
        <a:xfrm>
          <a:off x="20828000" y="2874010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141</xdr:row>
      <xdr:rowOff>57150</xdr:rowOff>
    </xdr:from>
    <xdr:to>
      <xdr:col>29</xdr:col>
      <xdr:colOff>628650</xdr:colOff>
      <xdr:row>161</xdr:row>
      <xdr:rowOff>133350</xdr:rowOff>
    </xdr:to>
    <xdr:sp macro="" textlink="">
      <xdr:nvSpPr>
        <xdr:cNvPr id="507979" name="Text Box 75" hidden="1">
          <a:extLst>
            <a:ext uri="{FF2B5EF4-FFF2-40B4-BE49-F238E27FC236}">
              <a16:creationId xmlns:a16="http://schemas.microsoft.com/office/drawing/2014/main" id="{7AE8A3FB-8D41-E614-DAE1-19A7EA852989}"/>
            </a:ext>
          </a:extLst>
        </xdr:cNvPr>
        <xdr:cNvSpPr txBox="1">
          <a:spLocks noChangeArrowheads="1"/>
        </xdr:cNvSpPr>
      </xdr:nvSpPr>
      <xdr:spPr bwMode="auto">
        <a:xfrm>
          <a:off x="21590000" y="287401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57150</xdr:rowOff>
    </xdr:from>
    <xdr:to>
      <xdr:col>30</xdr:col>
      <xdr:colOff>628650</xdr:colOff>
      <xdr:row>161</xdr:row>
      <xdr:rowOff>133350</xdr:rowOff>
    </xdr:to>
    <xdr:sp macro="" textlink="">
      <xdr:nvSpPr>
        <xdr:cNvPr id="507978" name="Text Box 74" hidden="1">
          <a:extLst>
            <a:ext uri="{FF2B5EF4-FFF2-40B4-BE49-F238E27FC236}">
              <a16:creationId xmlns:a16="http://schemas.microsoft.com/office/drawing/2014/main" id="{222F534A-1CA5-CBBE-3C18-7C095A25B087}"/>
            </a:ext>
          </a:extLst>
        </xdr:cNvPr>
        <xdr:cNvSpPr txBox="1">
          <a:spLocks noChangeArrowheads="1"/>
        </xdr:cNvSpPr>
      </xdr:nvSpPr>
      <xdr:spPr bwMode="auto">
        <a:xfrm>
          <a:off x="22352000" y="2874010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57150</xdr:rowOff>
    </xdr:from>
    <xdr:to>
      <xdr:col>31</xdr:col>
      <xdr:colOff>628650</xdr:colOff>
      <xdr:row>161</xdr:row>
      <xdr:rowOff>133350</xdr:rowOff>
    </xdr:to>
    <xdr:sp macro="" textlink="">
      <xdr:nvSpPr>
        <xdr:cNvPr id="507977" name="Text Box 73" hidden="1">
          <a:extLst>
            <a:ext uri="{FF2B5EF4-FFF2-40B4-BE49-F238E27FC236}">
              <a16:creationId xmlns:a16="http://schemas.microsoft.com/office/drawing/2014/main" id="{EF69DAF8-ADE5-56F9-EC39-6891843A46BC}"/>
            </a:ext>
          </a:extLst>
        </xdr:cNvPr>
        <xdr:cNvSpPr txBox="1">
          <a:spLocks noChangeArrowheads="1"/>
        </xdr:cNvSpPr>
      </xdr:nvSpPr>
      <xdr:spPr bwMode="auto">
        <a:xfrm>
          <a:off x="23114000" y="2874010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141</xdr:row>
      <xdr:rowOff>57150</xdr:rowOff>
    </xdr:from>
    <xdr:to>
      <xdr:col>32</xdr:col>
      <xdr:colOff>628650</xdr:colOff>
      <xdr:row>161</xdr:row>
      <xdr:rowOff>133350</xdr:rowOff>
    </xdr:to>
    <xdr:sp macro="" textlink="">
      <xdr:nvSpPr>
        <xdr:cNvPr id="507976" name="Text Box 72" hidden="1">
          <a:extLst>
            <a:ext uri="{FF2B5EF4-FFF2-40B4-BE49-F238E27FC236}">
              <a16:creationId xmlns:a16="http://schemas.microsoft.com/office/drawing/2014/main" id="{7AF07ABB-BE9C-0C60-34D3-0E088AE60D86}"/>
            </a:ext>
          </a:extLst>
        </xdr:cNvPr>
        <xdr:cNvSpPr txBox="1">
          <a:spLocks noChangeArrowheads="1"/>
        </xdr:cNvSpPr>
      </xdr:nvSpPr>
      <xdr:spPr bwMode="auto">
        <a:xfrm>
          <a:off x="23882350" y="2874010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141</xdr:row>
      <xdr:rowOff>57150</xdr:rowOff>
    </xdr:from>
    <xdr:to>
      <xdr:col>34</xdr:col>
      <xdr:colOff>628650</xdr:colOff>
      <xdr:row>161</xdr:row>
      <xdr:rowOff>133350</xdr:rowOff>
    </xdr:to>
    <xdr:sp macro="" textlink="">
      <xdr:nvSpPr>
        <xdr:cNvPr id="507975" name="Text Box 71" hidden="1">
          <a:extLst>
            <a:ext uri="{FF2B5EF4-FFF2-40B4-BE49-F238E27FC236}">
              <a16:creationId xmlns:a16="http://schemas.microsoft.com/office/drawing/2014/main" id="{6830C96B-0D65-08B0-E5B1-47ED98361EA1}"/>
            </a:ext>
          </a:extLst>
        </xdr:cNvPr>
        <xdr:cNvSpPr txBox="1">
          <a:spLocks noChangeArrowheads="1"/>
        </xdr:cNvSpPr>
      </xdr:nvSpPr>
      <xdr:spPr bwMode="auto">
        <a:xfrm>
          <a:off x="25419050" y="2874010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30</xdr:row>
      <xdr:rowOff>95250</xdr:rowOff>
    </xdr:from>
    <xdr:to>
      <xdr:col>35</xdr:col>
      <xdr:colOff>171450</xdr:colOff>
      <xdr:row>50</xdr:row>
      <xdr:rowOff>114300</xdr:rowOff>
    </xdr:to>
    <xdr:sp macro="" textlink="">
      <xdr:nvSpPr>
        <xdr:cNvPr id="507974" name="Text Box 70" hidden="1">
          <a:extLst>
            <a:ext uri="{FF2B5EF4-FFF2-40B4-BE49-F238E27FC236}">
              <a16:creationId xmlns:a16="http://schemas.microsoft.com/office/drawing/2014/main" id="{90D9A6E4-BCA1-BCB0-9C09-9F25AFEB40BF}"/>
            </a:ext>
          </a:extLst>
        </xdr:cNvPr>
        <xdr:cNvSpPr txBox="1">
          <a:spLocks noChangeArrowheads="1"/>
        </xdr:cNvSpPr>
      </xdr:nvSpPr>
      <xdr:spPr bwMode="auto">
        <a:xfrm>
          <a:off x="26295350" y="6502400"/>
          <a:ext cx="49847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141</xdr:row>
      <xdr:rowOff>57150</xdr:rowOff>
    </xdr:from>
    <xdr:to>
      <xdr:col>35</xdr:col>
      <xdr:colOff>171450</xdr:colOff>
      <xdr:row>161</xdr:row>
      <xdr:rowOff>152400</xdr:rowOff>
    </xdr:to>
    <xdr:sp macro="" textlink="">
      <xdr:nvSpPr>
        <xdr:cNvPr id="507973" name="Text Box 69" hidden="1">
          <a:extLst>
            <a:ext uri="{FF2B5EF4-FFF2-40B4-BE49-F238E27FC236}">
              <a16:creationId xmlns:a16="http://schemas.microsoft.com/office/drawing/2014/main" id="{5CDBA6D8-9615-CAF0-1F89-B4C083E05B15}"/>
            </a:ext>
          </a:extLst>
        </xdr:cNvPr>
        <xdr:cNvSpPr txBox="1">
          <a:spLocks noChangeArrowheads="1"/>
        </xdr:cNvSpPr>
      </xdr:nvSpPr>
      <xdr:spPr bwMode="auto">
        <a:xfrm>
          <a:off x="26295350" y="2874010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0</xdr:rowOff>
    </xdr:to>
    <xdr:sp macro="" textlink="">
      <xdr:nvSpPr>
        <xdr:cNvPr id="507972" name="Text Box 68" hidden="1">
          <a:extLst>
            <a:ext uri="{FF2B5EF4-FFF2-40B4-BE49-F238E27FC236}">
              <a16:creationId xmlns:a16="http://schemas.microsoft.com/office/drawing/2014/main" id="{36A6EBCD-0B13-339A-EF87-DEAF7B95F4CE}"/>
            </a:ext>
          </a:extLst>
        </xdr:cNvPr>
        <xdr:cNvSpPr txBox="1">
          <a:spLocks noChangeArrowheads="1"/>
        </xdr:cNvSpPr>
      </xdr:nvSpPr>
      <xdr:spPr bwMode="auto">
        <a:xfrm>
          <a:off x="16941800" y="3149600"/>
          <a:ext cx="4362450" cy="362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0</xdr:rowOff>
    </xdr:to>
    <xdr:sp macro="" textlink="">
      <xdr:nvSpPr>
        <xdr:cNvPr id="507971" name="Text Box 67" hidden="1">
          <a:extLst>
            <a:ext uri="{FF2B5EF4-FFF2-40B4-BE49-F238E27FC236}">
              <a16:creationId xmlns:a16="http://schemas.microsoft.com/office/drawing/2014/main" id="{ED49F284-F32B-4E9E-D63D-9809F666DDDE}"/>
            </a:ext>
          </a:extLst>
        </xdr:cNvPr>
        <xdr:cNvSpPr txBox="1">
          <a:spLocks noChangeArrowheads="1"/>
        </xdr:cNvSpPr>
      </xdr:nvSpPr>
      <xdr:spPr bwMode="auto">
        <a:xfrm>
          <a:off x="20066000" y="4127500"/>
          <a:ext cx="4368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0</xdr:rowOff>
    </xdr:to>
    <xdr:sp macro="" textlink="">
      <xdr:nvSpPr>
        <xdr:cNvPr id="507970" name="Text Box 66" hidden="1">
          <a:extLst>
            <a:ext uri="{FF2B5EF4-FFF2-40B4-BE49-F238E27FC236}">
              <a16:creationId xmlns:a16="http://schemas.microsoft.com/office/drawing/2014/main" id="{A858CEE7-77F9-C0B7-C024-EE883214C229}"/>
            </a:ext>
          </a:extLst>
        </xdr:cNvPr>
        <xdr:cNvSpPr txBox="1">
          <a:spLocks noChangeArrowheads="1"/>
        </xdr:cNvSpPr>
      </xdr:nvSpPr>
      <xdr:spPr bwMode="auto">
        <a:xfrm>
          <a:off x="20828000" y="4127500"/>
          <a:ext cx="43751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0</xdr:rowOff>
    </xdr:to>
    <xdr:sp macro="" textlink="">
      <xdr:nvSpPr>
        <xdr:cNvPr id="507969" name="Text Box 65" hidden="1">
          <a:extLst>
            <a:ext uri="{FF2B5EF4-FFF2-40B4-BE49-F238E27FC236}">
              <a16:creationId xmlns:a16="http://schemas.microsoft.com/office/drawing/2014/main" id="{60458D00-26C7-1D6C-6337-995150932403}"/>
            </a:ext>
          </a:extLst>
        </xdr:cNvPr>
        <xdr:cNvSpPr txBox="1">
          <a:spLocks noChangeArrowheads="1"/>
        </xdr:cNvSpPr>
      </xdr:nvSpPr>
      <xdr:spPr bwMode="auto">
        <a:xfrm>
          <a:off x="21590000" y="4127500"/>
          <a:ext cx="43815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0</xdr:rowOff>
    </xdr:to>
    <xdr:sp macro="" textlink="">
      <xdr:nvSpPr>
        <xdr:cNvPr id="507968" name="Text Box 64" hidden="1">
          <a:extLst>
            <a:ext uri="{FF2B5EF4-FFF2-40B4-BE49-F238E27FC236}">
              <a16:creationId xmlns:a16="http://schemas.microsoft.com/office/drawing/2014/main" id="{6FCAEFB1-4A80-CE89-33E3-34055B192F34}"/>
            </a:ext>
          </a:extLst>
        </xdr:cNvPr>
        <xdr:cNvSpPr txBox="1">
          <a:spLocks noChangeArrowheads="1"/>
        </xdr:cNvSpPr>
      </xdr:nvSpPr>
      <xdr:spPr bwMode="auto">
        <a:xfrm>
          <a:off x="22352000" y="4127500"/>
          <a:ext cx="4495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0</xdr:rowOff>
    </xdr:to>
    <xdr:sp macro="" textlink="">
      <xdr:nvSpPr>
        <xdr:cNvPr id="507967" name="Text Box 63" hidden="1">
          <a:extLst>
            <a:ext uri="{FF2B5EF4-FFF2-40B4-BE49-F238E27FC236}">
              <a16:creationId xmlns:a16="http://schemas.microsoft.com/office/drawing/2014/main" id="{D992E4F4-0798-4856-D03F-5756EDB6171D}"/>
            </a:ext>
          </a:extLst>
        </xdr:cNvPr>
        <xdr:cNvSpPr txBox="1">
          <a:spLocks noChangeArrowheads="1"/>
        </xdr:cNvSpPr>
      </xdr:nvSpPr>
      <xdr:spPr bwMode="auto">
        <a:xfrm>
          <a:off x="23114000" y="4127500"/>
          <a:ext cx="49593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0</xdr:rowOff>
    </xdr:to>
    <xdr:sp macro="" textlink="">
      <xdr:nvSpPr>
        <xdr:cNvPr id="507966" name="Text Box 62" hidden="1">
          <a:extLst>
            <a:ext uri="{FF2B5EF4-FFF2-40B4-BE49-F238E27FC236}">
              <a16:creationId xmlns:a16="http://schemas.microsoft.com/office/drawing/2014/main" id="{9FBA3965-E3DC-5807-CB87-D5C988CE622A}"/>
            </a:ext>
          </a:extLst>
        </xdr:cNvPr>
        <xdr:cNvSpPr txBox="1">
          <a:spLocks noChangeArrowheads="1"/>
        </xdr:cNvSpPr>
      </xdr:nvSpPr>
      <xdr:spPr bwMode="auto">
        <a:xfrm>
          <a:off x="23882350" y="4127500"/>
          <a:ext cx="50673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0</xdr:rowOff>
    </xdr:to>
    <xdr:sp macro="" textlink="">
      <xdr:nvSpPr>
        <xdr:cNvPr id="507965" name="Text Box 61" hidden="1">
          <a:extLst>
            <a:ext uri="{FF2B5EF4-FFF2-40B4-BE49-F238E27FC236}">
              <a16:creationId xmlns:a16="http://schemas.microsoft.com/office/drawing/2014/main" id="{09D917C2-B5C0-D5C8-A578-B594A2596864}"/>
            </a:ext>
          </a:extLst>
        </xdr:cNvPr>
        <xdr:cNvSpPr txBox="1">
          <a:spLocks noChangeArrowheads="1"/>
        </xdr:cNvSpPr>
      </xdr:nvSpPr>
      <xdr:spPr bwMode="auto">
        <a:xfrm>
          <a:off x="24650700" y="4127500"/>
          <a:ext cx="51752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0</xdr:rowOff>
    </xdr:to>
    <xdr:sp macro="" textlink="">
      <xdr:nvSpPr>
        <xdr:cNvPr id="507964" name="Text Box 60" hidden="1">
          <a:extLst>
            <a:ext uri="{FF2B5EF4-FFF2-40B4-BE49-F238E27FC236}">
              <a16:creationId xmlns:a16="http://schemas.microsoft.com/office/drawing/2014/main" id="{3D59A40E-614C-76CE-DEC0-F74F8A3CA0B3}"/>
            </a:ext>
          </a:extLst>
        </xdr:cNvPr>
        <xdr:cNvSpPr txBox="1">
          <a:spLocks noChangeArrowheads="1"/>
        </xdr:cNvSpPr>
      </xdr:nvSpPr>
      <xdr:spPr bwMode="auto">
        <a:xfrm>
          <a:off x="25419050" y="4127500"/>
          <a:ext cx="51879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0</xdr:rowOff>
    </xdr:to>
    <xdr:sp macro="" textlink="">
      <xdr:nvSpPr>
        <xdr:cNvPr id="507963" name="Text Box 59" hidden="1">
          <a:extLst>
            <a:ext uri="{FF2B5EF4-FFF2-40B4-BE49-F238E27FC236}">
              <a16:creationId xmlns:a16="http://schemas.microsoft.com/office/drawing/2014/main" id="{EE943BD9-DA8C-D318-151D-AE957F5571A8}"/>
            </a:ext>
          </a:extLst>
        </xdr:cNvPr>
        <xdr:cNvSpPr txBox="1">
          <a:spLocks noChangeArrowheads="1"/>
        </xdr:cNvSpPr>
      </xdr:nvSpPr>
      <xdr:spPr bwMode="auto">
        <a:xfrm>
          <a:off x="26295350" y="412750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34</xdr:row>
      <xdr:rowOff>19050</xdr:rowOff>
    </xdr:to>
    <xdr:sp macro="" textlink="">
      <xdr:nvSpPr>
        <xdr:cNvPr id="507962" name="Text Box 58" hidden="1">
          <a:extLst>
            <a:ext uri="{FF2B5EF4-FFF2-40B4-BE49-F238E27FC236}">
              <a16:creationId xmlns:a16="http://schemas.microsoft.com/office/drawing/2014/main" id="{ADFB38A3-A401-BC52-0C2D-0AFAE217F8E1}"/>
            </a:ext>
          </a:extLst>
        </xdr:cNvPr>
        <xdr:cNvSpPr txBox="1">
          <a:spLocks noChangeArrowheads="1"/>
        </xdr:cNvSpPr>
      </xdr:nvSpPr>
      <xdr:spPr bwMode="auto">
        <a:xfrm>
          <a:off x="36912550" y="3575050"/>
          <a:ext cx="436245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0</xdr:rowOff>
    </xdr:to>
    <xdr:sp macro="" textlink="">
      <xdr:nvSpPr>
        <xdr:cNvPr id="507961" name="Text Box 57" hidden="1">
          <a:extLst>
            <a:ext uri="{FF2B5EF4-FFF2-40B4-BE49-F238E27FC236}">
              <a16:creationId xmlns:a16="http://schemas.microsoft.com/office/drawing/2014/main" id="{216505DF-572B-8A47-76D6-DDE01B0E6188}"/>
            </a:ext>
          </a:extLst>
        </xdr:cNvPr>
        <xdr:cNvSpPr txBox="1">
          <a:spLocks noChangeArrowheads="1"/>
        </xdr:cNvSpPr>
      </xdr:nvSpPr>
      <xdr:spPr bwMode="auto">
        <a:xfrm>
          <a:off x="26295350" y="357505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17</xdr:row>
      <xdr:rowOff>114300</xdr:rowOff>
    </xdr:from>
    <xdr:to>
      <xdr:col>36</xdr:col>
      <xdr:colOff>533400</xdr:colOff>
      <xdr:row>37</xdr:row>
      <xdr:rowOff>19050</xdr:rowOff>
    </xdr:to>
    <xdr:sp macro="" textlink="">
      <xdr:nvSpPr>
        <xdr:cNvPr id="507959" name="Text Box 55" hidden="1">
          <a:extLst>
            <a:ext uri="{FF2B5EF4-FFF2-40B4-BE49-F238E27FC236}">
              <a16:creationId xmlns:a16="http://schemas.microsoft.com/office/drawing/2014/main" id="{353EB7C0-347F-A38C-94AA-960038A5A480}"/>
            </a:ext>
          </a:extLst>
        </xdr:cNvPr>
        <xdr:cNvSpPr txBox="1">
          <a:spLocks noChangeArrowheads="1"/>
        </xdr:cNvSpPr>
      </xdr:nvSpPr>
      <xdr:spPr bwMode="auto">
        <a:xfrm>
          <a:off x="27539950" y="4127500"/>
          <a:ext cx="49784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10</xdr:row>
      <xdr:rowOff>114300</xdr:rowOff>
    </xdr:from>
    <xdr:to>
      <xdr:col>37</xdr:col>
      <xdr:colOff>533400</xdr:colOff>
      <xdr:row>30</xdr:row>
      <xdr:rowOff>0</xdr:rowOff>
    </xdr:to>
    <xdr:sp macro="" textlink="">
      <xdr:nvSpPr>
        <xdr:cNvPr id="508012" name="Text Box 108" hidden="1">
          <a:extLst>
            <a:ext uri="{FF2B5EF4-FFF2-40B4-BE49-F238E27FC236}">
              <a16:creationId xmlns:a16="http://schemas.microsoft.com/office/drawing/2014/main" id="{89BA5AA3-3B67-9C96-72B6-E4C83CE3976E}"/>
            </a:ext>
          </a:extLst>
        </xdr:cNvPr>
        <xdr:cNvSpPr txBox="1">
          <a:spLocks noChangeArrowheads="1"/>
        </xdr:cNvSpPr>
      </xdr:nvSpPr>
      <xdr:spPr bwMode="auto">
        <a:xfrm>
          <a:off x="28416250" y="28384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12</xdr:row>
      <xdr:rowOff>114300</xdr:rowOff>
    </xdr:from>
    <xdr:to>
      <xdr:col>37</xdr:col>
      <xdr:colOff>533400</xdr:colOff>
      <xdr:row>32</xdr:row>
      <xdr:rowOff>0</xdr:rowOff>
    </xdr:to>
    <xdr:sp macro="" textlink="">
      <xdr:nvSpPr>
        <xdr:cNvPr id="508013" name="Text Box 109" hidden="1">
          <a:extLst>
            <a:ext uri="{FF2B5EF4-FFF2-40B4-BE49-F238E27FC236}">
              <a16:creationId xmlns:a16="http://schemas.microsoft.com/office/drawing/2014/main" id="{FF03A5F0-FA27-BD29-75C4-9374E62F86FB}"/>
            </a:ext>
          </a:extLst>
        </xdr:cNvPr>
        <xdr:cNvSpPr txBox="1">
          <a:spLocks noChangeArrowheads="1"/>
        </xdr:cNvSpPr>
      </xdr:nvSpPr>
      <xdr:spPr bwMode="auto">
        <a:xfrm>
          <a:off x="28416250" y="32067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38100</xdr:rowOff>
    </xdr:from>
    <xdr:to>
      <xdr:col>9</xdr:col>
      <xdr:colOff>647700</xdr:colOff>
      <xdr:row>86</xdr:row>
      <xdr:rowOff>0</xdr:rowOff>
    </xdr:to>
    <xdr:sp macro="" textlink="">
      <xdr:nvSpPr>
        <xdr:cNvPr id="508036" name="Text Box 132" hidden="1">
          <a:extLst>
            <a:ext uri="{FF2B5EF4-FFF2-40B4-BE49-F238E27FC236}">
              <a16:creationId xmlns:a16="http://schemas.microsoft.com/office/drawing/2014/main" id="{7ABF1026-9888-D52D-BB00-BE9CF80BD798}"/>
            </a:ext>
          </a:extLst>
        </xdr:cNvPr>
        <xdr:cNvSpPr txBox="1">
          <a:spLocks noChangeArrowheads="1"/>
        </xdr:cNvSpPr>
      </xdr:nvSpPr>
      <xdr:spPr bwMode="auto">
        <a:xfrm>
          <a:off x="5118100" y="14071600"/>
          <a:ext cx="43815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38</xdr:col>
      <xdr:colOff>533400</xdr:colOff>
      <xdr:row>30</xdr:row>
      <xdr:rowOff>171450</xdr:rowOff>
    </xdr:to>
    <xdr:sp macro="" textlink="">
      <xdr:nvSpPr>
        <xdr:cNvPr id="508091" name="Text Box 187" hidden="1">
          <a:extLst>
            <a:ext uri="{FF2B5EF4-FFF2-40B4-BE49-F238E27FC236}">
              <a16:creationId xmlns:a16="http://schemas.microsoft.com/office/drawing/2014/main" id="{4DD2ED43-A365-CA21-8FCD-E7C7580EFF21}"/>
            </a:ext>
          </a:extLst>
        </xdr:cNvPr>
        <xdr:cNvSpPr txBox="1">
          <a:spLocks noChangeArrowheads="1"/>
        </xdr:cNvSpPr>
      </xdr:nvSpPr>
      <xdr:spPr bwMode="auto">
        <a:xfrm>
          <a:off x="29292550" y="2838450"/>
          <a:ext cx="4889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95250</xdr:colOff>
      <xdr:row>10</xdr:row>
      <xdr:rowOff>114300</xdr:rowOff>
    </xdr:from>
    <xdr:to>
      <xdr:col>42</xdr:col>
      <xdr:colOff>628650</xdr:colOff>
      <xdr:row>30</xdr:row>
      <xdr:rowOff>171450</xdr:rowOff>
    </xdr:to>
    <xdr:sp macro="" textlink="">
      <xdr:nvSpPr>
        <xdr:cNvPr id="508092" name="Text Box 188" hidden="1">
          <a:extLst>
            <a:ext uri="{FF2B5EF4-FFF2-40B4-BE49-F238E27FC236}">
              <a16:creationId xmlns:a16="http://schemas.microsoft.com/office/drawing/2014/main" id="{CD6385C0-70DC-6E39-5A82-F734898AE8F2}"/>
            </a:ext>
          </a:extLst>
        </xdr:cNvPr>
        <xdr:cNvSpPr txBox="1">
          <a:spLocks noChangeArrowheads="1"/>
        </xdr:cNvSpPr>
      </xdr:nvSpPr>
      <xdr:spPr bwMode="auto">
        <a:xfrm>
          <a:off x="32956500" y="283845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14</xdr:row>
      <xdr:rowOff>114300</xdr:rowOff>
    </xdr:from>
    <xdr:to>
      <xdr:col>37</xdr:col>
      <xdr:colOff>533400</xdr:colOff>
      <xdr:row>34</xdr:row>
      <xdr:rowOff>152400</xdr:rowOff>
    </xdr:to>
    <xdr:sp macro="" textlink="">
      <xdr:nvSpPr>
        <xdr:cNvPr id="508093" name="Text Box 189" hidden="1">
          <a:extLst>
            <a:ext uri="{FF2B5EF4-FFF2-40B4-BE49-F238E27FC236}">
              <a16:creationId xmlns:a16="http://schemas.microsoft.com/office/drawing/2014/main" id="{B3A9EAB8-076E-1F16-C212-9188A0F7DAE5}"/>
            </a:ext>
          </a:extLst>
        </xdr:cNvPr>
        <xdr:cNvSpPr txBox="1">
          <a:spLocks noChangeArrowheads="1"/>
        </xdr:cNvSpPr>
      </xdr:nvSpPr>
      <xdr:spPr bwMode="auto">
        <a:xfrm>
          <a:off x="28416250" y="3575050"/>
          <a:ext cx="49784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50" name="Text Box 22" hidden="1">
          <a:extLst>
            <a:ext uri="{FF2B5EF4-FFF2-40B4-BE49-F238E27FC236}">
              <a16:creationId xmlns:a16="http://schemas.microsoft.com/office/drawing/2014/main" id="{B57F328D-66A1-4FDF-32C8-CD9166CF32F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49" name="Text Box 21" hidden="1">
          <a:extLst>
            <a:ext uri="{FF2B5EF4-FFF2-40B4-BE49-F238E27FC236}">
              <a16:creationId xmlns:a16="http://schemas.microsoft.com/office/drawing/2014/main" id="{D4028C4E-9A07-1D14-0069-D590FC6C4AE8}"/>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48" name="Text Box 20" hidden="1">
          <a:extLst>
            <a:ext uri="{FF2B5EF4-FFF2-40B4-BE49-F238E27FC236}">
              <a16:creationId xmlns:a16="http://schemas.microsoft.com/office/drawing/2014/main" id="{755992F8-8907-E241-AC6A-9078174DF05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47" name="Text Box 19" hidden="1">
          <a:extLst>
            <a:ext uri="{FF2B5EF4-FFF2-40B4-BE49-F238E27FC236}">
              <a16:creationId xmlns:a16="http://schemas.microsoft.com/office/drawing/2014/main" id="{74F2945D-CC1C-A7B1-880E-61A6792499E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46" name="Text Box 18" hidden="1">
          <a:extLst>
            <a:ext uri="{FF2B5EF4-FFF2-40B4-BE49-F238E27FC236}">
              <a16:creationId xmlns:a16="http://schemas.microsoft.com/office/drawing/2014/main" id="{DA042B66-A9E9-EAEE-958A-231B24CE907C}"/>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45" name="Text Box 17" hidden="1">
          <a:extLst>
            <a:ext uri="{FF2B5EF4-FFF2-40B4-BE49-F238E27FC236}">
              <a16:creationId xmlns:a16="http://schemas.microsoft.com/office/drawing/2014/main" id="{6374C64B-4AC2-E08E-67B7-776C578E7AED}"/>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44" name="Text Box 16" hidden="1">
          <a:extLst>
            <a:ext uri="{FF2B5EF4-FFF2-40B4-BE49-F238E27FC236}">
              <a16:creationId xmlns:a16="http://schemas.microsoft.com/office/drawing/2014/main" id="{4C539318-CEB2-0140-EC88-72B70074DB26}"/>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43" name="Text Box 15" hidden="1">
          <a:extLst>
            <a:ext uri="{FF2B5EF4-FFF2-40B4-BE49-F238E27FC236}">
              <a16:creationId xmlns:a16="http://schemas.microsoft.com/office/drawing/2014/main" id="{482D8026-324C-6329-FBB0-66B5BA9E206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42" name="Text Box 14" hidden="1">
          <a:extLst>
            <a:ext uri="{FF2B5EF4-FFF2-40B4-BE49-F238E27FC236}">
              <a16:creationId xmlns:a16="http://schemas.microsoft.com/office/drawing/2014/main" id="{EF0CDDE0-3A2B-5C90-F7C4-77CF4C0A13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41" name="Text Box 13" hidden="1">
          <a:extLst>
            <a:ext uri="{FF2B5EF4-FFF2-40B4-BE49-F238E27FC236}">
              <a16:creationId xmlns:a16="http://schemas.microsoft.com/office/drawing/2014/main" id="{F905C27C-1DDC-AAC0-283C-321D10DA521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40" name="Text Box 12" hidden="1">
          <a:extLst>
            <a:ext uri="{FF2B5EF4-FFF2-40B4-BE49-F238E27FC236}">
              <a16:creationId xmlns:a16="http://schemas.microsoft.com/office/drawing/2014/main" id="{9FB2AB87-E43D-E31E-4B09-9183429F006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39" name="Text Box 11" hidden="1">
          <a:extLst>
            <a:ext uri="{FF2B5EF4-FFF2-40B4-BE49-F238E27FC236}">
              <a16:creationId xmlns:a16="http://schemas.microsoft.com/office/drawing/2014/main" id="{8F7D54A1-636E-BFDF-D57D-1CA76C6F9F79}"/>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38" name="Text Box 10" hidden="1">
          <a:extLst>
            <a:ext uri="{FF2B5EF4-FFF2-40B4-BE49-F238E27FC236}">
              <a16:creationId xmlns:a16="http://schemas.microsoft.com/office/drawing/2014/main" id="{5D41E9F3-7E12-D894-4E04-AC2EFBDA7D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37" name="Text Box 9" hidden="1">
          <a:extLst>
            <a:ext uri="{FF2B5EF4-FFF2-40B4-BE49-F238E27FC236}">
              <a16:creationId xmlns:a16="http://schemas.microsoft.com/office/drawing/2014/main" id="{FB7623BB-BCA5-ACBA-E15A-CBB4FAADA6F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36" name="Text Box 8" hidden="1">
          <a:extLst>
            <a:ext uri="{FF2B5EF4-FFF2-40B4-BE49-F238E27FC236}">
              <a16:creationId xmlns:a16="http://schemas.microsoft.com/office/drawing/2014/main" id="{DECE2917-EC11-CEBA-4A9D-8802B88FAF0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35" name="Text Box 7" hidden="1">
          <a:extLst>
            <a:ext uri="{FF2B5EF4-FFF2-40B4-BE49-F238E27FC236}">
              <a16:creationId xmlns:a16="http://schemas.microsoft.com/office/drawing/2014/main" id="{2F73B74A-7A94-53DB-4F43-37916F8F07F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34" name="Text Box 6" hidden="1">
          <a:extLst>
            <a:ext uri="{FF2B5EF4-FFF2-40B4-BE49-F238E27FC236}">
              <a16:creationId xmlns:a16="http://schemas.microsoft.com/office/drawing/2014/main" id="{2B51BF1F-FEAB-9053-3DE0-5174E1E60DE8}"/>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33" name="Text Box 5" hidden="1">
          <a:extLst>
            <a:ext uri="{FF2B5EF4-FFF2-40B4-BE49-F238E27FC236}">
              <a16:creationId xmlns:a16="http://schemas.microsoft.com/office/drawing/2014/main" id="{9F07579E-1C43-1CCE-3DD0-0286348A203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32" name="Text Box 4" hidden="1">
          <a:extLst>
            <a:ext uri="{FF2B5EF4-FFF2-40B4-BE49-F238E27FC236}">
              <a16:creationId xmlns:a16="http://schemas.microsoft.com/office/drawing/2014/main" id="{78FC631C-D5BF-2BEF-CC51-FD0D954E2E7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31" name="Text Box 3" hidden="1">
          <a:extLst>
            <a:ext uri="{FF2B5EF4-FFF2-40B4-BE49-F238E27FC236}">
              <a16:creationId xmlns:a16="http://schemas.microsoft.com/office/drawing/2014/main" id="{25F6868A-A2BB-321E-2ED5-8EC1C6DB41A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30" name="Text Box 2" hidden="1">
          <a:extLst>
            <a:ext uri="{FF2B5EF4-FFF2-40B4-BE49-F238E27FC236}">
              <a16:creationId xmlns:a16="http://schemas.microsoft.com/office/drawing/2014/main" id="{A76AAC86-9FFC-8A73-BD08-5333CAEF99A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29" name="Text Box 1" hidden="1">
          <a:extLst>
            <a:ext uri="{FF2B5EF4-FFF2-40B4-BE49-F238E27FC236}">
              <a16:creationId xmlns:a16="http://schemas.microsoft.com/office/drawing/2014/main" id="{96FEAAE3-17FA-7B3A-94BC-FA6BC0843CA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72" name="Text Box 44" hidden="1">
          <a:extLst>
            <a:ext uri="{FF2B5EF4-FFF2-40B4-BE49-F238E27FC236}">
              <a16:creationId xmlns:a16="http://schemas.microsoft.com/office/drawing/2014/main" id="{DD080EFB-264C-159E-7FD2-E81FA10C50C5}"/>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71" name="Text Box 43" hidden="1">
          <a:extLst>
            <a:ext uri="{FF2B5EF4-FFF2-40B4-BE49-F238E27FC236}">
              <a16:creationId xmlns:a16="http://schemas.microsoft.com/office/drawing/2014/main" id="{11A2CD5B-2E4A-DF25-B156-127D799A7D5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70" name="Text Box 42" hidden="1">
          <a:extLst>
            <a:ext uri="{FF2B5EF4-FFF2-40B4-BE49-F238E27FC236}">
              <a16:creationId xmlns:a16="http://schemas.microsoft.com/office/drawing/2014/main" id="{E4747700-59A1-9A16-E88D-E7BCE2F1348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69" name="Text Box 41" hidden="1">
          <a:extLst>
            <a:ext uri="{FF2B5EF4-FFF2-40B4-BE49-F238E27FC236}">
              <a16:creationId xmlns:a16="http://schemas.microsoft.com/office/drawing/2014/main" id="{06C2BD2F-CD4F-8D08-F2AD-B3CBCA02C8E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68" name="Text Box 40" hidden="1">
          <a:extLst>
            <a:ext uri="{FF2B5EF4-FFF2-40B4-BE49-F238E27FC236}">
              <a16:creationId xmlns:a16="http://schemas.microsoft.com/office/drawing/2014/main" id="{7004DAD8-627C-7FAA-A4CF-F377AD888E5B}"/>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67" name="Text Box 39" hidden="1">
          <a:extLst>
            <a:ext uri="{FF2B5EF4-FFF2-40B4-BE49-F238E27FC236}">
              <a16:creationId xmlns:a16="http://schemas.microsoft.com/office/drawing/2014/main" id="{57DD7F8C-8ED5-88D9-14B5-2928CDDC445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66" name="Text Box 38" hidden="1">
          <a:extLst>
            <a:ext uri="{FF2B5EF4-FFF2-40B4-BE49-F238E27FC236}">
              <a16:creationId xmlns:a16="http://schemas.microsoft.com/office/drawing/2014/main" id="{37D84197-38AC-CC41-22DF-27A72067C1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65" name="Text Box 37" hidden="1">
          <a:extLst>
            <a:ext uri="{FF2B5EF4-FFF2-40B4-BE49-F238E27FC236}">
              <a16:creationId xmlns:a16="http://schemas.microsoft.com/office/drawing/2014/main" id="{F8BF6630-B73E-EE8F-CD31-9F514AF56D7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64" name="Text Box 36" hidden="1">
          <a:extLst>
            <a:ext uri="{FF2B5EF4-FFF2-40B4-BE49-F238E27FC236}">
              <a16:creationId xmlns:a16="http://schemas.microsoft.com/office/drawing/2014/main" id="{BFACB3E6-637B-F9AB-14E2-1A65F6E04B25}"/>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63" name="Text Box 35" hidden="1">
          <a:extLst>
            <a:ext uri="{FF2B5EF4-FFF2-40B4-BE49-F238E27FC236}">
              <a16:creationId xmlns:a16="http://schemas.microsoft.com/office/drawing/2014/main" id="{A63F98D8-7138-50D2-6D6E-F73E98FF0B4E}"/>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62" name="Text Box 34" hidden="1">
          <a:extLst>
            <a:ext uri="{FF2B5EF4-FFF2-40B4-BE49-F238E27FC236}">
              <a16:creationId xmlns:a16="http://schemas.microsoft.com/office/drawing/2014/main" id="{6FFC2342-BE44-43E9-D43D-53E02EBD1E6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61" name="Text Box 33" hidden="1">
          <a:extLst>
            <a:ext uri="{FF2B5EF4-FFF2-40B4-BE49-F238E27FC236}">
              <a16:creationId xmlns:a16="http://schemas.microsoft.com/office/drawing/2014/main" id="{53504444-4ED2-5454-92BB-0F701549E3E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60" name="Text Box 32" hidden="1">
          <a:extLst>
            <a:ext uri="{FF2B5EF4-FFF2-40B4-BE49-F238E27FC236}">
              <a16:creationId xmlns:a16="http://schemas.microsoft.com/office/drawing/2014/main" id="{E459F6F8-9603-FD10-C301-F24C249819AB}"/>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59" name="Text Box 31" hidden="1">
          <a:extLst>
            <a:ext uri="{FF2B5EF4-FFF2-40B4-BE49-F238E27FC236}">
              <a16:creationId xmlns:a16="http://schemas.microsoft.com/office/drawing/2014/main" id="{9602569B-0CBD-368F-69BE-B7AAB3E38E6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58" name="Text Box 30" hidden="1">
          <a:extLst>
            <a:ext uri="{FF2B5EF4-FFF2-40B4-BE49-F238E27FC236}">
              <a16:creationId xmlns:a16="http://schemas.microsoft.com/office/drawing/2014/main" id="{CB1F76F1-DB49-A8F7-6A46-FBEBE872B086}"/>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57" name="Text Box 29" hidden="1">
          <a:extLst>
            <a:ext uri="{FF2B5EF4-FFF2-40B4-BE49-F238E27FC236}">
              <a16:creationId xmlns:a16="http://schemas.microsoft.com/office/drawing/2014/main" id="{72722C42-9D76-8AF4-B38A-557FA86F677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56" name="Text Box 28" hidden="1">
          <a:extLst>
            <a:ext uri="{FF2B5EF4-FFF2-40B4-BE49-F238E27FC236}">
              <a16:creationId xmlns:a16="http://schemas.microsoft.com/office/drawing/2014/main" id="{685D95D5-8837-70E7-8C51-5CBDE69A9D9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55" name="Text Box 27" hidden="1">
          <a:extLst>
            <a:ext uri="{FF2B5EF4-FFF2-40B4-BE49-F238E27FC236}">
              <a16:creationId xmlns:a16="http://schemas.microsoft.com/office/drawing/2014/main" id="{2EFA69C4-2F3E-34CF-F015-C2AB73D6341D}"/>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54" name="Text Box 26" hidden="1">
          <a:extLst>
            <a:ext uri="{FF2B5EF4-FFF2-40B4-BE49-F238E27FC236}">
              <a16:creationId xmlns:a16="http://schemas.microsoft.com/office/drawing/2014/main" id="{87D5F8D1-E3C4-9FC5-EADC-19A868800CC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53" name="Text Box 25" hidden="1">
          <a:extLst>
            <a:ext uri="{FF2B5EF4-FFF2-40B4-BE49-F238E27FC236}">
              <a16:creationId xmlns:a16="http://schemas.microsoft.com/office/drawing/2014/main" id="{9AC6B96B-6090-DF89-FC46-FC1C9707E60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52" name="Text Box 24" hidden="1">
          <a:extLst>
            <a:ext uri="{FF2B5EF4-FFF2-40B4-BE49-F238E27FC236}">
              <a16:creationId xmlns:a16="http://schemas.microsoft.com/office/drawing/2014/main" id="{666FE288-5EDC-568F-ECFD-8FF4B08E7AB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51" name="Text Box 23" hidden="1">
          <a:extLst>
            <a:ext uri="{FF2B5EF4-FFF2-40B4-BE49-F238E27FC236}">
              <a16:creationId xmlns:a16="http://schemas.microsoft.com/office/drawing/2014/main" id="{A1FC0877-D490-07E5-C25C-6CB42DEE3F7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7" name="Text Box 1" hidden="1">
          <a:extLst>
            <a:ext uri="{FF2B5EF4-FFF2-40B4-BE49-F238E27FC236}">
              <a16:creationId xmlns:a16="http://schemas.microsoft.com/office/drawing/2014/main" id="{BDBCCC32-E7ED-B887-2464-96E2087B53F5}"/>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8" name="Text Box 2" hidden="1">
          <a:extLst>
            <a:ext uri="{FF2B5EF4-FFF2-40B4-BE49-F238E27FC236}">
              <a16:creationId xmlns:a16="http://schemas.microsoft.com/office/drawing/2014/main" id="{8801351F-5A37-226F-DC2A-D1722FE9CC2F}"/>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2" name="Text Box 2" hidden="1">
          <a:extLst>
            <a:ext uri="{FF2B5EF4-FFF2-40B4-BE49-F238E27FC236}">
              <a16:creationId xmlns:a16="http://schemas.microsoft.com/office/drawing/2014/main" id="{CA5F3FF5-4863-0B94-8D20-03297426B560}"/>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1" name="Text Box 1" hidden="1">
          <a:extLst>
            <a:ext uri="{FF2B5EF4-FFF2-40B4-BE49-F238E27FC236}">
              <a16:creationId xmlns:a16="http://schemas.microsoft.com/office/drawing/2014/main" id="{0BDBADF0-9D7A-B72D-8602-15250E57C61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4" name="Text Box 4" hidden="1">
          <a:extLst>
            <a:ext uri="{FF2B5EF4-FFF2-40B4-BE49-F238E27FC236}">
              <a16:creationId xmlns:a16="http://schemas.microsoft.com/office/drawing/2014/main" id="{991A2C5F-FAC1-6065-D56D-F22605680207}"/>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3" name="Text Box 3" hidden="1">
          <a:extLst>
            <a:ext uri="{FF2B5EF4-FFF2-40B4-BE49-F238E27FC236}">
              <a16:creationId xmlns:a16="http://schemas.microsoft.com/office/drawing/2014/main" id="{59D45BA3-7D22-C00D-E7B5-1128D4A3DC8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hmad\Downloads\FIM\CBO%20Update%20Release%20Docs\January%202026\51135-2026-02-Economic-Projections.xlsx" TargetMode="External"/><Relationship Id="rId1" Type="http://schemas.openxmlformats.org/officeDocument/2006/relationships/externalLinkPath" Target="/Users/SAhmad/Downloads/FIM/CBO%20Update%20Release%20Docs/January%202026/51135-2026-02-Economic-Proje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2-1"/>
      <sheetName val="Table 2-2"/>
      <sheetName val="Table 2-3"/>
      <sheetName val="Table 2-4"/>
      <sheetName val="Box 2-1 Table"/>
      <sheetName val="Table D-1"/>
      <sheetName val="Table D-2"/>
      <sheetName val="1. Quarterly"/>
      <sheetName val="2. Calendar Year"/>
      <sheetName val="3. Fiscal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68">
          <cell r="C168">
            <v>1456.3</v>
          </cell>
          <cell r="D168">
            <v>1456.1</v>
          </cell>
          <cell r="E168">
            <v>1480.3</v>
          </cell>
          <cell r="F168">
            <v>1492.8</v>
          </cell>
          <cell r="G168">
            <v>1495.8</v>
          </cell>
          <cell r="H168">
            <v>1511.5</v>
          </cell>
          <cell r="I168">
            <v>1542.9</v>
          </cell>
          <cell r="J168">
            <v>1559.5</v>
          </cell>
          <cell r="K168">
            <v>1537.2</v>
          </cell>
          <cell r="L168">
            <v>1516.6</v>
          </cell>
          <cell r="M168">
            <v>1518.3</v>
          </cell>
          <cell r="N168">
            <v>1464.2</v>
          </cell>
          <cell r="O168">
            <v>1565.9</v>
          </cell>
          <cell r="P168">
            <v>1548.6</v>
          </cell>
          <cell r="Q168">
            <v>1547.9</v>
          </cell>
          <cell r="R168">
            <v>1549.5</v>
          </cell>
          <cell r="S168">
            <v>1550.7</v>
          </cell>
          <cell r="T168">
            <v>1552.8</v>
          </cell>
          <cell r="U168">
            <v>1554.4</v>
          </cell>
          <cell r="V168">
            <v>1551.6</v>
          </cell>
        </row>
      </sheetData>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9">
      <pivotArea field="3" type="button" dataOnly="0" labelOnly="1" outline="0" axis="axisRow" fieldPosition="0"/>
    </format>
    <format dxfId="78">
      <pivotArea dataOnly="0" labelOnly="1" outline="0" axis="axisValues" fieldPosition="0"/>
    </format>
    <format dxfId="77">
      <pivotArea collapsedLevelsAreSubtotals="1" fieldPosition="0">
        <references count="2">
          <reference field="2" count="1">
            <x v="1"/>
          </reference>
          <reference field="3" count="1" selected="0">
            <x v="1"/>
          </reference>
        </references>
      </pivotArea>
    </format>
    <format dxfId="76">
      <pivotArea collapsedLevelsAreSubtotals="1" fieldPosition="0">
        <references count="2">
          <reference field="2" count="1">
            <x v="2"/>
          </reference>
          <reference field="3" count="1" selected="0">
            <x v="1"/>
          </reference>
        </references>
      </pivotArea>
    </format>
    <format dxfId="75">
      <pivotArea collapsedLevelsAreSubtotals="1" fieldPosition="0">
        <references count="2">
          <reference field="2" count="1">
            <x v="3"/>
          </reference>
          <reference field="3" count="1" selected="0">
            <x v="1"/>
          </reference>
        </references>
      </pivotArea>
    </format>
    <format dxfId="74">
      <pivotArea collapsedLevelsAreSubtotals="1" fieldPosition="0">
        <references count="2">
          <reference field="2" count="1">
            <x v="4"/>
          </reference>
          <reference field="3" count="1" selected="0">
            <x v="1"/>
          </reference>
        </references>
      </pivotArea>
    </format>
    <format dxfId="73">
      <pivotArea collapsedLevelsAreSubtotals="1" fieldPosition="0">
        <references count="1">
          <reference field="3" count="1">
            <x v="2"/>
          </reference>
        </references>
      </pivotArea>
    </format>
    <format dxfId="72">
      <pivotArea collapsedLevelsAreSubtotals="1" fieldPosition="0">
        <references count="2">
          <reference field="2" count="1">
            <x v="1"/>
          </reference>
          <reference field="3" count="1" selected="0">
            <x v="2"/>
          </reference>
        </references>
      </pivotArea>
    </format>
    <format dxfId="71">
      <pivotArea collapsedLevelsAreSubtotals="1" fieldPosition="0">
        <references count="2">
          <reference field="2" count="1">
            <x v="2"/>
          </reference>
          <reference field="3" count="1" selected="0">
            <x v="2"/>
          </reference>
        </references>
      </pivotArea>
    </format>
    <format dxfId="70">
      <pivotArea collapsedLevelsAreSubtotals="1" fieldPosition="0">
        <references count="2">
          <reference field="2" count="1">
            <x v="3"/>
          </reference>
          <reference field="3" count="1" selected="0">
            <x v="2"/>
          </reference>
        </references>
      </pivotArea>
    </format>
    <format dxfId="69">
      <pivotArea collapsedLevelsAreSubtotals="1" fieldPosition="0">
        <references count="2">
          <reference field="2" count="1">
            <x v="4"/>
          </reference>
          <reference field="3" count="1" selected="0">
            <x v="2"/>
          </reference>
        </references>
      </pivotArea>
    </format>
    <format dxfId="68">
      <pivotArea collapsedLevelsAreSubtotals="1" fieldPosition="0">
        <references count="1">
          <reference field="3" count="1">
            <x v="3"/>
          </reference>
        </references>
      </pivotArea>
    </format>
    <format dxfId="67">
      <pivotArea collapsedLevelsAreSubtotals="1" fieldPosition="0">
        <references count="2">
          <reference field="2" count="1">
            <x v="1"/>
          </reference>
          <reference field="3" count="1" selected="0">
            <x v="3"/>
          </reference>
        </references>
      </pivotArea>
    </format>
    <format dxfId="66">
      <pivotArea collapsedLevelsAreSubtotals="1" fieldPosition="0">
        <references count="2">
          <reference field="2" count="1">
            <x v="2"/>
          </reference>
          <reference field="3" count="1" selected="0">
            <x v="3"/>
          </reference>
        </references>
      </pivotArea>
    </format>
    <format dxfId="65">
      <pivotArea collapsedLevelsAreSubtotals="1" fieldPosition="0">
        <references count="2">
          <reference field="2" count="1">
            <x v="3"/>
          </reference>
          <reference field="3" count="1" selected="0">
            <x v="3"/>
          </reference>
        </references>
      </pivotArea>
    </format>
    <format dxfId="64">
      <pivotArea collapsedLevelsAreSubtotals="1" fieldPosition="0">
        <references count="2">
          <reference field="2" count="1">
            <x v="4"/>
          </reference>
          <reference field="3" count="1" selected="0">
            <x v="3"/>
          </reference>
        </references>
      </pivotArea>
    </format>
    <format dxfId="63">
      <pivotArea collapsedLevelsAreSubtotals="1" fieldPosition="0">
        <references count="1">
          <reference field="3" count="1">
            <x v="4"/>
          </reference>
        </references>
      </pivotArea>
    </format>
    <format dxfId="62">
      <pivotArea collapsedLevelsAreSubtotals="1" fieldPosition="0">
        <references count="2">
          <reference field="2" count="1">
            <x v="1"/>
          </reference>
          <reference field="3" count="1" selected="0">
            <x v="4"/>
          </reference>
        </references>
      </pivotArea>
    </format>
    <format dxfId="61">
      <pivotArea collapsedLevelsAreSubtotals="1" fieldPosition="0">
        <references count="2">
          <reference field="2" count="1">
            <x v="2"/>
          </reference>
          <reference field="3" count="1" selected="0">
            <x v="4"/>
          </reference>
        </references>
      </pivotArea>
    </format>
    <format dxfId="60">
      <pivotArea collapsedLevelsAreSubtotals="1" fieldPosition="0">
        <references count="2">
          <reference field="2" count="1">
            <x v="3"/>
          </reference>
          <reference field="3" count="1" selected="0">
            <x v="4"/>
          </reference>
        </references>
      </pivotArea>
    </format>
    <format dxfId="59">
      <pivotArea collapsedLevelsAreSubtotals="1" fieldPosition="0">
        <references count="2">
          <reference field="2" count="1">
            <x v="4"/>
          </reference>
          <reference field="3" count="1" selected="0">
            <x v="4"/>
          </reference>
        </references>
      </pivotArea>
    </format>
    <format dxfId="58">
      <pivotArea collapsedLevelsAreSubtotals="1" fieldPosition="0">
        <references count="1">
          <reference field="3" count="1">
            <x v="5"/>
          </reference>
        </references>
      </pivotArea>
    </format>
    <format dxfId="57">
      <pivotArea collapsedLevelsAreSubtotals="1" fieldPosition="0">
        <references count="2">
          <reference field="2" count="1">
            <x v="1"/>
          </reference>
          <reference field="3" count="1" selected="0">
            <x v="5"/>
          </reference>
        </references>
      </pivotArea>
    </format>
    <format dxfId="56">
      <pivotArea collapsedLevelsAreSubtotals="1" fieldPosition="0">
        <references count="2">
          <reference field="2" count="1">
            <x v="2"/>
          </reference>
          <reference field="3" count="1" selected="0">
            <x v="5"/>
          </reference>
        </references>
      </pivotArea>
    </format>
    <format dxfId="55">
      <pivotArea collapsedLevelsAreSubtotals="1" fieldPosition="0">
        <references count="2">
          <reference field="2" count="1">
            <x v="3"/>
          </reference>
          <reference field="3" count="1" selected="0">
            <x v="5"/>
          </reference>
        </references>
      </pivotArea>
    </format>
    <format dxfId="54">
      <pivotArea collapsedLevelsAreSubtotals="1" fieldPosition="0">
        <references count="2">
          <reference field="2" count="1">
            <x v="4"/>
          </reference>
          <reference field="3" count="1" selected="0">
            <x v="5"/>
          </reference>
        </references>
      </pivotArea>
    </format>
    <format dxfId="53">
      <pivotArea collapsedLevelsAreSubtotals="1" fieldPosition="0">
        <references count="1">
          <reference field="3" count="1">
            <x v="6"/>
          </reference>
        </references>
      </pivotArea>
    </format>
    <format dxfId="52">
      <pivotArea collapsedLevelsAreSubtotals="1" fieldPosition="0">
        <references count="2">
          <reference field="2" count="1">
            <x v="1"/>
          </reference>
          <reference field="3" count="1" selected="0">
            <x v="6"/>
          </reference>
        </references>
      </pivotArea>
    </format>
    <format dxfId="51">
      <pivotArea collapsedLevelsAreSubtotals="1" fieldPosition="0">
        <references count="2">
          <reference field="2" count="1">
            <x v="2"/>
          </reference>
          <reference field="3" count="1" selected="0">
            <x v="6"/>
          </reference>
        </references>
      </pivotArea>
    </format>
    <format dxfId="50">
      <pivotArea collapsedLevelsAreSubtotals="1" fieldPosition="0">
        <references count="2">
          <reference field="2" count="1">
            <x v="3"/>
          </reference>
          <reference field="3" count="1" selected="0">
            <x v="6"/>
          </reference>
        </references>
      </pivotArea>
    </format>
    <format dxfId="49">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8">
      <pivotArea field="3" type="button" dataOnly="0" labelOnly="1" outline="0" axis="axisRow" fieldPosition="0"/>
    </format>
    <format dxfId="47">
      <pivotArea dataOnly="0" labelOnly="1" outline="0" axis="axisValues" fieldPosition="0"/>
    </format>
    <format dxfId="46">
      <pivotArea collapsedLevelsAreSubtotals="1" fieldPosition="0">
        <references count="2">
          <reference field="2" count="1">
            <x v="1"/>
          </reference>
          <reference field="3" count="1" selected="0">
            <x v="1"/>
          </reference>
        </references>
      </pivotArea>
    </format>
    <format dxfId="45">
      <pivotArea collapsedLevelsAreSubtotals="1" fieldPosition="0">
        <references count="2">
          <reference field="2" count="1">
            <x v="2"/>
          </reference>
          <reference field="3" count="1" selected="0">
            <x v="1"/>
          </reference>
        </references>
      </pivotArea>
    </format>
    <format dxfId="44">
      <pivotArea collapsedLevelsAreSubtotals="1" fieldPosition="0">
        <references count="2">
          <reference field="2" count="1">
            <x v="3"/>
          </reference>
          <reference field="3" count="1" selected="0">
            <x v="1"/>
          </reference>
        </references>
      </pivotArea>
    </format>
    <format dxfId="43">
      <pivotArea collapsedLevelsAreSubtotals="1" fieldPosition="0">
        <references count="2">
          <reference field="2" count="1">
            <x v="4"/>
          </reference>
          <reference field="3" count="1" selected="0">
            <x v="1"/>
          </reference>
        </references>
      </pivotArea>
    </format>
    <format dxfId="42">
      <pivotArea collapsedLevelsAreSubtotals="1" fieldPosition="0">
        <references count="1">
          <reference field="3" count="1">
            <x v="2"/>
          </reference>
        </references>
      </pivotArea>
    </format>
    <format dxfId="41">
      <pivotArea collapsedLevelsAreSubtotals="1" fieldPosition="0">
        <references count="2">
          <reference field="2" count="1">
            <x v="1"/>
          </reference>
          <reference field="3" count="1" selected="0">
            <x v="2"/>
          </reference>
        </references>
      </pivotArea>
    </format>
    <format dxfId="40">
      <pivotArea collapsedLevelsAreSubtotals="1" fieldPosition="0">
        <references count="2">
          <reference field="2" count="1">
            <x v="2"/>
          </reference>
          <reference field="3" count="1" selected="0">
            <x v="2"/>
          </reference>
        </references>
      </pivotArea>
    </format>
    <format dxfId="39">
      <pivotArea collapsedLevelsAreSubtotals="1" fieldPosition="0">
        <references count="2">
          <reference field="2" count="1">
            <x v="3"/>
          </reference>
          <reference field="3" count="1" selected="0">
            <x v="2"/>
          </reference>
        </references>
      </pivotArea>
    </format>
    <format dxfId="38">
      <pivotArea collapsedLevelsAreSubtotals="1" fieldPosition="0">
        <references count="2">
          <reference field="2" count="1">
            <x v="4"/>
          </reference>
          <reference field="3" count="1" selected="0">
            <x v="2"/>
          </reference>
        </references>
      </pivotArea>
    </format>
    <format dxfId="37">
      <pivotArea collapsedLevelsAreSubtotals="1" fieldPosition="0">
        <references count="1">
          <reference field="3" count="1">
            <x v="3"/>
          </reference>
        </references>
      </pivotArea>
    </format>
    <format dxfId="36">
      <pivotArea collapsedLevelsAreSubtotals="1" fieldPosition="0">
        <references count="2">
          <reference field="2" count="1">
            <x v="1"/>
          </reference>
          <reference field="3" count="1" selected="0">
            <x v="3"/>
          </reference>
        </references>
      </pivotArea>
    </format>
    <format dxfId="35">
      <pivotArea collapsedLevelsAreSubtotals="1" fieldPosition="0">
        <references count="2">
          <reference field="2" count="1">
            <x v="2"/>
          </reference>
          <reference field="3" count="1" selected="0">
            <x v="3"/>
          </reference>
        </references>
      </pivotArea>
    </format>
    <format dxfId="34">
      <pivotArea collapsedLevelsAreSubtotals="1" fieldPosition="0">
        <references count="2">
          <reference field="2" count="1">
            <x v="3"/>
          </reference>
          <reference field="3" count="1" selected="0">
            <x v="3"/>
          </reference>
        </references>
      </pivotArea>
    </format>
    <format dxfId="33">
      <pivotArea collapsedLevelsAreSubtotals="1" fieldPosition="0">
        <references count="2">
          <reference field="2" count="1">
            <x v="4"/>
          </reference>
          <reference field="3" count="1" selected="0">
            <x v="3"/>
          </reference>
        </references>
      </pivotArea>
    </format>
    <format dxfId="32">
      <pivotArea collapsedLevelsAreSubtotals="1" fieldPosition="0">
        <references count="1">
          <reference field="3" count="1">
            <x v="4"/>
          </reference>
        </references>
      </pivotArea>
    </format>
    <format dxfId="31">
      <pivotArea collapsedLevelsAreSubtotals="1" fieldPosition="0">
        <references count="2">
          <reference field="2" count="1">
            <x v="1"/>
          </reference>
          <reference field="3" count="1" selected="0">
            <x v="4"/>
          </reference>
        </references>
      </pivotArea>
    </format>
    <format dxfId="30">
      <pivotArea collapsedLevelsAreSubtotals="1" fieldPosition="0">
        <references count="2">
          <reference field="2" count="1">
            <x v="2"/>
          </reference>
          <reference field="3" count="1" selected="0">
            <x v="4"/>
          </reference>
        </references>
      </pivotArea>
    </format>
    <format dxfId="29">
      <pivotArea collapsedLevelsAreSubtotals="1" fieldPosition="0">
        <references count="2">
          <reference field="2" count="1">
            <x v="3"/>
          </reference>
          <reference field="3" count="1" selected="0">
            <x v="4"/>
          </reference>
        </references>
      </pivotArea>
    </format>
    <format dxfId="28">
      <pivotArea collapsedLevelsAreSubtotals="1" fieldPosition="0">
        <references count="2">
          <reference field="2" count="1">
            <x v="4"/>
          </reference>
          <reference field="3" count="1" selected="0">
            <x v="4"/>
          </reference>
        </references>
      </pivotArea>
    </format>
    <format dxfId="27">
      <pivotArea collapsedLevelsAreSubtotals="1" fieldPosition="0">
        <references count="1">
          <reference field="3" count="1">
            <x v="5"/>
          </reference>
        </references>
      </pivotArea>
    </format>
    <format dxfId="26">
      <pivotArea collapsedLevelsAreSubtotals="1" fieldPosition="0">
        <references count="2">
          <reference field="2" count="1">
            <x v="1"/>
          </reference>
          <reference field="3" count="1" selected="0">
            <x v="5"/>
          </reference>
        </references>
      </pivotArea>
    </format>
    <format dxfId="25">
      <pivotArea collapsedLevelsAreSubtotals="1" fieldPosition="0">
        <references count="2">
          <reference field="2" count="1">
            <x v="2"/>
          </reference>
          <reference field="3" count="1" selected="0">
            <x v="5"/>
          </reference>
        </references>
      </pivotArea>
    </format>
    <format dxfId="24">
      <pivotArea collapsedLevelsAreSubtotals="1" fieldPosition="0">
        <references count="2">
          <reference field="2" count="1">
            <x v="3"/>
          </reference>
          <reference field="3" count="1" selected="0">
            <x v="5"/>
          </reference>
        </references>
      </pivotArea>
    </format>
    <format dxfId="23">
      <pivotArea collapsedLevelsAreSubtotals="1" fieldPosition="0">
        <references count="2">
          <reference field="2" count="1">
            <x v="4"/>
          </reference>
          <reference field="3" count="1" selected="0">
            <x v="5"/>
          </reference>
        </references>
      </pivotArea>
    </format>
    <format dxfId="22">
      <pivotArea collapsedLevelsAreSubtotals="1" fieldPosition="0">
        <references count="1">
          <reference field="3" count="1">
            <x v="6"/>
          </reference>
        </references>
      </pivotArea>
    </format>
    <format dxfId="21">
      <pivotArea collapsedLevelsAreSubtotals="1" fieldPosition="0">
        <references count="2">
          <reference field="2" count="1">
            <x v="1"/>
          </reference>
          <reference field="3" count="1" selected="0">
            <x v="6"/>
          </reference>
        </references>
      </pivotArea>
    </format>
    <format dxfId="20">
      <pivotArea collapsedLevelsAreSubtotals="1" fieldPosition="0">
        <references count="2">
          <reference field="2" count="1">
            <x v="2"/>
          </reference>
          <reference field="3" count="1" selected="0">
            <x v="6"/>
          </reference>
        </references>
      </pivotArea>
    </format>
    <format dxfId="19">
      <pivotArea collapsedLevelsAreSubtotals="1" fieldPosition="0">
        <references count="2">
          <reference field="2" count="1">
            <x v="3"/>
          </reference>
          <reference field="3" count="1" selected="0">
            <x v="6"/>
          </reference>
        </references>
      </pivotArea>
    </format>
    <format dxfId="1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7" dataDxfId="16">
  <autoFilter ref="A2:D50" xr:uid="{AFE7EBBA-0E52-684B-AE3F-DAE47002C36D}"/>
  <tableColumns count="4">
    <tableColumn id="1" xr3:uid="{1CBC7486-21F3-4D68-AEAB-B260D3DC1265}" name="Provision" dataDxfId="15"/>
    <tableColumn id="2" xr3:uid="{B72D09CC-D35A-4A45-8D8D-9C97129E01A1}" name="Ten year cost (annualized)" dataDxfId="14"/>
    <tableColumn id="4" xr3:uid="{A8BE311C-E3F6-4043-8119-413ED4A13011}" name="Column1" dataDxfId="13"/>
    <tableColumn id="5" xr3:uid="{A41ECCE3-5E03-45CB-9B64-5E91C95099AB}" name="Column2" dataDxfId="12"/>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G15" dT="2026-02-20T19:41:59.38" personId="{B61C96CF-201E-4FBB-AE0C-863888EC2CC5}" id="{56AF975A-1B19-4BAA-853D-6283C499CC9A}">
    <text>Negative add factor from BEA to account for larger shutdown effects in employment Q4</text>
  </threadedComment>
  <threadedComment ref="AG15" dT="2026-02-23T16:39:18.93" personId="{B61C96CF-201E-4FBB-AE0C-863888EC2CC5}" id="{0BA1F25F-A7D6-4E65-96BC-7C02C0ECDAF5}" parentId="{56AF975A-1B19-4BAA-853D-6283C499CC9A}">
    <text>See: “Calculating Shutdown” sheet</text>
  </threadedComment>
  <threadedComment ref="B56"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8" dT="2023-07-27T18:54:18.72" personId="{609654FB-393E-4954-B3A3-EDB231775774}" id="{0DF18CD1-DDA4-4936-9B9E-36F885A8A9DF}">
    <text>July 2023 10-year economic projections Quarterly Table line 116</text>
  </threadedComment>
  <threadedComment ref="B58" dT="2024-02-22T16:14:54.16" personId="{09FAC3F1-DFDB-4CF8-9903-358701529E2B}" id="{5E636256-C425-4746-8026-732FFB49DCA6}" parentId="{0DF18CD1-DDA4-4936-9B9E-36F885A8A9DF}">
    <text>February 2024 CBO Economic Projections, Quarterly Table, Line 118</text>
  </threadedComment>
  <threadedComment ref="B58" dT="2024-06-27T14:46:21.05" personId="{2C68A5A1-706F-4A3E-93A3-741BBABEC4EA}" id="{D50CF423-E0D1-4B94-95BB-8C460DAA2108}" parentId="{0DF18CD1-DDA4-4936-9B9E-36F885A8A9DF}">
    <text>June 2024 CBO Economic Projections, Quarterly Table, Line 118 pasted from 2021 Q1 onward</text>
  </threadedComment>
  <threadedComment ref="B58" dT="2025-01-23T21:50:55.86" personId="{B61C96CF-201E-4FBB-AE0C-863888EC2CC5}" id="{CAB231F4-1DA4-4B3C-B5AE-8B26BDB5FE0A}" parentId="{0DF18CD1-DDA4-4936-9B9E-36F885A8A9DF}">
    <text>January 2025 CBO Economic Projections, Quarterly Table, Line 118 from 2022 Q1 onward</text>
  </threadedComment>
  <threadedComment ref="B58" dT="2026-02-11T18:03:40.47" personId="{F1078E92-2249-4D31-90C9-7AC953CA88B8}" id="{9F764AB4-1E7D-4D4D-B7CB-A0DF113E7343}" parentId="{0DF18CD1-DDA4-4936-9B9E-36F885A8A9DF}">
    <text>January 2026 CBO Economic Projections, Quarterly Table, Line 134 from 2023 Q1 onward</text>
  </threadedComment>
  <threadedComment ref="B59" dT="2023-07-27T18:58:29.78" personId="{609654FB-393E-4954-B3A3-EDB231775774}" id="{9DDFDF05-CB8A-4154-92B5-FB4AFBAE30F8}">
    <text>July 2023 10-year economic projections quarterly table line 127</text>
  </threadedComment>
  <threadedComment ref="B59" dT="2024-02-22T16:17:18.71" personId="{09FAC3F1-DFDB-4CF8-9903-358701529E2B}" id="{415918D2-8F3E-4EB4-8C8E-353F5D499194}" parentId="{9DDFDF05-CB8A-4154-92B5-FB4AFBAE30F8}">
    <text>July 2023 CBO Economic Projections, Quarterly Table Line 129</text>
  </threadedComment>
  <threadedComment ref="B59" dT="2024-06-27T14:46:52.06" personId="{2C68A5A1-706F-4A3E-93A3-741BBABEC4EA}" id="{50296040-D0CA-4737-BBB1-FF0CC10742F9}" parentId="{9DDFDF05-CB8A-4154-92B5-FB4AFBAE30F8}">
    <text>June 2024 CBO Economic Projections, Quarterly Table Line 129 from 2021 Q1 onward</text>
  </threadedComment>
  <threadedComment ref="B59" dT="2025-01-23T21:52:13.54" personId="{B61C96CF-201E-4FBB-AE0C-863888EC2CC5}" id="{C3005573-CFE8-4499-9881-F4D6618E38BC}" parentId="{9DDFDF05-CB8A-4154-92B5-FB4AFBAE30F8}">
    <text>January 2025 CBO Economic Projections, Quarterly Table Line 129 from 2022 Q1 onward</text>
  </threadedComment>
  <threadedComment ref="B59" dT="2026-02-11T18:07:18.90" personId="{F1078E92-2249-4D31-90C9-7AC953CA88B8}" id="{1649E9EC-40C4-4065-AB8B-75B75C8B7659}" parentId="{9DDFDF05-CB8A-4154-92B5-FB4AFBAE30F8}">
    <text>January 2026 CBO Economic Projections, Quarterly Table, Line 145 from 2023 Q1 onward</text>
  </threadedComment>
  <threadedComment ref="B60" dT="2023-07-27T18:58:47.03" personId="{609654FB-393E-4954-B3A3-EDB231775774}" id="{C72DB8C1-80AB-49EE-8306-B3882C563DE7}">
    <text>July 2023 economic projections quarterly table line 129</text>
  </threadedComment>
  <threadedComment ref="B60" dT="2024-02-22T16:18:11.19" personId="{09FAC3F1-DFDB-4CF8-9903-358701529E2B}" id="{D3B155C7-B049-48E7-A2B4-C43A9DB0EA80}" parentId="{C72DB8C1-80AB-49EE-8306-B3882C563DE7}">
    <text>February 2024 Economic Projections, Quarterly Table line 131</text>
  </threadedComment>
  <threadedComment ref="B60" dT="2024-06-27T14:47:56.28" personId="{2C68A5A1-706F-4A3E-93A3-741BBABEC4EA}" id="{75F43EB2-3F3C-4D75-9509-C56EEAB4DD69}" parentId="{C72DB8C1-80AB-49EE-8306-B3882C563DE7}">
    <text xml:space="preserve">June  2024 Economic Projections, Quarterly Table line 131 from 2021 Q1 onward
</text>
  </threadedComment>
  <threadedComment ref="B60" dT="2025-01-23T21:53:00.72" personId="{B61C96CF-201E-4FBB-AE0C-863888EC2CC5}" id="{EC06B0A7-A7D5-44A7-88E3-AFB308BBF369}" parentId="{C72DB8C1-80AB-49EE-8306-B3882C563DE7}">
    <text>January 2025 Economic Projections, Quarterly Table, Line 131 from 2022 Q1 onward</text>
  </threadedComment>
  <threadedComment ref="B60" dT="2026-02-11T18:08:24.13" personId="{F1078E92-2249-4D31-90C9-7AC953CA88B8}" id="{84485F3A-98B1-4E0E-9F9D-A98F03AA18A9}" parentId="{C72DB8C1-80AB-49EE-8306-B3882C563DE7}">
    <text>January 2026 CBO Economic Projections, Quarterly Table, Line 147 from 2023 Q1 onward</text>
  </threadedComment>
  <threadedComment ref="B61" dT="2023-07-27T18:59:18.12" personId="{609654FB-393E-4954-B3A3-EDB231775774}" id="{65400755-1E7E-45CD-B1D4-DAC1E9F13C96}">
    <text>July 2023 economic projections quarterly table line 139</text>
  </threadedComment>
  <threadedComment ref="B61" dT="2024-02-22T16:22:22.44" personId="{09FAC3F1-DFDB-4CF8-9903-358701529E2B}" id="{B6540356-436A-4581-AA68-7BEB752C9369}" parentId="{65400755-1E7E-45CD-B1D4-DAC1E9F13C96}">
    <text>February 2024 CBO Economic Projections, Quarterly Table, row 141</text>
  </threadedComment>
  <threadedComment ref="B61" dT="2024-06-27T14:50:57.19" personId="{2C68A5A1-706F-4A3E-93A3-741BBABEC4EA}" id="{D9A57EA5-FB02-4C18-A6DA-50261F26F942}" parentId="{65400755-1E7E-45CD-B1D4-DAC1E9F13C96}">
    <text>June 2024 CBO Economic Projections, Quarterly Table, row 141 from 2021 Q1 onward</text>
  </threadedComment>
  <threadedComment ref="B61" dT="2025-01-23T21:53:52.84" personId="{B61C96CF-201E-4FBB-AE0C-863888EC2CC5}" id="{D2BE47FE-A499-48A5-93D2-412C04A98C10}" parentId="{65400755-1E7E-45CD-B1D4-DAC1E9F13C96}">
    <text>January 2025 CBO Economic Projections, Quarterly Table, Row 141 from 2022 Q1 onward</text>
  </threadedComment>
  <threadedComment ref="B61" dT="2026-02-11T18:09:10.42" personId="{F1078E92-2249-4D31-90C9-7AC953CA88B8}" id="{2D754398-7114-45C6-936B-9D3CD411850D}" parentId="{65400755-1E7E-45CD-B1D4-DAC1E9F13C96}">
    <text>January 2026 CBO Economic Projections, Quarterly Table, Line 157 from 2023 Q1 onward</text>
  </threadedComment>
  <threadedComment ref="B62" dT="2023-07-27T18:59:50.42" personId="{609654FB-393E-4954-B3A3-EDB231775774}" id="{2342851E-1027-489D-A9C9-2E8A800F814B}">
    <text>July 2023 economic projections quarterly table line 150</text>
  </threadedComment>
  <threadedComment ref="B62" dT="2024-02-22T16:24:23.29" personId="{09FAC3F1-DFDB-4CF8-9903-358701529E2B}" id="{1C910F0A-56B8-478F-AC70-88B4D842C6E9}" parentId="{2342851E-1027-489D-A9C9-2E8A800F814B}">
    <text>February 2024 CBO Economic Projections, Quarterly Table, Line 152</text>
  </threadedComment>
  <threadedComment ref="B62" dT="2024-06-27T14:51:10.46" personId="{2C68A5A1-706F-4A3E-93A3-741BBABEC4EA}" id="{E134738C-B99D-4F51-A452-DDB0BD4715FF}" parentId="{2342851E-1027-489D-A9C9-2E8A800F814B}">
    <text>June 2024 CBO Economic Projections, Quarterly Table, Line 152 from 2021 Q1 onward</text>
  </threadedComment>
  <threadedComment ref="B62" dT="2025-01-23T21:54:43.52" personId="{B61C96CF-201E-4FBB-AE0C-863888EC2CC5}" id="{97B75CA0-04C0-41EB-BF36-8476127951E0}" parentId="{2342851E-1027-489D-A9C9-2E8A800F814B}">
    <text>January 2025 CBO Economic Projections, Quarterly Table, Line 152 from 2022 Q1 onward</text>
  </threadedComment>
  <threadedComment ref="B62" dT="2026-02-11T18:09:22.44" personId="{F1078E92-2249-4D31-90C9-7AC953CA88B8}" id="{93E112A8-2D8C-4250-BDCD-6B811B6B7A1B}" parentId="{2342851E-1027-489D-A9C9-2E8A800F814B}">
    <text>January 2026 CBO Economic Projections, Quarterly Table, Line 168 from 2023 Q1 onward</text>
  </threadedComment>
  <threadedComment ref="B63" dT="2023-07-27T19:00:00.27" personId="{609654FB-393E-4954-B3A3-EDB231775774}" id="{7C559531-A861-49AD-8365-07F57C6BE5A0}">
    <text>July 2023 economic projections quarterly table line 152</text>
  </threadedComment>
  <threadedComment ref="B63" dT="2024-02-22T16:28:42.10" personId="{09FAC3F1-DFDB-4CF8-9903-358701529E2B}" id="{90DE8F8A-2245-44B5-B9ED-169DA3A954BB}" parentId="{7C559531-A861-49AD-8365-07F57C6BE5A0}">
    <text>This is now February 2024 economic Projections, Quarterly Table, row 154</text>
  </threadedComment>
  <threadedComment ref="B63" dT="2025-01-23T21:56:52.70" personId="{B61C96CF-201E-4FBB-AE0C-863888EC2CC5}" id="{511B591D-3E90-4093-B4C0-B8CCA6705B31}" parentId="{7C559531-A861-49AD-8365-07F57C6BE5A0}">
    <text>January 2025 CBO Economic Projections, Quarterly Table, Line 154 from 2022 Q1 onward</text>
  </threadedComment>
  <threadedComment ref="B63" dT="2026-02-11T18:09:34.75" personId="{F1078E92-2249-4D31-90C9-7AC953CA88B8}" id="{9809154D-A893-42D4-8224-F161FADF8361}" parentId="{7C559531-A861-49AD-8365-07F57C6BE5A0}">
    <text>January 2026 CBO Economic Projections, Quarterly Table, Line 170 from 2023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B23" dT="2026-02-11T18:11:20.45" personId="{F1078E92-2249-4D31-90C9-7AC953CA88B8}" id="{EBC10735-DF35-4756-9349-3718C1F28326}" parentId="{D9A1C32B-382A-44CE-B60A-7CEFD093B9EC}">
    <text>This is now January 2026, CBO Economic Projections, Quarterly table, Row 94 from 2023 Q1 onward</text>
  </threadedComment>
  <threadedComment ref="AG23" dT="2024-04-26T17:16:27.79" personId="{2C68A5A1-706F-4A3E-93A3-741BBABEC4EA}" id="{9A78D78B-9B91-4B19-B3C5-F387312A4076}">
    <text>We decided to set this equal to the previous quarter estimate as a temporary measure.</text>
  </threadedComment>
  <threadedComment ref="AG23" dT="2026-02-11T18:12:33.70" personId="{F1078E92-2249-4D31-90C9-7AC953CA88B8}" id="{50ED14F2-DF98-4779-8F36-83149A8413C9}" parentId="{9A78D78B-9B91-4B19-B3C5-F387312A4076}">
    <text>Disregard</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AG10" dT="2026-02-23T17:25:34.95" personId="{B61C96CF-201E-4FBB-AE0C-863888EC2CC5}" id="{C0E0B112-9599-4C1E-BB7B-106081C4A7DC}">
    <text xml:space="preserve">Assume higher spending because CBO had not seen 2025 Q3 </text>
  </threadedComment>
  <threadedComment ref="AH10" dT="2026-02-23T17:34:13.22" personId="{B61C96CF-201E-4FBB-AE0C-863888EC2CC5}" id="{A64B8CF3-C2A5-4BA4-B620-14F203317F6C}">
    <text>Matching our shutdown effects instead of CBO</text>
  </threadedComment>
  <threadedComment ref="B16" dT="2022-07-27T15:16:37.13" personId="{104078EE-2393-4C21-9029-18A325FBDB70}" id="{976B723C-4211-4969-882A-4B89C4902055}">
    <text>May 2022 CBO economic projections row 127 quarterly table</text>
  </threadedComment>
  <threadedComment ref="B16" dT="2023-02-15T19:40:23.85" personId="{609654FB-393E-4954-B3A3-EDB231775774}" id="{5D4FEFF0-1A89-4604-A6EE-A9921838BC6F}" parentId="{976B723C-4211-4969-882A-4B89C4902055}">
    <text>This is now February 2023 CBO economic projections row 127 quarterly table</text>
  </threadedComment>
  <threadedComment ref="B16" dT="2023-07-27T18:31:18.10" personId="{609654FB-393E-4954-B3A3-EDB231775774}" id="{D78ED2FD-083D-4D3D-90CB-588F26BDC2F5}" parentId="{976B723C-4211-4969-882A-4B89C4902055}">
    <text>This is now July 2023 CBO economic projections row 127 quarterly table</text>
  </threadedComment>
  <threadedComment ref="B16" dT="2024-02-21T22:16:46.87" personId="{09FAC3F1-DFDB-4CF8-9903-358701529E2B}" id="{D555AF99-F94F-4BDE-B145-E138B69AEBCF}" parentId="{976B723C-4211-4969-882A-4B89C4902055}">
    <text>This is now February 2024 CBO economic projections row 129 quarterly table.</text>
  </threadedComment>
  <threadedComment ref="B16" dT="2024-06-26T18:41:21.94" personId="{2C68A5A1-706F-4A3E-93A3-741BBABEC4EA}" id="{74EA8410-AE4F-463D-AA1C-7B843C4FD6DA}" parentId="{976B723C-4211-4969-882A-4B89C4902055}">
    <text>This is now June 2024 CBO Economic Projections Quarterly table row 129 from 2021 Q1 onward</text>
  </threadedComment>
  <threadedComment ref="B16" dT="2025-01-23T18:39:00.01" personId="{B61C96CF-201E-4FBB-AE0C-863888EC2CC5}" id="{54E25019-9AE1-405D-AC1B-B5D7DFED84A5}" parentId="{976B723C-4211-4969-882A-4B89C4902055}">
    <text>This is now January 2025 CBO Economic Projections Quarterly table row 129 from 2022 Q1 onward</text>
  </threadedComment>
  <threadedComment ref="B16" dT="2026-02-11T18:52:11.59" personId="{B61C96CF-201E-4FBB-AE0C-863888EC2CC5}" id="{44230FF4-E344-4B16-9C94-0760A2F2B8A9}" parentId="{976B723C-4211-4969-882A-4B89C4902055}">
    <text>This is now January 2025 CBO Economic Projections Quarterly table row 145 from 2022 Q1 onward</text>
  </threadedComment>
  <threadedComment ref="B18" dT="2022-07-27T15:16:37.13" personId="{104078EE-2393-4C21-9029-18A325FBDB70}" id="{395BD461-6A21-423E-BC63-1D85793EE006}">
    <text>May 2022 CBO economic projections row 127 quarterly table</text>
  </threadedComment>
  <threadedComment ref="B18" dT="2023-02-15T19:40:23.85" personId="{609654FB-393E-4954-B3A3-EDB231775774}" id="{F0FD6CDB-F035-47E9-B088-DEAE8F305FD1}" parentId="{395BD461-6A21-423E-BC63-1D85793EE006}">
    <text>This is now February 2023 CBO economic projections row 127 quarterly table</text>
  </threadedComment>
  <threadedComment ref="B18" dT="2023-07-27T18:31:18.10" personId="{609654FB-393E-4954-B3A3-EDB231775774}" id="{C90B0BD5-C525-4646-9246-47517A7A584F}" parentId="{395BD461-6A21-423E-BC63-1D85793EE006}">
    <text>This is now July 2023 CBO economic projections row 127 quarterly table</text>
  </threadedComment>
  <threadedComment ref="B18" dT="2024-02-21T22:16:46.87" personId="{09FAC3F1-DFDB-4CF8-9903-358701529E2B}" id="{D5B22799-3915-405C-956F-76B8767AA4AF}" parentId="{395BD461-6A21-423E-BC63-1D85793EE006}">
    <text>This is now February 2024 CBO economic projections row 129 quarterly table.</text>
  </threadedComment>
  <threadedComment ref="B18" dT="2024-06-26T18:41:21.94" personId="{2C68A5A1-706F-4A3E-93A3-741BBABEC4EA}" id="{27CE7D87-7447-4ABE-8CC2-52CAEA85BA87}" parentId="{395BD461-6A21-423E-BC63-1D85793EE006}">
    <text>This is now June 2024 CBO Economic Projections Quarterly table row 129 from 2021 Q1 onward</text>
  </threadedComment>
  <threadedComment ref="B18" dT="2025-01-23T18:39:00.01" personId="{B61C96CF-201E-4FBB-AE0C-863888EC2CC5}" id="{BEEE34E1-11DA-465B-96F7-1D2774042B28}" parentId="{395BD461-6A21-423E-BC63-1D85793EE006}">
    <text>This is now January 2025 CBO Economic Projections Quarterly table row 129 from 2022 Q1 onward</text>
  </threadedComment>
  <threadedComment ref="B18" dT="2026-02-11T18:52:11.59" personId="{B61C96CF-201E-4FBB-AE0C-863888EC2CC5}" id="{9B008FEF-AB24-4154-8DAF-6E0E01E22A6D}" parentId="{395BD461-6A21-423E-BC63-1D85793EE006}">
    <text>This is now January 2025 CBO Economic Projections Quarterly table row 145 from 2022 Q1 onward</text>
  </threadedComment>
  <threadedComment ref="B35" dT="2022-06-30T18:28:35.88" personId="{104078EE-2393-4C21-9029-18A325FBDB70}" id="{3D5BBFAC-4E76-4F2A-B34F-264D54111B07}">
    <text>May 2022 CBO economic projections row 129 quarterly table</text>
  </threadedComment>
  <threadedComment ref="B35" dT="2023-02-15T19:43:47.77" personId="{609654FB-393E-4954-B3A3-EDB231775774}" id="{D2ED8084-9DED-49AE-9C39-DE899BA6DBE4}" parentId="{3D5BBFAC-4E76-4F2A-B34F-264D54111B07}">
    <text>This is now February 2023 CBO economic projections row 129 quarterly table</text>
  </threadedComment>
  <threadedComment ref="B35" dT="2023-07-27T18:37:42.56" personId="{609654FB-393E-4954-B3A3-EDB231775774}" id="{5A35562D-9D11-4966-A103-00D106E2863D}" parentId="{3D5BBFAC-4E76-4F2A-B34F-264D54111B07}">
    <text>This is now July 2023 CBO economic projections row 129 quarterly table</text>
  </threadedComment>
  <threadedComment ref="B35" dT="2024-02-21T22:22:11.49" personId="{09FAC3F1-DFDB-4CF8-9903-358701529E2B}" id="{20A7D685-EAA3-4C01-B5CA-107CB58D087F}" parentId="{3D5BBFAC-4E76-4F2A-B34F-264D54111B07}">
    <text>This is now February 2024 CBO economic projections row 131 quarterly table.</text>
  </threadedComment>
  <threadedComment ref="B35" dT="2024-06-26T18:44:20.97" personId="{2C68A5A1-706F-4A3E-93A3-741BBABEC4EA}" id="{9A13A553-A958-4882-A266-2E3589681540}" parentId="{3D5BBFAC-4E76-4F2A-B34F-264D54111B07}">
    <text>This is now June 2024 CBO Economic Projections Quarterly table row 131 from 2021 Q1 onward.</text>
  </threadedComment>
  <threadedComment ref="B3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5" dT="2026-02-11T19:27:14.74" personId="{B61C96CF-201E-4FBB-AE0C-863888EC2CC5}" id="{E2570566-D8CB-4507-8000-058ABDF3F136}" parentId="{3D5BBFAC-4E76-4F2A-B34F-264D54111B07}">
    <text xml:space="preserve">These data are from January 2026 CBO Economic Projections Quarterly table, raw 147 from 2022 Q1 onward. </text>
  </threadedComment>
  <threadedComment ref="B36" dT="2024-06-26T18:46:33.64" personId="{2C68A5A1-706F-4A3E-93A3-741BBABEC4EA}" id="{E7D459C7-D63C-4E4A-AE4E-B08D7B79CF4D}">
    <text>These data are from June 2024 CBO Economic Projections Quarterly table, row 132 from 2021 Q1 onward.</text>
  </threadedComment>
  <threadedComment ref="B3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6" dT="2026-02-11T19:26:54.26" personId="{B61C96CF-201E-4FBB-AE0C-863888EC2CC5}" id="{1A2FF929-2CFC-4D79-8395-181B96562CE2}" parentId="{E7D459C7-D63C-4E4A-AE4E-B08D7B79CF4D}">
    <text xml:space="preserve">These data are from January 2026 CBO Economic Projections Quarterly table, raw 148 from 2022 Q1 onward. </text>
  </threadedComment>
  <threadedComment ref="B43" dT="2023-11-30T15:39:21.04" personId="{2C68A5A1-706F-4A3E-93A3-741BBABEC4EA}" id="{C146291D-B06B-4D46-A30C-B289BA81D51C}">
    <text>Start updating this chart again</text>
  </threadedComment>
  <threadedComment ref="B49"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AH13" dT="2026-02-20T19:52:49.43" personId="{B61C96CF-201E-4FBB-AE0C-863888EC2CC5}" id="{866674FD-C643-4C79-82A2-C984EC84E5F2}">
    <text>Check once we have data for 2026 Q1 -&gt; the add factor should go away</text>
  </threadedComment>
  <threadedComment ref="R20" dT="2022-07-28T13:44:35.53" personId="{104078EE-2393-4C21-9029-18A325FBDB70}" id="{3E7AAE05-9E76-4CF3-873B-76FF197F21FE}">
    <text>We had these coming in at 21 and 6 respectively</text>
  </threadedComment>
  <threadedComment ref="U21" dT="2023-04-28T16:43:36.97" personId="{104078EE-2393-4C21-9029-18A325FBDB70}" id="{9C6B073E-F7AB-4CBA-B38C-DC03A0972F64}">
    <text>Preserving forecast formula since bea stopped reporting line item</text>
  </threadedComment>
  <threadedComment ref="R23"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6" dT="2022-01-28T16:13:54.75" personId="{58CF8BEC-4104-46F7-BE4F-2C9403635492}" id="{DB908DB8-ED36-4713-AE3C-B9DFD0F93D1E}">
    <text>This is used to keep line 12 (non-leg subsidies) at a consistent level</text>
  </threadedComment>
  <threadedComment ref="B27"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6" dT="2022-10-27T17:21:31.98" personId="{609654FB-393E-4954-B3A3-EDB231775774}" id="{02CD4DDF-2C52-45CC-A7C0-F81AC2D1A26A}">
    <text>Flag because ARP subsidies come in 100 lower based on ARP score, non-ARP subsidies now much higher going forward.</text>
  </threadedComment>
  <threadedComment ref="AG46" dT="2024-04-26T17:14:06.26" personId="{2C68A5A1-706F-4A3E-93A3-741BBABEC4EA}" id="{D984E10B-B7DF-4552-BF09-3EB2FF9587F0}">
    <text>Hard coded to 0 because ARP Quarterly runs out of data and this is small anyway.</text>
  </threadedComment>
  <threadedComment ref="S47"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3" dT="2023-01-27T19:01:20.87" personId="{609654FB-393E-4954-B3A3-EDB231775774}" id="{4B9C304D-96FE-41EF-9E62-0CD883029070}">
    <text>End of public health emergency,  April 2023, so FMAP share goes down.</text>
  </threadedComment>
  <threadedComment ref="V13" dT="2023-07-27T14:27:37.22" personId="{2C68A5A1-706F-4A3E-93A3-741BBABEC4EA}" id="{EF5B2F1F-097C-4EFE-B1E6-4E4CD9A20D94}" parentId="{4B9C304D-96FE-41EF-9E62-0CD883029070}">
    <text>How do we feel about FMAP stabilizing at 0.71 in our projections?</text>
  </threadedComment>
  <threadedComment ref="W13" dT="2023-07-28T14:54:19.93" personId="{609654FB-393E-4954-B3A3-EDB231775774}" id="{82EE6F66-A1E6-460B-AE87-4B0EC2A37501}">
    <text>We reduced this predicted FMAP from .745 to .72 because Q2 FMAP came in quite low</text>
  </threadedComment>
  <threadedComment ref="AG14" dT="2026-02-20T20:10:01.36" personId="{B61C96CF-201E-4FBB-AE0C-863888EC2CC5}" id="{86EE7B25-37C7-46C5-A877-2F8929979611}">
    <text>Make 0 when we get in new data + account for smaller fraction due to rolling average</text>
  </threadedComment>
  <threadedComment ref="B19"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9"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9"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9"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9"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9"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B19" dT="2026-02-11T19:32:09.49" personId="{B61C96CF-201E-4FBB-AE0C-863888EC2CC5}" id="{41955891-F5B4-4A05-9D40-24DE5E07C9A4}" parentId="{2F0D2920-F0F1-40FD-B319-7B4020276F9E}">
    <text>This is now January 2026 CBO Budget Projections Table 3-2 Mandatory Outlays Adjusted to Exclude Effects of Timing Shifts, row 16, starting from 2025</text>
  </threadedComment>
  <threadedComment ref="K21" dT="2026-02-20T20:37:50.28" personId="{B61C96CF-201E-4FBB-AE0C-863888EC2CC5}" id="{92EEE46B-DE2B-4EF1-A3C2-1030520ACB88}">
    <text>Hardcoded to reflect decrease in annual FMAP</text>
  </threadedComment>
  <threadedComment ref="W30"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30" dT="2024-12-12T16:10:32.35" personId="{09FAC3F1-DFDB-4CF8-9903-358701529E2B}" id="{6A9D0C8A-F9C2-4EE0-B3A9-3E7911CC1731}">
    <text>We need to fill in K18</text>
  </threadedComment>
  <threadedComment ref="V31" dT="2023-07-26T20:48:20.39" personId="{2C68A5A1-706F-4A3E-93A3-741BBABEC4EA}" id="{5E6012FC-E5EC-49B2-9F3E-FF9BACB20939}">
    <text>Is there any reason we want a 32 here? The formula doesn't have any dependents, so this is not factoring into anything.</text>
  </threadedComment>
  <threadedComment ref="AO31" dT="2025-12-05T16:14:49.70" personId="{F1078E92-2249-4D31-90C9-7AC953CA88B8}" id="{DDAB7CB7-ECA7-4B19-8FA6-19E2C3431BF9}">
    <text>Add factor reflects MPI for q3 2025</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B21" dT="2026-02-11T19:32:43.81" personId="{B61C96CF-201E-4FBB-AE0C-863888EC2CC5}" id="{E0C97ACA-9961-45A1-AB65-DEB2AC370D8D}" parentId="{FBCF6AFF-3308-4DB2-931F-AB1BC267CB41}">
    <text>This is now January 2026 CBO 10-year budget projections Table 3-2 Mandatory Outlays Adjusted to Exclude Effects of Timing Shifts, row 15, from 2025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AG24" dT="2024-04-26T17:18:21.29" personId="{2C68A5A1-706F-4A3E-93A3-741BBABEC4EA}" id="{8FB47374-4848-494C-9611-08DEDB6C3345}">
    <text>We set this equal to 0 because ARP Quarterly ran out of data and it's small anyway</text>
  </threadedComment>
  <threadedComment ref="AG25" dT="2024-04-26T17:19:21.98" personId="{2C68A5A1-706F-4A3E-93A3-741BBABEC4EA}" id="{65CA9285-C6F9-4D00-A5F0-56CF0CE5A87C}">
    <text>We set this equal to 0 because ARP Quarterly ran out of data and it's small anyway</text>
  </threadedComment>
  <threadedComment ref="T27" dT="2026-02-19T20:40:32.25" personId="{F1078E92-2249-4D31-90C9-7AC953CA88B8}" id="{DA19FCEB-89EA-41CF-9291-62EA28E34EB3}">
    <text>Still not sure what happened here</text>
  </threadedComment>
  <threadedComment ref="U27" dT="2023-04-28T16:49:22.08" personId="{104078EE-2393-4C21-9029-18A325FBDB70}" id="{8BBEDEB9-D195-4695-A605-390DFBBB88E0}">
    <text>Back to pre-pandemic level so we no longer get data from BEA and we don't use it</text>
  </threadedComment>
  <threadedComment ref="B30" dT="2023-02-16T19:02:57.27" personId="{609654FB-393E-4954-B3A3-EDB231775774}" id="{64664D4F-919E-4CE2-B6AD-802770EBCAE7}">
    <text>Same issue as previous--we have policies but they don't feed into anything we get from the CBO. So what do we do?</text>
  </threadedComment>
  <threadedComment ref="W48" dT="2023-07-28T17:56:37.74" personId="{2C68A5A1-706F-4A3E-93A3-741BBABEC4EA}" id="{51F03C7E-34E2-4A7A-8F08-C042D450DF19}">
    <text>We're assuming it will stay at 37.7 because of the new TFP</text>
  </threadedComment>
  <threadedComment ref="AF67" dT="2026-01-22T18:25:11.46" personId="{F1078E92-2249-4D31-90C9-7AC953CA88B8}" id="{55B2518C-B502-422D-9766-9585E121F99A}">
    <text xml:space="preserve">Revised down 9 following Oct/Nov MPI </text>
  </threadedComment>
  <threadedComment ref="B82" dT="2023-02-24T16:39:02.09" personId="{104078EE-2393-4C21-9029-18A325FBDB70}" id="{6FCB5A21-C57A-4A12-8E90-17C5D6395D0A}">
    <text>CBO Feb 2023 budget projections table 1-4, social security subtotal</text>
  </threadedComment>
  <threadedComment ref="B82" dT="2023-06-29T15:43:04.78" personId="{2C68A5A1-706F-4A3E-93A3-741BBABEC4EA}" id="{DBBA3991-07EB-446C-919E-8555D3880A6D}" parentId="{6FCB5A21-C57A-4A12-8E90-17C5D6395D0A}">
    <text>CBO May 2023 budget projections supplemental table 2, social security subtotal</text>
  </threadedComment>
  <threadedComment ref="B82"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2"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2"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 ref="B82" dT="2026-02-11T19:34:10.42" personId="{B61C96CF-201E-4FBB-AE0C-863888EC2CC5}" id="{0E166671-BF3F-468C-B475-99AE33CD5FD6}" parentId="{6FCB5A21-C57A-4A12-8E90-17C5D6395D0A}">
    <text xml:space="preserve">This is now January 2026 CBO budget projections Table 3-2 Adjusted to Exclude Effects of Timing Shifts, row 12 Social Security Subtotal from 2025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F12" dT="2026-01-22T18:26:03.98" personId="{F1078E92-2249-4D31-90C9-7AC953CA88B8}" id="{CC0CA2FF-9B6B-4D44-A126-EE40603437D5}">
    <text>Added 25 to revise up following Oct/Nov MPI</text>
  </threadedComment>
  <threadedComment ref="AG12" dT="2026-02-13T20:08:28.34" personId="{B61C96CF-201E-4FBB-AE0C-863888EC2CC5}" id="{E29308D5-32BD-4C8D-A510-8963668B7349}">
    <text>Matching Jan 2026 CBO FY growth rates (-15)</text>
  </threadedComment>
  <threadedComment ref="AG12" dT="2026-02-20T21:00:51.73" personId="{B61C96CF-201E-4FBB-AE0C-863888EC2CC5}" id="{FD816064-C71D-418B-8227-1CD2FD4BBAC0}" parentId="{E29308D5-32BD-4C8D-A510-8963668B7349}">
    <text>And weaker taxes from Advance Estimate of Q4 data (-30)</text>
  </threadedComment>
  <threadedComment ref="AK12" dT="2026-02-13T20:08:44.30" personId="{B61C96CF-201E-4FBB-AE0C-863888EC2CC5}" id="{8CF24AF3-65B1-4E66-BFF2-4EEAE166C517}">
    <text>Matching Jan 2026 CBO Growth Rates</text>
  </threadedComment>
  <threadedComment ref="AF14" dT="2026-01-22T18:28:17.82" personId="{F1078E92-2249-4D31-90C9-7AC953CA88B8}" id="{458453D1-4287-4FED-90D5-7B2C5821F1FC}">
    <text>Revised down 6 following oct/nov MPI</text>
  </threadedComment>
  <threadedComment ref="AD16" dT="2025-08-05T20:24:56.54" personId="{B61C96CF-201E-4FBB-AE0C-863888EC2CC5}" id="{9F68A36B-BADF-42E9-8897-412F98B5BF1D}">
    <text>Do not drag forward as we forecast this differently.</text>
  </threadedComment>
  <threadedComment ref="AF16" dT="2026-02-13T20:26:14.05" personId="{B61C96CF-201E-4FBB-AE0C-863888EC2CC5}" id="{B5160EA3-E650-441A-B09E-3876F50C0768}">
    <text>Add factor for the growth of FY averages to match Jan 2026 CBO growth rates</text>
  </threadedComment>
  <threadedComment ref="AP16" dT="2025-08-05T20:24:56.54" personId="{B61C96CF-201E-4FBB-AE0C-863888EC2CC5}" id="{D81DFBB7-86CD-4EFB-AB9A-397620A1BB73}">
    <text>Do not drag forward as we forecast this differently.</text>
  </threadedComment>
  <threadedComment ref="AH18" dT="2026-02-20T21:07:16.20" personId="{B61C96CF-201E-4FBB-AE0C-863888EC2CC5}" id="{24F94836-2C70-4D99-A431-04968E6EED39}">
    <text>5% decrease (half of 10% of IEEPA tariffs, which is 50% of total tariffs) - following the SC decision</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E19" dT="2025-12-23T18:54:19.62" personId="{B61C96CF-201E-4FBB-AE0C-863888EC2CC5}" id="{EAF5A2EB-1EB1-46CF-8026-56F1C7C57A41}">
    <text>Override this in the code</text>
  </threadedComment>
  <threadedComment ref="AE19" dT="2026-02-11T20:20:52.14" personId="{B61C96CF-201E-4FBB-AE0C-863888EC2CC5}" id="{7278C258-10B2-4452-AE84-E92E4D2B9ED6}" parentId="{EAF5A2EB-1EB1-46CF-8026-56F1C7C57A41}">
    <text>79</text>
  </threadedComment>
  <threadedComment ref="AC26" dT="2024-04-26T16:37:16.34" personId="{09FAC3F1-DFDB-4CF8-9903-358701529E2B}" id="{F321F009-AE01-4E4D-9369-A5619D19D165}">
    <text>For all state taxes, (lines 21,23,24), Change Y to AC when data come in</text>
  </threadedComment>
  <threadedComment ref="AG26" dT="2025-07-30T18:21:52.74" personId="{B61C96CF-201E-4FBB-AE0C-863888EC2CC5}" id="{3585F4E1-BC15-421F-86D2-FE2555E5793B}">
    <text>Update values in column AC</text>
  </threadedComment>
  <threadedComment ref="V30" dT="2023-07-27T13:56:35.04" personId="{2C68A5A1-706F-4A3E-93A3-741BBABEC4EA}" id="{B728ADDD-1273-4E55-8814-E8C3FD69479C}">
    <text>Drag my predecessor forward in August 2023!! (Corporate taxes come in late, and we couldn't update in July!)</text>
  </threadedComment>
  <threadedComment ref="W30" dT="2023-10-26T13:36:43.23" personId="{609654FB-393E-4954-B3A3-EDB231775774}" id="{E4DF66AA-5335-4D94-9E4D-66DA99993F87}">
    <text>Drag this forward in November, by the same logic as in the previous cell.</text>
  </threadedComment>
  <threadedComment ref="X30" dT="2024-01-24T19:07:35.34" personId="{09FAC3F1-DFDB-4CF8-9903-358701529E2B}" id="{CC88B2AD-42E1-4429-9F96-11F321E6C309}">
    <text>Drag this forward in February because we get Q4 data one month late.</text>
  </threadedComment>
  <threadedComment ref="Y30" dT="2024-07-25T15:32:48.53" personId="{09FAC3F1-DFDB-4CF8-9903-358701529E2B}" id="{E2554A30-600C-4AD2-8D4A-FC4962812F8B}">
    <text>Drag this forward in August because we get corporate taxes a month late.</text>
  </threadedComment>
  <threadedComment ref="Z30" dT="2024-08-29T14:14:21.83" personId="{09FAC3F1-DFDB-4CF8-9903-358701529E2B}" id="{A196A32E-A5C1-4F07-8B59-119E7AE70D0B}">
    <text>Drag this forward in November because we get taxes a month late.</text>
  </threadedComment>
  <threadedComment ref="AA30" dT="2024-11-26T20:16:59.30" personId="{09FAC3F1-DFDB-4CF8-9903-358701529E2B}" id="{A139012F-1658-4901-B53F-BF56AACE6636}">
    <text xml:space="preserve">Drag this forward in March. </text>
  </threadedComment>
  <threadedComment ref="AB30" dT="2025-04-29T13:43:13.39" personId="{B61C96CF-201E-4FBB-AE0C-863888EC2CC5}" id="{A82A902F-AD6E-4CA9-BF0E-CF712F9C6FA3}">
    <text xml:space="preserve">Drag this forward in May - we get corporate taxes a month late. 
</text>
  </threadedComment>
  <threadedComment ref="AC30" dT="2025-05-29T15:29:35.91" personId="{B61C96CF-201E-4FBB-AE0C-863888EC2CC5}" id="{68156C26-01E4-4C83-858B-B7BF9C7BF980}">
    <text>Drag this forward in August - we get corporate taxes a month late.</text>
  </threadedComment>
  <threadedComment ref="AD30" dT="2025-08-28T21:54:17.86" personId="{B61C96CF-201E-4FBB-AE0C-863888EC2CC5}" id="{70020629-9BF4-4E3B-B9A8-BB492DF2020C}">
    <text xml:space="preserve">Drag this forward in November - we get corporate taxes a month late. </text>
  </threadedComment>
  <threadedComment ref="K41" dT="2023-09-29T18:40:36.76" personId="{2C68A5A1-706F-4A3E-93A3-741BBABEC4EA}" id="{6B6C72A1-7084-4836-BD19-21B5B30BA567}">
    <text>We adjusted these growth rates upward because CBO expected taxes to fall gradually but instead they fell quickly.</text>
  </threadedComment>
  <threadedComment ref="K45" dT="2024-02-29T21:02:38.53" personId="{4C0C5F85-AD1E-4C57-B372-003AF5B78A9F}" id="{E8E02DE3-EF37-4D55-B2AF-D500109E0FCA}">
    <text>We reduced the CBO growth rate from 36% to 10% because it seemed anomolously high</text>
  </threadedComment>
  <threadedComment ref="L45" dT="2024-02-29T21:03:05.03" personId="{4C0C5F85-AD1E-4C57-B372-003AF5B78A9F}" id="{3226D48D-8EB7-4B9C-B680-A80BCA57EBDA}">
    <text>We increased the CBO growth rate to account for our large adjustment in the previous year</text>
  </threadedComment>
  <threadedComment ref="M45" dT="2024-05-30T19:58:14.22" personId="{2C68A5A1-706F-4A3E-93A3-741BBABEC4EA}" id="{94BD5204-DCB0-439F-BFFC-2543D9C1CC20}">
    <text>Another additional add factor, similar to comment to the left</text>
  </threadedComment>
  <threadedComment ref="D61" dT="2023-02-15T20:39:04.10" personId="{609654FB-393E-4954-B3A3-EDB231775774}" id="{6589CD25-FEC5-4E8E-9623-1580C8BE64EA}">
    <text>May 2023 CBO Budget Projections Table 1 Row 12</text>
  </threadedComment>
  <threadedComment ref="D61" dT="2024-02-22T14:31:10.89" personId="{09FAC3F1-DFDB-4CF8-9903-358701529E2B}" id="{1369ACA3-6F7E-448C-8A51-40B8562114AA}" parentId="{6589CD25-FEC5-4E8E-9623-1580C8BE64EA}">
    <text>Feb 2024 CBO Budget Projections Table 1-1 Row 10</text>
  </threadedComment>
  <threadedComment ref="D61" dT="2024-06-27T14:27:47.87" personId="{2C68A5A1-706F-4A3E-93A3-741BBABEC4EA}" id="{B0E2FF74-5921-4D3E-B6B0-EFE67C5CB362}" parentId="{6589CD25-FEC5-4E8E-9623-1580C8BE64EA}">
    <text>June 2024 CBO Budget Projections Table 1-1 Row 10</text>
  </threadedComment>
  <threadedComment ref="D61" dT="2025-01-23T19:50:30.29" personId="{B61C96CF-201E-4FBB-AE0C-863888EC2CC5}" id="{9079AF28-F4D5-468B-81E5-DA6DA04A1ED7}" parentId="{6589CD25-FEC5-4E8E-9623-1580C8BE64EA}">
    <text>January 2025 CBO Budget Projections Table B-1 Row 11 from 2024 onward</text>
  </threadedComment>
  <threadedComment ref="D61" dT="2026-02-11T19:37:23.98" personId="{B61C96CF-201E-4FBB-AE0C-863888EC2CC5}" id="{1CDF632A-D855-4619-BBEF-6480A2ED4878}" parentId="{6589CD25-FEC5-4E8E-9623-1580C8BE64EA}">
    <text>January 2026 CBO Budget Projections Table 1-1 Row 12 from 2025 onward</text>
  </threadedComment>
  <threadedComment ref="D63" dT="2023-02-15T20:40:59.29" personId="{609654FB-393E-4954-B3A3-EDB231775774}" id="{097006B6-67FE-456D-98C0-EEDBBF620524}">
    <text>February 2023 Budget Projections Table 1 Row 13</text>
  </threadedComment>
  <threadedComment ref="D63" dT="2023-07-27T18:42:32.97" personId="{609654FB-393E-4954-B3A3-EDB231775774}" id="{47972C5B-1EA3-4920-9C72-53098C6EE1E6}" parentId="{097006B6-67FE-456D-98C0-EEDBBF620524}">
    <text>These are now May 2023 Budget Projections Table 1 row 13</text>
  </threadedComment>
  <threadedComment ref="D63" dT="2024-02-22T14:36:16.32" personId="{09FAC3F1-DFDB-4CF8-9903-358701529E2B}" id="{6FE65376-98C3-4A98-9D0E-A3141E7D6F88}" parentId="{097006B6-67FE-456D-98C0-EEDBBF620524}">
    <text>February 2024 CBO Budget Projections Table 1-1 Row 11</text>
  </threadedComment>
  <threadedComment ref="D63" dT="2024-06-27T14:28:28.14" personId="{2C68A5A1-706F-4A3E-93A3-741BBABEC4EA}" id="{512A4DAA-221D-4FB4-84C0-48654CC9EBEA}" parentId="{097006B6-67FE-456D-98C0-EEDBBF620524}">
    <text>June 2024 CBO Budget Projections Table 1-1 Row 11</text>
  </threadedComment>
  <threadedComment ref="D63" dT="2025-01-23T19:51:13.49" personId="{B61C96CF-201E-4FBB-AE0C-863888EC2CC5}" id="{C525E404-B98D-4057-8514-9B0FA7C1D6B2}" parentId="{097006B6-67FE-456D-98C0-EEDBBF620524}">
    <text>January 2025 CBO Budget Projections Table B-1 Row 12 from 2024 onward</text>
  </threadedComment>
  <threadedComment ref="D63" dT="2026-02-11T19:37:57.70" personId="{B61C96CF-201E-4FBB-AE0C-863888EC2CC5}" id="{3664DD5D-2CC7-46EF-9C9C-3CC23ED9A08D}" parentId="{097006B6-67FE-456D-98C0-EEDBBF620524}">
    <text>January 2026 CBO Budget Projections Table 1-1 Row 13 from 2025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8" dT="2023-02-15T20:50:01.14" personId="{609654FB-393E-4954-B3A3-EDB231775774}" id="{EBDB931A-D867-4379-AEC4-D01DA7FE1ACD}">
    <text>February 2023 CBO Budget Projections Table 1-6 Row 16</text>
  </threadedComment>
  <threadedComment ref="D68" dT="2024-02-22T14:45:22.24" personId="{09FAC3F1-DFDB-4CF8-9903-358701529E2B}" id="{ED794DE9-410D-4C15-B82A-5D3CF41DD874}" parentId="{EBDB931A-D867-4379-AEC4-D01DA7FE1ACD}">
    <text>February 2024 CBO Budget Projections Table 1-7, row 16</text>
  </threadedComment>
  <threadedComment ref="D68" dT="2024-06-27T21:11:21.66" personId="{09FAC3F1-DFDB-4CF8-9903-358701529E2B}" id="{1D6374F3-7234-4C5B-AC35-F11980D0384F}" parentId="{EBDB931A-D867-4379-AEC4-D01DA7FE1ACD}">
    <text>June 2024 CBO Revenue Projections, Revenue Projections Sheet, Row 16</text>
  </threadedComment>
  <threadedComment ref="D68" dT="2025-01-24T16:20:10.43" personId="{09FAC3F1-DFDB-4CF8-9903-358701529E2B}" id="{FCE743DB-D29D-44C1-83E8-73F6E97FFD06}" parentId="{EBDB931A-D867-4379-AEC4-D01DA7FE1ACD}">
    <text xml:space="preserve">January 2025 CBO Revenue Projections, Revenue Projections Sheet, Row 15
</text>
  </threadedComment>
  <threadedComment ref="D70" dT="2023-02-15T20:51:09.94" personId="{609654FB-393E-4954-B3A3-EDB231775774}" id="{2C4BAD88-B40B-4A01-A5F2-F84C2536C03E}">
    <text>May 2023 CBO Budget Projections Table 1 Row 14</text>
  </threadedComment>
  <threadedComment ref="D70" dT="2024-02-22T14:47:44.47" personId="{09FAC3F1-DFDB-4CF8-9903-358701529E2B}" id="{56D856A9-9BA2-49ED-883D-63CB631230CC}" parentId="{2C4BAD88-B40B-4A01-A5F2-F84C2536C03E}">
    <text>February 2023 CBO Budget Projections Table 1-1, row 12</text>
  </threadedComment>
  <threadedComment ref="D70" dT="2024-06-27T14:32:38.18" personId="{2C68A5A1-706F-4A3E-93A3-741BBABEC4EA}" id="{FD495377-F4B3-4E2A-B7D0-A8B8FF2573A7}" parentId="{2C4BAD88-B40B-4A01-A5F2-F84C2536C03E}">
    <text>June 2024 CBO Budget projections table 1-1 row 12</text>
  </threadedComment>
  <threadedComment ref="D70" dT="2025-01-23T19:53:53.10" personId="{B61C96CF-201E-4FBB-AE0C-863888EC2CC5}" id="{F9AE7CE9-F293-4D36-A070-90D0725CEE0C}" parentId="{2C4BAD88-B40B-4A01-A5F2-F84C2536C03E}">
    <text>January 2025 CBO Budget Projections Table B-1 row 13 from 2024 onward</text>
  </threadedComment>
  <threadedComment ref="D70" dT="2026-02-11T19:44:30.93" personId="{B61C96CF-201E-4FBB-AE0C-863888EC2CC5}" id="{132A4C0B-49D6-440C-908B-FA00EB53AB1D}" parentId="{2C4BAD88-B40B-4A01-A5F2-F84C2536C03E}">
    <text>January 2026 CBO Budget Projections Table 1-1 row 14 from 2025 onward</text>
  </threadedComment>
  <threadedComment ref="D71" dT="2023-02-15T20:51:09.94" personId="{609654FB-393E-4954-B3A3-EDB231775774}" id="{90E87782-0AE8-4B86-831F-856790231CB4}">
    <text>May 2023 CBO Budget Projections Table 1 Row 14</text>
  </threadedComment>
  <threadedComment ref="D71" dT="2024-02-22T14:47:44.47" personId="{09FAC3F1-DFDB-4CF8-9903-358701529E2B}" id="{5D14D7F7-BB45-4C82-A57A-306BF06FAD5F}" parentId="{90E87782-0AE8-4B86-831F-856790231CB4}">
    <text>February 2023 CBO Budget Projections Table 1-1, row 12</text>
  </threadedComment>
  <threadedComment ref="D71" dT="2024-06-27T14:32:38.18" personId="{2C68A5A1-706F-4A3E-93A3-741BBABEC4EA}" id="{7FDD3025-BE0B-4CDB-A420-5AD15D8891BE}" parentId="{90E87782-0AE8-4B86-831F-856790231CB4}">
    <text>June 2024 CBO Budget projections table 1-1 row 12</text>
  </threadedComment>
  <threadedComment ref="D71" dT="2025-01-23T19:53:53.10" personId="{B61C96CF-201E-4FBB-AE0C-863888EC2CC5}" id="{35D6C925-FBE7-4BFD-9577-7338FA230EC5}" parentId="{90E87782-0AE8-4B86-831F-856790231CB4}">
    <text>January 2025 CBO Budget Projections Table B-1 row 13 from 2024 onward</text>
  </threadedComment>
  <threadedComment ref="D71" dT="2026-02-11T19:44:30.93" personId="{B61C96CF-201E-4FBB-AE0C-863888EC2CC5}" id="{EAC4A1FD-FA99-431C-ACFB-F5BE5BF7F005}" parentId="{90E87782-0AE8-4B86-831F-856790231CB4}">
    <text>January 2026 CBO Budget Projections Table 1-1 row 14 from 2025 onward</text>
  </threadedComment>
  <threadedComment ref="D89" dT="2023-02-15T20:53:24.39" personId="{609654FB-393E-4954-B3A3-EDB231775774}" id="{EDAE8D47-AFCA-423D-A859-CA0C5A663F65}">
    <text>February 2023 CBO Economic Projections Fiscal Year Table row 92</text>
  </threadedComment>
  <threadedComment ref="D89" dT="2023-07-27T18:46:48.63" personId="{609654FB-393E-4954-B3A3-EDB231775774}" id="{0CE4D702-B30F-4920-BFC6-75E7E8E3FE94}" parentId="{EDAE8D47-AFCA-423D-A859-CA0C5A663F65}">
    <text>July 2023 now</text>
  </threadedComment>
  <threadedComment ref="D89" dT="2024-02-22T15:10:21.02" personId="{09FAC3F1-DFDB-4CF8-9903-358701529E2B}" id="{7AE8B3C4-B170-462F-B829-C4CBDBAF4609}" parentId="{EDAE8D47-AFCA-423D-A859-CA0C5A663F65}">
    <text>This is now February 2024 CBO Economic Projections Fiscal Year Sheet, row 94</text>
  </threadedComment>
  <threadedComment ref="D89" dT="2024-06-27T14:34:45.71" personId="{2C68A5A1-706F-4A3E-93A3-741BBABEC4EA}" id="{391545C3-75BA-4E8A-B80C-D080C3D4D887}" parentId="{EDAE8D47-AFCA-423D-A859-CA0C5A663F65}">
    <text>June 2024 Econ projections Fiscal Year sheet row 94. Pasted for 2021 onward</text>
  </threadedComment>
  <threadedComment ref="D89" dT="2025-01-23T19:55:46.36" personId="{B61C96CF-201E-4FBB-AE0C-863888EC2CC5}" id="{38D6559F-A2C1-454D-9735-7FE503578198}" parentId="{EDAE8D47-AFCA-423D-A859-CA0C5A663F65}">
    <text>January 2025 Economic Projections Fiscal Year Sheet row 94 from 2022 onward</text>
  </threadedComment>
  <threadedComment ref="D89" dT="2026-02-13T18:50:25.97" personId="{B61C96CF-201E-4FBB-AE0C-863888EC2CC5}" id="{63919A04-8B67-482F-9696-9FB35551E4D0}" parentId="{EDAE8D47-AFCA-423D-A859-CA0C5A663F65}">
    <text>January 2026 Economic Projections 3. Fiscal Year row 110 from 2023 onward</text>
  </threadedComment>
  <threadedComment ref="D90" dT="2023-02-15T20:55:16.88" personId="{609654FB-393E-4954-B3A3-EDB231775774}" id="{98619BF5-BFE1-4C95-8FB5-43A86C16D5FA}">
    <text>February 2023 CBO Economic Projections Fiscal Year Table row 96</text>
  </threadedComment>
  <threadedComment ref="D90" dT="2023-07-27T18:46:54.82" personId="{609654FB-393E-4954-B3A3-EDB231775774}" id="{4FC7086E-9C1C-4EE4-8D09-08117BD8E9A6}" parentId="{98619BF5-BFE1-4C95-8FB5-43A86C16D5FA}">
    <text>July 2023 now</text>
  </threadedComment>
  <threadedComment ref="D90" dT="2024-02-22T15:12:46.20" personId="{09FAC3F1-DFDB-4CF8-9903-358701529E2B}" id="{51B2DBD7-8496-49F3-945F-2B112D3108D8}" parentId="{98619BF5-BFE1-4C95-8FB5-43A86C16D5FA}">
    <text>This is now February 2024 CBO Economic Projections Fiscal Year Table row, row 98</text>
  </threadedComment>
  <threadedComment ref="D90" dT="2024-06-27T14:35:02.92" personId="{2C68A5A1-706F-4A3E-93A3-741BBABEC4EA}" id="{388DD623-D96E-4D43-A2D5-5E89866F2D9C}" parentId="{98619BF5-BFE1-4C95-8FB5-43A86C16D5FA}">
    <text>June 2024 Econ projections Fiscal Year sheet row 98. Pasted for 2021 onward</text>
  </threadedComment>
  <threadedComment ref="D90" dT="2025-01-23T21:37:17.60" personId="{B61C96CF-201E-4FBB-AE0C-863888EC2CC5}" id="{EDE6B7F6-F00C-413D-9541-8D68546383B2}" parentId="{98619BF5-BFE1-4C95-8FB5-43A86C16D5FA}">
    <text>January 2025 Economic Projections Fiscal Year Row 98 from 2022 onward</text>
  </threadedComment>
  <threadedComment ref="D90" dT="2026-02-13T18:45:07.59" personId="{B61C96CF-201E-4FBB-AE0C-863888EC2CC5}" id="{3ACA689D-90FF-4969-8D38-243533E8D51E}" parentId="{98619BF5-BFE1-4C95-8FB5-43A86C16D5FA}">
    <text>January 2026 Economic Projections 3. Fiscal Year row 114 from 2023 onward</text>
  </threadedComment>
  <threadedComment ref="D91" dT="2023-02-15T20:56:03.85" personId="{609654FB-393E-4954-B3A3-EDB231775774}" id="{46014701-D9E5-4859-A3AE-AC59F7604C25}">
    <text>February 2023 CBO Economic Projections, Fiscal Year Table row 116</text>
  </threadedComment>
  <threadedComment ref="D91" dT="2023-07-27T18:47:32.66" personId="{609654FB-393E-4954-B3A3-EDB231775774}" id="{D033DF60-0EA4-42B2-BD4E-BFE9E46BB54B}" parentId="{46014701-D9E5-4859-A3AE-AC59F7604C25}">
    <text>July now</text>
  </threadedComment>
  <threadedComment ref="D91" dT="2024-02-22T15:13:36.88" personId="{09FAC3F1-DFDB-4CF8-9903-358701529E2B}" id="{DAC5B9ED-E3AA-4747-95FD-480C9B8E3AA2}" parentId="{46014701-D9E5-4859-A3AE-AC59F7604C25}">
    <text>February 2024 CBO Economic Projections, Fiscal Year Table, row 118</text>
  </threadedComment>
  <threadedComment ref="D91" dT="2024-06-27T14:36:46.17" personId="{2C68A5A1-706F-4A3E-93A3-741BBABEC4EA}" id="{9AB0F8C1-8EF4-4A61-8E26-73D627A86EFA}" parentId="{46014701-D9E5-4859-A3AE-AC59F7604C25}">
    <text>June 2024 CBO Economic Projections, Fiscal Year Table, row 118 pasted from 2021 onward</text>
  </threadedComment>
  <threadedComment ref="D91" dT="2025-01-23T21:39:29.83" personId="{B61C96CF-201E-4FBB-AE0C-863888EC2CC5}" id="{EF393852-E852-4B38-92F3-F6E5CDDCFBE9}" parentId="{46014701-D9E5-4859-A3AE-AC59F7604C25}">
    <text>January 2025 CBO Economic Projections, Fiscal Year Table, row 118 from 2022 onward</text>
  </threadedComment>
  <threadedComment ref="D91" dT="2026-02-13T18:57:14.70" personId="{B61C96CF-201E-4FBB-AE0C-863888EC2CC5}" id="{E570040E-DBDB-46CF-BFE7-14F830C1A238}" parentId="{46014701-D9E5-4859-A3AE-AC59F7604C25}">
    <text>January 2026 CBO Economic Projections, Fiscal Year Table, Row 134 from 2023 onward</text>
  </threadedComment>
  <threadedComment ref="D92" dT="2023-02-15T20:57:01.88" personId="{609654FB-393E-4954-B3A3-EDB231775774}" id="{8B80F2C4-DC7D-4FD8-A76B-013229C88626}">
    <text>February 2023 CBO Economic Projections Fiscal Year Table row 110</text>
  </threadedComment>
  <threadedComment ref="D92" dT="2023-07-27T18:47:56.03" personId="{609654FB-393E-4954-B3A3-EDB231775774}" id="{0E2C819B-A949-4133-9197-4914E69E57D6}" parentId="{8B80F2C4-DC7D-4FD8-A76B-013229C88626}">
    <text>July now</text>
  </threadedComment>
  <threadedComment ref="D92" dT="2024-02-22T15:15:43.17" personId="{09FAC3F1-DFDB-4CF8-9903-358701529E2B}" id="{5E65C3B6-7591-434A-A302-8D343F00AAEA}" parentId="{8B80F2C4-DC7D-4FD8-A76B-013229C88626}">
    <text>This is now February 2024 CBO Economic Projections Fiscal Year Table, row 112</text>
  </threadedComment>
  <threadedComment ref="D92" dT="2024-06-27T14:37:42.80" personId="{2C68A5A1-706F-4A3E-93A3-741BBABEC4EA}" id="{E3557D96-DE00-477F-A1AE-D3C649C5BAC9}" parentId="{8B80F2C4-DC7D-4FD8-A76B-013229C88626}">
    <text>June 2024 CBO Economic Projections Fiscal Year Table, row 112 from 2021 onward</text>
  </threadedComment>
  <threadedComment ref="D92" dT="2025-01-23T21:41:08.62" personId="{B61C96CF-201E-4FBB-AE0C-863888EC2CC5}" id="{DAB742E1-69C2-4178-8DA0-205662AEA824}" parentId="{8B80F2C4-DC7D-4FD8-A76B-013229C88626}">
    <text>January 2025 CBO Economic Projections Fiscal Year Table, row 112 from 2022 onward</text>
  </threadedComment>
  <threadedComment ref="D92" dT="2026-02-13T18:46:45.25" personId="{B61C96CF-201E-4FBB-AE0C-863888EC2CC5}" id="{25761C0C-ECBE-4DF5-8BD5-4434BF4A42C9}" parentId="{8B80F2C4-DC7D-4FD8-A76B-013229C88626}">
    <text>January 2026 CBO Economic Projections  Fiscal Year Table, row 31 from 2025 onward</text>
  </threadedComment>
  <threadedComment ref="D113" dT="2023-02-15T21:14:11.24" personId="{609654FB-393E-4954-B3A3-EDB231775774}" id="{D8EA9740-DEF1-4DB0-BE97-84BC7067AF0C}">
    <text>February 2023 CBO Economic Projections Quarterly Table, row 96</text>
  </threadedComment>
  <threadedComment ref="D113" dT="2023-07-27T18:51:44.27" personId="{609654FB-393E-4954-B3A3-EDB231775774}" id="{399961A0-76CD-4567-ABB2-73B23F0A809E}" parentId="{D8EA9740-DEF1-4DB0-BE97-84BC7067AF0C}">
    <text>Same table and row, July 2023</text>
  </threadedComment>
  <threadedComment ref="D113" dT="2024-02-22T15:28:26.88" personId="{09FAC3F1-DFDB-4CF8-9903-358701529E2B}" id="{87D40157-C1F2-4FE8-828B-C4F0E6CF9780}" parentId="{D8EA9740-DEF1-4DB0-BE97-84BC7067AF0C}">
    <text>February 2024 CBO Economic Projections Quarterly Table, row 98</text>
  </threadedComment>
  <threadedComment ref="D113" dT="2024-06-27T14:40:11.35" personId="{2C68A5A1-706F-4A3E-93A3-741BBABEC4EA}" id="{7753BE9A-55B4-496C-AA32-94241080EBE4}" parentId="{D8EA9740-DEF1-4DB0-BE97-84BC7067AF0C}">
    <text>Ju 2024 economic projections quarterly table row 98 pasted from 2021 Q1 onward</text>
  </threadedComment>
  <threadedComment ref="D113" dT="2025-01-23T21:43:23.67" personId="{B61C96CF-201E-4FBB-AE0C-863888EC2CC5}" id="{36C6FB06-4CBB-490E-BBC4-4E898ABD02FF}" parentId="{D8EA9740-DEF1-4DB0-BE97-84BC7067AF0C}">
    <text>January 2025 Economic Projections Quarterly Table, Row 98 from 2022 Q1 onward</text>
  </threadedComment>
  <threadedComment ref="D113" dT="2026-02-13T18:59:57.70" personId="{B61C96CF-201E-4FBB-AE0C-863888EC2CC5}" id="{721AEA70-E3D7-4742-8F62-C3A7B1E05F37}" parentId="{D8EA9740-DEF1-4DB0-BE97-84BC7067AF0C}">
    <text>January 2026 Economic Projections Quarterly Table, Row 114 from 2023 Q1 onward</text>
  </threadedComment>
  <threadedComment ref="D114" dT="2023-02-15T21:14:52.42" personId="{609654FB-393E-4954-B3A3-EDB231775774}" id="{01A0D228-FB54-4190-9CF6-9C01EC1BA5B9}">
    <text>February 2023 CBO Economic Projections quarterly tables, row 98</text>
  </threadedComment>
  <threadedComment ref="D114" dT="2023-07-27T18:51:58.38" personId="{609654FB-393E-4954-B3A3-EDB231775774}" id="{6E1FAE13-5A68-4FE8-8FA0-1053141CB3C4}" parentId="{01A0D228-FB54-4190-9CF6-9C01EC1BA5B9}">
    <text>Same table and row, July 2023</text>
  </threadedComment>
  <threadedComment ref="D114" dT="2024-02-22T15:30:49.62" personId="{09FAC3F1-DFDB-4CF8-9903-358701529E2B}" id="{E119985C-D646-4892-8A75-85679B84D917}" parentId="{01A0D228-FB54-4190-9CF6-9C01EC1BA5B9}">
    <text>February 2024 CBO Economic Projections quarterly tables, row 100</text>
  </threadedComment>
  <threadedComment ref="D114" dT="2024-06-27T14:41:16.43" personId="{2C68A5A1-706F-4A3E-93A3-741BBABEC4EA}" id="{39CE186E-7681-41C2-93D2-3339FE77B061}" parentId="{01A0D228-FB54-4190-9CF6-9C01EC1BA5B9}">
    <text>June 2024 CBO Economic Projections Quarterly table row 100 from 2021 Q1 onward</text>
  </threadedComment>
  <threadedComment ref="D114" dT="2025-01-23T21:44:55.46" personId="{B61C96CF-201E-4FBB-AE0C-863888EC2CC5}" id="{A4F62206-F061-4E64-9EB3-53347C2451E8}" parentId="{01A0D228-FB54-4190-9CF6-9C01EC1BA5B9}">
    <text>January 2025 CBO Economic Projections Quarterly Table, Row 100 from 2022 Q1 onward</text>
  </threadedComment>
  <threadedComment ref="D114" dT="2026-02-13T19:00:52.52" personId="{B61C96CF-201E-4FBB-AE0C-863888EC2CC5}" id="{65B03790-E1D6-4883-9D0A-C4CFF893BA1F}" parentId="{01A0D228-FB54-4190-9CF6-9C01EC1BA5B9}">
    <text>January 2026 CBO Economic Projections Quarterly Table, Row 116 from 2023 Q1 onward</text>
  </threadedComment>
  <threadedComment ref="D115" dT="2023-02-15T21:15:38.27" personId="{609654FB-393E-4954-B3A3-EDB231775774}" id="{6D8A3FCA-DD94-4151-98C1-C08147ACC4FE}">
    <text>February 2023 CBO Economic Projections quarterly table, row 116</text>
  </threadedComment>
  <threadedComment ref="D115" dT="2023-07-27T18:51:50.61" personId="{609654FB-393E-4954-B3A3-EDB231775774}" id="{719D2217-E5E3-4821-A242-3276C342DE0E}" parentId="{6D8A3FCA-DD94-4151-98C1-C08147ACC4FE}">
    <text>Same table and row, July 2023</text>
  </threadedComment>
  <threadedComment ref="D115" dT="2024-02-22T15:37:14.65" personId="{09FAC3F1-DFDB-4CF8-9903-358701529E2B}" id="{FADB33BB-BCAB-4425-A604-B2B5DF9306B1}" parentId="{6D8A3FCA-DD94-4151-98C1-C08147ACC4FE}">
    <text>This is now February 2024 CBO Economic Projections Quarterly Table, row 118</text>
  </threadedComment>
  <threadedComment ref="D115"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5" dT="2025-01-23T21:45:46.12" personId="{B61C96CF-201E-4FBB-AE0C-863888EC2CC5}" id="{49BCD814-D450-4C94-91A2-9FB37D0E0FE3}" parentId="{6D8A3FCA-DD94-4151-98C1-C08147ACC4FE}">
    <text>January 2025 CBO Economic Projections Quarterly Table, Row 118 from 2022 Q1 onward</text>
  </threadedComment>
  <threadedComment ref="D115" dT="2026-02-13T19:01:52.75" personId="{B61C96CF-201E-4FBB-AE0C-863888EC2CC5}" id="{FDB23AF1-0DF8-486E-AA8F-33AE7345F93D}" parentId="{6D8A3FCA-DD94-4151-98C1-C08147ACC4FE}">
    <text>January 2026 CBO Economic Projections Quarterly Table, Row 134 from 2023 Q1 onward</text>
  </threadedComment>
  <threadedComment ref="D116" dT="2023-02-15T21:16:25.78" personId="{609654FB-393E-4954-B3A3-EDB231775774}" id="{E66890F8-22DF-42B0-AC60-B1869F7BC621}">
    <text>February 2023 CBO Economic Projections quarterly table row 112</text>
  </threadedComment>
  <threadedComment ref="D116" dT="2023-07-27T18:52:05.52" personId="{609654FB-393E-4954-B3A3-EDB231775774}" id="{F7A27CC0-C2FC-48F0-A609-745A420CC291}" parentId="{E66890F8-22DF-42B0-AC60-B1869F7BC621}">
    <text>Same table and row, July 2023</text>
  </threadedComment>
  <threadedComment ref="D116" dT="2024-02-22T15:42:56.34" personId="{09FAC3F1-DFDB-4CF8-9903-358701529E2B}" id="{2C2B4911-84B8-41A5-8DE1-C7EEC224424A}" parentId="{E66890F8-22DF-42B0-AC60-B1869F7BC621}">
    <text>February 2024 CBO Economic Projections quarterly table row 114 corporate profits domestic</text>
  </threadedComment>
  <threadedComment ref="D116"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6"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D116" dT="2026-02-13T19:03:17.31" personId="{B61C96CF-201E-4FBB-AE0C-863888EC2CC5}" id="{35B86F54-BA21-4DF5-BFF2-90EECF8D69CA}" parentId="{E66890F8-22DF-42B0-AC60-B1869F7BC621}">
    <text>January 2026 CBO Economic Projections Quarterly Table, Row 130 Profits, corporate, domestic, with IVA &amp; CCAdj from 2023 Q1 onward</text>
  </threadedComment>
  <threadedComment ref="U139" dT="2023-04-27T03:02:33.18" personId="{2C68A5A1-706F-4A3E-93A3-741BBABEC4EA}" id="{C6C0613E-5824-4E44-9B9B-56A8FAD3277B}">
    <text>I can't drag these over because of circular references.</text>
  </threadedComment>
  <threadedComment ref="V142" dT="2023-07-27T14:08:57.55" personId="{2C68A5A1-706F-4A3E-93A3-741BBABEC4EA}" id="{76E9B5E8-2A8A-4C12-9070-2F3AE74C018D}">
    <text>Drag my predecessor forward in August 2023!! (Corporate taxes come in late, and we couldn't update in July!)</text>
  </threadedComment>
  <threadedComment ref="W142" dT="2023-10-26T13:42:51.37" personId="{609654FB-393E-4954-B3A3-EDB231775774}" id="{C29AB431-29D9-4CCA-987B-D276EB079D36}">
    <text>Drag forward in November by same logic as in previous cell.</text>
  </threadedComment>
  <threadedComment ref="X142" dT="2024-01-24T19:09:22.97" personId="{09FAC3F1-DFDB-4CF8-9903-358701529E2B}" id="{8B1B2CE3-6A04-42EE-BE87-716D5CF48A6A}">
    <text>Drag forward in February because we get Q4 Data 1 month late.</text>
  </threadedComment>
  <threadedComment ref="Y142" dT="2024-07-25T15:51:05.68" personId="{09FAC3F1-DFDB-4CF8-9903-358701529E2B}" id="{0636232B-B9F8-4715-951F-C32233D486DD}">
    <text xml:space="preserve">Drag forward in August because we get the data a month late. </text>
  </threadedComment>
  <threadedComment ref="Z142" dT="2024-08-29T14:15:29.25" personId="{09FAC3F1-DFDB-4CF8-9903-358701529E2B}" id="{19F28DCE-9161-40FF-A0B0-819C3E4800B6}">
    <text xml:space="preserve">Drag this forward in November because we get taxes a month late. </text>
  </threadedComment>
  <threadedComment ref="AA142" dT="2025-01-31T15:14:38.88" personId="{B61C96CF-201E-4FBB-AE0C-863888EC2CC5}" id="{FC537E22-6E2A-4FE6-AC48-0FF2E86CD862}">
    <text xml:space="preserve">Drag this forward in February because we get taxes a month late. </text>
  </threadedComment>
  <threadedComment ref="AC142" dT="2025-05-29T15:32:21.65" personId="{B61C96CF-201E-4FBB-AE0C-863888EC2CC5}" id="{A0BB555F-DC13-4C98-8E1D-5CFBA09D2493}">
    <text>Drag this forward in August because we get taxes a month late.</text>
  </threadedComment>
  <threadedComment ref="AD142"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1.xml"/><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 Id="rId4" Type="http://schemas.microsoft.com/office/2017/10/relationships/threadedComment" Target="../threadedComments/threadedComment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0.x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2.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3.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5" t="s">
        <v>1947</v>
      </c>
    </row>
    <row r="3" spans="2:17" x14ac:dyDescent="0.35">
      <c r="B3" s="1339" t="s">
        <v>0</v>
      </c>
      <c r="C3" s="1340"/>
      <c r="D3" s="1340"/>
      <c r="E3" s="1340"/>
      <c r="F3" s="1340"/>
      <c r="G3" s="1340"/>
      <c r="H3" s="1340"/>
      <c r="I3" s="1340"/>
      <c r="J3" s="1340"/>
      <c r="K3" s="1340"/>
      <c r="L3" s="1340"/>
      <c r="M3" s="1340"/>
      <c r="N3" s="1340"/>
      <c r="O3" s="1340"/>
      <c r="P3" s="1340"/>
      <c r="Q3" s="1341"/>
    </row>
    <row r="4" spans="2:17" x14ac:dyDescent="0.35">
      <c r="B4" s="1342"/>
      <c r="C4" s="1343"/>
      <c r="D4" s="1343"/>
      <c r="E4" s="1343"/>
      <c r="F4" s="1343"/>
      <c r="G4" s="1343"/>
      <c r="H4" s="1343"/>
      <c r="I4" s="1343"/>
      <c r="J4" s="1343"/>
      <c r="K4" s="1343"/>
      <c r="L4" s="1343"/>
      <c r="M4" s="1343"/>
      <c r="N4" s="1343"/>
      <c r="O4" s="1343"/>
      <c r="P4" s="1343"/>
      <c r="Q4" s="1344"/>
    </row>
    <row r="5" spans="2:17" x14ac:dyDescent="0.35">
      <c r="B5" s="4" t="s">
        <v>1</v>
      </c>
      <c r="C5" s="17"/>
      <c r="D5" s="17"/>
      <c r="E5" s="17"/>
      <c r="F5" s="17"/>
      <c r="G5" s="17"/>
      <c r="H5" s="17"/>
      <c r="I5" s="17"/>
      <c r="J5" s="17"/>
      <c r="K5" s="17"/>
      <c r="L5" s="17"/>
      <c r="M5" s="17"/>
      <c r="N5" s="17"/>
      <c r="O5" s="17"/>
      <c r="P5" s="17"/>
      <c r="Q5" s="13"/>
    </row>
    <row r="6" spans="2:17" x14ac:dyDescent="0.35">
      <c r="B6" s="21" t="s">
        <v>2</v>
      </c>
      <c r="C6" s="1345" t="s">
        <v>1948</v>
      </c>
      <c r="D6" s="1345"/>
      <c r="E6" s="1345"/>
      <c r="F6" s="1345"/>
      <c r="G6" s="1345"/>
      <c r="H6" s="1345"/>
      <c r="I6" s="1345"/>
      <c r="J6" s="1345"/>
      <c r="K6" s="1345"/>
      <c r="L6" s="1345"/>
      <c r="M6" s="1345"/>
      <c r="N6" s="1345"/>
      <c r="O6" s="1345"/>
      <c r="P6" s="1345"/>
      <c r="Q6" s="1346"/>
    </row>
    <row r="7" spans="2:17" x14ac:dyDescent="0.35">
      <c r="B7" s="21" t="s">
        <v>3</v>
      </c>
      <c r="C7" s="14" t="s">
        <v>1949</v>
      </c>
      <c r="D7" s="14"/>
      <c r="E7" s="14"/>
      <c r="F7" s="14"/>
      <c r="G7" s="14"/>
      <c r="H7" s="14"/>
      <c r="I7" s="14"/>
      <c r="J7" s="14"/>
      <c r="K7" s="14"/>
      <c r="L7" s="14"/>
      <c r="M7" s="14"/>
      <c r="N7" s="14"/>
      <c r="O7" s="14"/>
      <c r="P7" s="14"/>
      <c r="Q7" s="18"/>
    </row>
    <row r="8" spans="2:17" x14ac:dyDescent="0.35">
      <c r="B8" s="21" t="s">
        <v>4</v>
      </c>
      <c r="C8" s="14" t="s">
        <v>1950</v>
      </c>
      <c r="D8" s="14"/>
      <c r="E8" s="14"/>
      <c r="F8" s="14"/>
      <c r="G8" s="14"/>
      <c r="H8" s="14"/>
      <c r="I8" s="14"/>
      <c r="J8" s="14"/>
      <c r="K8" s="14"/>
      <c r="L8" s="14"/>
      <c r="M8" s="14"/>
      <c r="N8" s="14"/>
      <c r="O8" s="14"/>
      <c r="P8" s="14"/>
      <c r="Q8" s="18"/>
    </row>
    <row r="9" spans="2:17" x14ac:dyDescent="0.35">
      <c r="B9" s="16" t="s">
        <v>9</v>
      </c>
      <c r="C9" s="1334" t="s">
        <v>1951</v>
      </c>
      <c r="D9" s="1334"/>
      <c r="E9" s="1334"/>
      <c r="F9" s="1334"/>
      <c r="G9" s="1334"/>
      <c r="H9" s="1334"/>
      <c r="I9" s="1334"/>
      <c r="J9" s="1334"/>
      <c r="K9" s="1334"/>
      <c r="L9" s="1334"/>
      <c r="M9" s="1334"/>
      <c r="N9" s="1334"/>
      <c r="O9" s="1334"/>
      <c r="P9" s="1334"/>
      <c r="Q9" s="1335"/>
    </row>
    <row r="10" spans="2:17" x14ac:dyDescent="0.35">
      <c r="B10" s="19" t="s">
        <v>1952</v>
      </c>
      <c r="C10" s="1334" t="s">
        <v>8</v>
      </c>
      <c r="D10" s="1334"/>
      <c r="E10" s="1334"/>
      <c r="F10" s="1334"/>
      <c r="G10" s="1334"/>
      <c r="H10" s="1334"/>
      <c r="I10" s="1334"/>
      <c r="J10" s="1334"/>
      <c r="K10" s="1334"/>
      <c r="L10" s="1334"/>
      <c r="M10" s="1334"/>
      <c r="N10" s="1334"/>
      <c r="O10" s="1334"/>
      <c r="P10" s="1334"/>
      <c r="Q10" s="1335"/>
    </row>
    <row r="11" spans="2:17" x14ac:dyDescent="0.35">
      <c r="B11" s="19" t="s">
        <v>1953</v>
      </c>
      <c r="C11" s="6" t="s">
        <v>1954</v>
      </c>
      <c r="D11" s="6"/>
      <c r="E11" s="6"/>
      <c r="F11" s="6"/>
      <c r="G11" s="6"/>
      <c r="H11" s="6"/>
      <c r="I11" s="6"/>
      <c r="J11" s="6"/>
      <c r="K11" s="6"/>
      <c r="L11" s="6"/>
      <c r="M11" s="6"/>
      <c r="N11" s="6"/>
      <c r="O11" s="6"/>
      <c r="P11" s="6"/>
      <c r="Q11" s="7"/>
    </row>
    <row r="12" spans="2:17" x14ac:dyDescent="0.35">
      <c r="B12" s="21" t="s">
        <v>1955</v>
      </c>
      <c r="C12" s="14" t="s">
        <v>6</v>
      </c>
      <c r="D12" s="14"/>
      <c r="E12" s="14"/>
      <c r="F12" s="14"/>
      <c r="G12" s="14"/>
      <c r="H12" s="14"/>
      <c r="I12" s="14"/>
      <c r="J12" s="14"/>
      <c r="K12" s="14"/>
      <c r="L12" s="14"/>
      <c r="M12" s="14"/>
      <c r="N12" s="14"/>
      <c r="O12" s="14"/>
      <c r="P12" s="14"/>
      <c r="Q12" s="18"/>
    </row>
    <row r="13" spans="2:17" x14ac:dyDescent="0.35">
      <c r="B13" s="21" t="s">
        <v>1956</v>
      </c>
      <c r="C13" s="14" t="s">
        <v>7</v>
      </c>
      <c r="D13" s="14"/>
      <c r="E13" s="14"/>
      <c r="F13" s="14"/>
      <c r="G13" s="14"/>
      <c r="H13" s="14"/>
      <c r="I13" s="14"/>
      <c r="J13" s="14"/>
      <c r="K13" s="14"/>
      <c r="L13" s="14"/>
      <c r="M13" s="14"/>
      <c r="N13" s="14"/>
      <c r="O13" s="14"/>
      <c r="P13" s="14"/>
      <c r="Q13" s="18"/>
    </row>
    <row r="14" spans="2:17" x14ac:dyDescent="0.35">
      <c r="B14" s="5" t="s">
        <v>1957</v>
      </c>
      <c r="C14" s="14" t="s">
        <v>793</v>
      </c>
      <c r="D14" s="14"/>
      <c r="E14" s="14"/>
      <c r="F14" s="14"/>
      <c r="G14" s="14"/>
      <c r="H14" s="14"/>
      <c r="I14" s="14"/>
      <c r="J14" s="14"/>
      <c r="K14" s="14"/>
      <c r="L14" s="14"/>
      <c r="M14" s="14"/>
      <c r="N14" s="14"/>
      <c r="O14" s="14"/>
      <c r="P14" s="14"/>
      <c r="Q14" s="18"/>
    </row>
    <row r="15" spans="2:17" x14ac:dyDescent="0.35">
      <c r="B15" s="21" t="s">
        <v>18</v>
      </c>
      <c r="C15" s="14" t="s">
        <v>19</v>
      </c>
      <c r="D15" s="14"/>
      <c r="E15" s="14"/>
      <c r="F15" s="14"/>
      <c r="G15" s="14"/>
      <c r="H15" s="14"/>
      <c r="I15" s="14"/>
      <c r="J15" s="14"/>
      <c r="K15" s="14"/>
      <c r="L15" s="14"/>
      <c r="M15" s="14"/>
      <c r="N15" s="14"/>
      <c r="O15" s="14"/>
      <c r="P15" s="14"/>
      <c r="Q15" s="18"/>
    </row>
    <row r="16" spans="2:17" x14ac:dyDescent="0.35">
      <c r="B16" s="20" t="s">
        <v>1958</v>
      </c>
      <c r="C16" s="22" t="s">
        <v>1959</v>
      </c>
      <c r="D16" s="14"/>
      <c r="E16" s="14"/>
      <c r="F16" s="14"/>
      <c r="G16" s="14"/>
      <c r="H16" s="14"/>
      <c r="I16" s="14"/>
      <c r="J16" s="14"/>
      <c r="K16" s="14"/>
      <c r="L16" s="14"/>
      <c r="M16" s="14"/>
      <c r="N16" s="14"/>
      <c r="O16" s="14"/>
      <c r="P16" s="14"/>
      <c r="Q16" s="18"/>
    </row>
    <row r="17" spans="2:17" ht="72.5" customHeight="1" x14ac:dyDescent="0.35">
      <c r="B17" s="1" t="s">
        <v>1960</v>
      </c>
      <c r="C17" s="1334" t="s">
        <v>794</v>
      </c>
      <c r="D17" s="1334"/>
      <c r="E17" s="1334"/>
      <c r="F17" s="1334"/>
      <c r="G17" s="1334"/>
      <c r="H17" s="1334"/>
      <c r="I17" s="1334"/>
      <c r="J17" s="1334"/>
      <c r="K17" s="1334"/>
      <c r="L17" s="1334"/>
      <c r="M17" s="1334"/>
      <c r="N17" s="1334"/>
      <c r="O17" s="1334"/>
      <c r="P17" s="1334"/>
      <c r="Q17" s="1335"/>
    </row>
    <row r="18" spans="2:17" ht="116" customHeight="1" x14ac:dyDescent="0.35">
      <c r="B18" s="1" t="s">
        <v>1961</v>
      </c>
      <c r="C18" s="1334" t="s">
        <v>1962</v>
      </c>
      <c r="D18" s="1334"/>
      <c r="E18" s="1334"/>
      <c r="F18" s="1334"/>
      <c r="G18" s="1334"/>
      <c r="H18" s="1334"/>
      <c r="I18" s="1334"/>
      <c r="J18" s="1334"/>
      <c r="K18" s="1334"/>
      <c r="L18" s="1334"/>
      <c r="M18" s="1334"/>
      <c r="N18" s="1334"/>
      <c r="O18" s="1334"/>
      <c r="P18" s="1334"/>
      <c r="Q18" s="1335"/>
    </row>
    <row r="19" spans="2:17" x14ac:dyDescent="0.35">
      <c r="B19" s="21" t="s">
        <v>10</v>
      </c>
      <c r="C19" s="8" t="s">
        <v>11</v>
      </c>
      <c r="D19" s="8"/>
      <c r="E19" s="8"/>
      <c r="F19" s="8"/>
      <c r="G19" s="8"/>
      <c r="H19" s="8"/>
      <c r="I19" s="8"/>
      <c r="J19" s="8"/>
      <c r="K19" s="8"/>
      <c r="L19" s="8"/>
      <c r="M19" s="8"/>
      <c r="N19" s="8"/>
      <c r="O19" s="8"/>
      <c r="P19" s="8"/>
      <c r="Q19" s="2"/>
    </row>
    <row r="20" spans="2:17" ht="30.75" customHeight="1" x14ac:dyDescent="0.35">
      <c r="B20" s="21" t="s">
        <v>12</v>
      </c>
      <c r="C20" s="8" t="s">
        <v>13</v>
      </c>
      <c r="D20" s="8"/>
      <c r="E20" s="8"/>
      <c r="F20" s="8"/>
      <c r="G20" s="8"/>
      <c r="H20" s="8"/>
      <c r="I20" s="8"/>
      <c r="J20" s="8"/>
      <c r="K20" s="8"/>
      <c r="L20" s="8"/>
      <c r="M20" s="8"/>
      <c r="N20" s="8"/>
      <c r="O20" s="8"/>
      <c r="P20" s="8"/>
      <c r="Q20" s="2"/>
    </row>
    <row r="21" spans="2:17" x14ac:dyDescent="0.35">
      <c r="B21" s="21" t="s">
        <v>14</v>
      </c>
      <c r="C21" s="8" t="s">
        <v>15</v>
      </c>
      <c r="D21" s="8"/>
      <c r="E21" s="8"/>
      <c r="F21" s="8"/>
      <c r="G21" s="8"/>
      <c r="H21" s="8"/>
      <c r="I21" s="8"/>
      <c r="J21" s="8"/>
      <c r="K21" s="8"/>
      <c r="L21" s="8"/>
      <c r="M21" s="8"/>
      <c r="N21" s="8"/>
      <c r="O21" s="8"/>
      <c r="P21" s="8"/>
      <c r="Q21" s="2"/>
    </row>
    <row r="22" spans="2:17" ht="32.25" customHeight="1" x14ac:dyDescent="0.35">
      <c r="B22" s="21" t="s">
        <v>16</v>
      </c>
      <c r="C22" s="8" t="s">
        <v>795</v>
      </c>
      <c r="D22" s="8"/>
      <c r="E22" s="8"/>
      <c r="F22" s="8"/>
      <c r="G22" s="8"/>
      <c r="H22" s="8"/>
      <c r="I22" s="8"/>
      <c r="J22" s="8"/>
      <c r="K22" s="8"/>
      <c r="L22" s="8"/>
      <c r="M22" s="8"/>
      <c r="N22" s="8"/>
      <c r="O22" s="8"/>
      <c r="P22" s="8"/>
      <c r="Q22" s="2"/>
    </row>
    <row r="23" spans="2:17" ht="31.4" customHeight="1" x14ac:dyDescent="0.35">
      <c r="B23" s="21" t="s">
        <v>17</v>
      </c>
      <c r="C23" s="8" t="s">
        <v>796</v>
      </c>
      <c r="D23" s="8"/>
      <c r="E23" s="8"/>
      <c r="F23" s="8"/>
      <c r="G23" s="8"/>
      <c r="H23" s="8"/>
      <c r="I23" s="8"/>
      <c r="J23" s="8"/>
      <c r="K23" s="8"/>
      <c r="L23" s="8"/>
      <c r="M23" s="8"/>
      <c r="N23" s="8"/>
      <c r="O23" s="8"/>
      <c r="P23" s="8"/>
      <c r="Q23" s="2"/>
    </row>
    <row r="24" spans="2:17" x14ac:dyDescent="0.35">
      <c r="B24" s="21"/>
      <c r="C24" s="8"/>
      <c r="D24" s="8"/>
      <c r="E24" s="8"/>
      <c r="F24" s="8"/>
      <c r="G24" s="8"/>
      <c r="H24" s="8"/>
      <c r="I24" s="8"/>
      <c r="J24" s="8"/>
      <c r="K24" s="8"/>
      <c r="L24" s="8"/>
      <c r="M24" s="8"/>
      <c r="N24" s="8"/>
      <c r="O24" s="8"/>
      <c r="P24" s="8"/>
      <c r="Q24" s="2"/>
    </row>
    <row r="25" spans="2:17" x14ac:dyDescent="0.35">
      <c r="B25" s="5" t="s">
        <v>20</v>
      </c>
      <c r="C25" s="8"/>
      <c r="D25" s="8"/>
      <c r="E25" s="8"/>
      <c r="F25" s="8"/>
      <c r="G25" s="8"/>
      <c r="H25" s="8"/>
      <c r="I25" s="8"/>
      <c r="J25" s="8"/>
      <c r="K25" s="8"/>
      <c r="L25" s="8"/>
      <c r="M25" s="8"/>
      <c r="N25" s="8"/>
      <c r="O25" s="8"/>
      <c r="P25" s="8"/>
      <c r="Q25" s="2"/>
    </row>
    <row r="26" spans="2:17" x14ac:dyDescent="0.35">
      <c r="B26" s="21" t="s">
        <v>21</v>
      </c>
      <c r="C26" s="8"/>
      <c r="D26" s="8"/>
      <c r="E26" s="8"/>
      <c r="F26" s="8"/>
      <c r="G26" s="8"/>
      <c r="H26" s="8"/>
      <c r="I26" s="8"/>
      <c r="J26" s="8"/>
      <c r="K26" s="8"/>
      <c r="L26" s="8"/>
      <c r="M26" s="8"/>
      <c r="N26" s="8"/>
      <c r="O26" s="8"/>
      <c r="P26" s="8"/>
      <c r="Q26" s="2"/>
    </row>
    <row r="27" spans="2:17" x14ac:dyDescent="0.35">
      <c r="B27" s="1336" t="s">
        <v>797</v>
      </c>
      <c r="C27" s="1337"/>
      <c r="D27" s="1337"/>
      <c r="E27" s="1337"/>
      <c r="F27" s="1337"/>
      <c r="G27" s="1337"/>
      <c r="H27" s="1337"/>
      <c r="I27" s="1337"/>
      <c r="J27" s="1337"/>
      <c r="K27" s="1337"/>
      <c r="L27" s="1337"/>
      <c r="M27" s="1337"/>
      <c r="N27" s="1337"/>
      <c r="O27" s="1337"/>
      <c r="P27" s="1337"/>
      <c r="Q27" s="1338"/>
    </row>
    <row r="28" spans="2:17" x14ac:dyDescent="0.35">
      <c r="B28" s="10" t="s">
        <v>22</v>
      </c>
      <c r="C28" s="8"/>
      <c r="D28" s="8"/>
      <c r="E28" s="8"/>
      <c r="F28" s="8"/>
      <c r="G28" s="8"/>
      <c r="H28" s="8"/>
      <c r="I28" s="8"/>
      <c r="J28" s="8"/>
      <c r="K28" s="8"/>
      <c r="L28" s="8"/>
      <c r="M28" s="8"/>
      <c r="N28" s="8"/>
      <c r="O28" s="8"/>
      <c r="P28" s="8"/>
      <c r="Q28" s="2"/>
    </row>
    <row r="29" spans="2:17" x14ac:dyDescent="0.35">
      <c r="B29" s="21" t="s">
        <v>23</v>
      </c>
      <c r="C29" s="8"/>
      <c r="D29" s="8"/>
      <c r="E29" s="8"/>
      <c r="F29" s="8"/>
      <c r="G29" s="8"/>
      <c r="H29" s="8"/>
      <c r="I29" s="8"/>
      <c r="J29" s="8"/>
      <c r="K29" s="8"/>
      <c r="L29" s="8"/>
      <c r="M29" s="8"/>
      <c r="N29" s="8"/>
      <c r="O29" s="8"/>
      <c r="P29" s="8"/>
      <c r="Q29" s="2"/>
    </row>
    <row r="30" spans="2:17" x14ac:dyDescent="0.35">
      <c r="B30" s="3" t="s">
        <v>24</v>
      </c>
      <c r="C30" s="11"/>
      <c r="D30" s="11"/>
      <c r="E30" s="11"/>
      <c r="F30" s="11"/>
      <c r="G30" s="11"/>
      <c r="H30" s="11"/>
      <c r="I30" s="11"/>
      <c r="J30" s="11"/>
      <c r="K30" s="11"/>
      <c r="L30" s="11"/>
      <c r="M30" s="11"/>
      <c r="N30" s="11"/>
      <c r="O30" s="11"/>
      <c r="P30" s="11"/>
      <c r="Q30" s="12"/>
    </row>
    <row r="33" spans="2:17" ht="30.75" customHeight="1" x14ac:dyDescent="0.35">
      <c r="B33" s="9"/>
      <c r="C33" s="9"/>
      <c r="D33" s="9"/>
      <c r="E33" s="9"/>
      <c r="F33" s="9"/>
      <c r="G33" s="9"/>
      <c r="H33" s="9"/>
      <c r="I33" s="9"/>
      <c r="J33" s="9"/>
      <c r="K33" s="9"/>
      <c r="L33" s="9"/>
      <c r="M33" s="9"/>
      <c r="N33" s="9"/>
      <c r="O33" s="9"/>
      <c r="P33" s="9"/>
      <c r="Q33" s="9"/>
    </row>
    <row r="34" spans="2:17" x14ac:dyDescent="0.35">
      <c r="B34" s="9"/>
      <c r="C34" s="9"/>
      <c r="D34" s="9"/>
      <c r="E34" s="9"/>
      <c r="F34" s="9"/>
      <c r="G34" s="9"/>
      <c r="H34" s="9"/>
      <c r="I34" s="9"/>
      <c r="J34" s="9"/>
      <c r="K34" s="9"/>
      <c r="L34" s="9"/>
      <c r="M34" s="9"/>
      <c r="N34" s="9"/>
      <c r="O34" s="9"/>
      <c r="P34" s="9"/>
      <c r="Q34" s="9"/>
    </row>
    <row r="35" spans="2:17" x14ac:dyDescent="0.35">
      <c r="B35" s="9"/>
      <c r="C35" s="9"/>
      <c r="D35" s="9"/>
      <c r="E35" s="9"/>
      <c r="F35" s="9"/>
      <c r="G35" s="9"/>
      <c r="H35" s="9"/>
      <c r="I35" s="9"/>
      <c r="J35" s="9"/>
      <c r="K35" s="9"/>
      <c r="L35" s="9"/>
      <c r="M35" s="9"/>
      <c r="N35" s="9"/>
      <c r="O35" s="9"/>
      <c r="P35" s="9"/>
      <c r="Q35" s="9"/>
    </row>
    <row r="36" spans="2:17" x14ac:dyDescent="0.35">
      <c r="B36" s="9"/>
      <c r="C36" s="9"/>
      <c r="D36" s="9"/>
      <c r="E36" s="9"/>
      <c r="F36" s="9"/>
      <c r="G36" s="9"/>
      <c r="H36" s="9"/>
      <c r="I36" s="9"/>
      <c r="J36" s="9"/>
      <c r="K36" s="9"/>
      <c r="L36" s="9"/>
      <c r="M36" s="9"/>
      <c r="N36" s="9"/>
      <c r="O36" s="9"/>
      <c r="P36" s="9"/>
      <c r="Q36" s="9"/>
    </row>
    <row r="39" spans="2:17" x14ac:dyDescent="0.35">
      <c r="B39" s="9"/>
      <c r="C39" s="9"/>
      <c r="D39" s="9"/>
      <c r="E39" s="9"/>
      <c r="F39" s="9"/>
      <c r="G39" s="9"/>
      <c r="H39" s="9"/>
      <c r="I39" s="9"/>
      <c r="J39" s="9"/>
      <c r="K39" s="9"/>
      <c r="L39" s="9"/>
      <c r="M39" s="9"/>
      <c r="N39" s="9"/>
      <c r="O39" s="9"/>
      <c r="P39" s="9"/>
      <c r="Q39" s="9"/>
    </row>
    <row r="40" spans="2:17" x14ac:dyDescent="0.35">
      <c r="B40" s="9"/>
      <c r="C40" s="9"/>
      <c r="D40" s="9"/>
      <c r="E40" s="9"/>
      <c r="F40" s="9"/>
      <c r="G40" s="9"/>
      <c r="H40" s="9"/>
      <c r="I40" s="9"/>
      <c r="J40" s="9"/>
      <c r="K40" s="9"/>
      <c r="L40" s="9"/>
      <c r="M40" s="9"/>
      <c r="N40" s="9"/>
      <c r="O40" s="9"/>
      <c r="P40" s="9"/>
      <c r="Q40" s="9"/>
    </row>
    <row r="41" spans="2:17" x14ac:dyDescent="0.35">
      <c r="B41" s="9"/>
      <c r="C41" s="9"/>
      <c r="D41" s="9"/>
      <c r="E41" s="9"/>
      <c r="F41" s="9"/>
      <c r="G41" s="9"/>
      <c r="H41" s="9"/>
      <c r="I41" s="9"/>
      <c r="J41" s="9"/>
      <c r="K41" s="9"/>
      <c r="L41" s="9"/>
      <c r="M41" s="9"/>
      <c r="N41" s="9"/>
      <c r="O41" s="9"/>
      <c r="P41" s="9"/>
      <c r="Q41" s="9"/>
    </row>
    <row r="42" spans="2:17" x14ac:dyDescent="0.35">
      <c r="B42" s="9"/>
      <c r="C42" s="9"/>
      <c r="D42" s="9"/>
      <c r="E42" s="9"/>
      <c r="F42" s="9"/>
      <c r="G42" s="9"/>
      <c r="H42" s="9"/>
      <c r="I42" s="9"/>
      <c r="J42" s="9"/>
      <c r="K42" s="9"/>
      <c r="L42" s="9"/>
      <c r="M42" s="9"/>
      <c r="N42" s="9"/>
      <c r="O42" s="9"/>
      <c r="P42" s="9"/>
      <c r="Q42" s="9"/>
    </row>
    <row r="43" spans="2:17" x14ac:dyDescent="0.35">
      <c r="B43" s="9"/>
      <c r="C43" s="9"/>
      <c r="D43" s="9"/>
      <c r="E43" s="9"/>
      <c r="F43" s="9"/>
      <c r="G43" s="9"/>
      <c r="H43" s="9"/>
      <c r="I43" s="9"/>
      <c r="J43" s="9"/>
      <c r="K43" s="9"/>
      <c r="L43" s="9"/>
      <c r="M43" s="9"/>
      <c r="N43" s="9"/>
      <c r="O43" s="9"/>
      <c r="P43" s="9"/>
      <c r="Q43" s="9"/>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7" t="s">
        <v>25</v>
      </c>
      <c r="B1" s="28" t="s">
        <v>26</v>
      </c>
      <c r="C1" s="28" t="s">
        <v>27</v>
      </c>
      <c r="D1" s="29" t="s">
        <v>1930</v>
      </c>
      <c r="E1" s="26"/>
    </row>
    <row r="2" spans="1:6" ht="16.5" customHeight="1" x14ac:dyDescent="0.35">
      <c r="A2" s="1349" t="s">
        <v>29</v>
      </c>
      <c r="B2" s="1350"/>
      <c r="C2" s="1350"/>
      <c r="D2" s="1351"/>
      <c r="E2" s="26"/>
    </row>
    <row r="3" spans="1:6" ht="148.4" customHeight="1" x14ac:dyDescent="0.35">
      <c r="A3" s="31" t="s">
        <v>808</v>
      </c>
      <c r="B3" s="24" t="s">
        <v>1695</v>
      </c>
      <c r="C3" s="24" t="s">
        <v>807</v>
      </c>
      <c r="D3" s="35" t="s">
        <v>871</v>
      </c>
      <c r="E3" s="23" t="s">
        <v>2065</v>
      </c>
    </row>
    <row r="4" spans="1:6" ht="85.5" customHeight="1" x14ac:dyDescent="0.35">
      <c r="A4" s="31" t="s">
        <v>1771</v>
      </c>
      <c r="B4" s="24" t="s">
        <v>1772</v>
      </c>
      <c r="C4" s="24" t="s">
        <v>873</v>
      </c>
      <c r="D4" s="35" t="s">
        <v>871</v>
      </c>
      <c r="E4" s="24"/>
    </row>
    <row r="5" spans="1:6" ht="168" customHeight="1" x14ac:dyDescent="0.35">
      <c r="A5" s="31" t="s">
        <v>798</v>
      </c>
      <c r="B5" s="24" t="s">
        <v>799</v>
      </c>
      <c r="C5" s="24" t="s">
        <v>819</v>
      </c>
      <c r="D5" s="35" t="s">
        <v>871</v>
      </c>
      <c r="E5" s="24"/>
    </row>
    <row r="6" spans="1:6" ht="101.5" customHeight="1" x14ac:dyDescent="0.35">
      <c r="A6" s="31" t="s">
        <v>800</v>
      </c>
      <c r="B6" s="24" t="s">
        <v>30</v>
      </c>
      <c r="C6" s="24" t="s">
        <v>31</v>
      </c>
      <c r="D6" s="35" t="s">
        <v>871</v>
      </c>
      <c r="E6" s="23" t="s">
        <v>2065</v>
      </c>
    </row>
    <row r="7" spans="1:6" ht="88" customHeight="1" x14ac:dyDescent="0.35">
      <c r="A7" s="31" t="s">
        <v>1773</v>
      </c>
      <c r="B7" s="24" t="s">
        <v>1774</v>
      </c>
      <c r="C7" s="24" t="s">
        <v>1778</v>
      </c>
      <c r="D7" s="35" t="s">
        <v>871</v>
      </c>
      <c r="E7" s="24"/>
    </row>
    <row r="8" spans="1:6" ht="100.4" customHeight="1" x14ac:dyDescent="0.35">
      <c r="A8" s="31" t="s">
        <v>34</v>
      </c>
      <c r="B8" s="24" t="s">
        <v>35</v>
      </c>
      <c r="C8" s="37" t="s">
        <v>36</v>
      </c>
      <c r="D8" s="35" t="s">
        <v>871</v>
      </c>
      <c r="E8" s="24"/>
      <c r="F8" s="38"/>
    </row>
    <row r="9" spans="1:6" ht="78" customHeight="1" x14ac:dyDescent="0.35">
      <c r="A9" s="31" t="s">
        <v>37</v>
      </c>
      <c r="B9" s="24" t="s">
        <v>38</v>
      </c>
      <c r="C9" s="24" t="s">
        <v>825</v>
      </c>
      <c r="D9" s="35" t="s">
        <v>871</v>
      </c>
      <c r="E9" s="24"/>
    </row>
    <row r="10" spans="1:6" ht="67.5" customHeight="1" x14ac:dyDescent="0.35">
      <c r="A10" s="31" t="s">
        <v>779</v>
      </c>
      <c r="B10" s="24" t="s">
        <v>789</v>
      </c>
      <c r="C10" s="24" t="s">
        <v>837</v>
      </c>
      <c r="D10" s="35" t="s">
        <v>871</v>
      </c>
      <c r="E10" s="24"/>
    </row>
    <row r="11" spans="1:6" ht="88" customHeight="1" x14ac:dyDescent="0.35">
      <c r="A11" s="31" t="s">
        <v>39</v>
      </c>
      <c r="B11" s="24" t="s">
        <v>1963</v>
      </c>
      <c r="C11" s="24" t="s">
        <v>1964</v>
      </c>
      <c r="D11" s="35" t="s">
        <v>871</v>
      </c>
      <c r="E11" s="24"/>
    </row>
    <row r="12" spans="1:6" ht="15" customHeight="1" x14ac:dyDescent="0.35">
      <c r="A12" s="1349" t="s">
        <v>801</v>
      </c>
      <c r="B12" s="1350"/>
      <c r="C12" s="1350"/>
      <c r="D12" s="1351"/>
      <c r="E12" s="24"/>
    </row>
    <row r="13" spans="1:6" ht="29.9" customHeight="1" x14ac:dyDescent="0.35">
      <c r="A13" s="32" t="s">
        <v>5</v>
      </c>
      <c r="B13" s="1355" t="s">
        <v>803</v>
      </c>
      <c r="C13" s="1355"/>
      <c r="D13" s="36"/>
      <c r="E13" s="24"/>
    </row>
    <row r="14" spans="1:6" ht="48.65" customHeight="1" x14ac:dyDescent="0.35">
      <c r="A14" s="30" t="s">
        <v>802</v>
      </c>
      <c r="B14" s="1355" t="s">
        <v>812</v>
      </c>
      <c r="C14" s="1355"/>
      <c r="D14" s="35"/>
      <c r="E14" s="24"/>
    </row>
    <row r="15" spans="1:6" ht="48.65" customHeight="1" x14ac:dyDescent="0.35">
      <c r="A15" s="30" t="s">
        <v>804</v>
      </c>
      <c r="B15" s="1355" t="s">
        <v>805</v>
      </c>
      <c r="C15" s="1355"/>
      <c r="D15" s="25"/>
      <c r="E15" s="24"/>
    </row>
    <row r="16" spans="1:6" x14ac:dyDescent="0.35">
      <c r="A16" s="1352" t="s">
        <v>50</v>
      </c>
      <c r="B16" s="1353"/>
      <c r="C16" s="1353"/>
      <c r="D16" s="1354"/>
      <c r="E16" s="24"/>
    </row>
    <row r="17" spans="1:5" ht="36.65" customHeight="1" x14ac:dyDescent="0.35">
      <c r="A17" s="1347" t="s">
        <v>806</v>
      </c>
      <c r="B17" s="1348"/>
      <c r="C17" s="1348"/>
      <c r="D17" s="36"/>
      <c r="E17" s="24"/>
    </row>
    <row r="18" spans="1:5" ht="145.5" customHeight="1" x14ac:dyDescent="0.35">
      <c r="A18" s="31" t="s">
        <v>51</v>
      </c>
      <c r="B18" s="24" t="s">
        <v>1965</v>
      </c>
      <c r="C18" s="24" t="s">
        <v>832</v>
      </c>
      <c r="D18" s="35"/>
      <c r="E18" s="24"/>
    </row>
    <row r="19" spans="1:5" ht="63.65" customHeight="1" x14ac:dyDescent="0.35">
      <c r="A19" s="31" t="s">
        <v>52</v>
      </c>
      <c r="B19" s="24" t="s">
        <v>1966</v>
      </c>
      <c r="C19" s="24" t="s">
        <v>828</v>
      </c>
      <c r="D19" s="35"/>
      <c r="E19" s="24"/>
    </row>
    <row r="20" spans="1:5" ht="63.65" customHeight="1" x14ac:dyDescent="0.35">
      <c r="A20" s="31" t="s">
        <v>829</v>
      </c>
      <c r="B20" s="24" t="s">
        <v>830</v>
      </c>
      <c r="C20" s="24" t="s">
        <v>831</v>
      </c>
      <c r="D20" s="35"/>
      <c r="E20" s="24"/>
    </row>
    <row r="21" spans="1:5" ht="34.4" customHeight="1" x14ac:dyDescent="0.35">
      <c r="A21" s="1347" t="s">
        <v>786</v>
      </c>
      <c r="B21" s="1348"/>
      <c r="C21" s="1348"/>
      <c r="D21" s="25"/>
      <c r="E21" s="24"/>
    </row>
    <row r="22" spans="1:5" x14ac:dyDescent="0.35">
      <c r="A22" s="1352" t="s">
        <v>53</v>
      </c>
      <c r="B22" s="1353"/>
      <c r="C22" s="1353"/>
      <c r="D22" s="1354"/>
      <c r="E22" s="24"/>
    </row>
    <row r="23" spans="1:5" ht="29.15" customHeight="1" x14ac:dyDescent="0.35">
      <c r="A23" s="31" t="s">
        <v>54</v>
      </c>
      <c r="B23" s="24"/>
      <c r="C23" s="24" t="s">
        <v>55</v>
      </c>
      <c r="D23" s="36"/>
      <c r="E23" s="24"/>
    </row>
    <row r="24" spans="1:5" ht="57.65" customHeight="1" x14ac:dyDescent="0.35">
      <c r="A24" s="31" t="s">
        <v>56</v>
      </c>
      <c r="B24" s="24" t="s">
        <v>57</v>
      </c>
      <c r="C24" s="24" t="s">
        <v>58</v>
      </c>
      <c r="D24" s="35"/>
      <c r="E24" s="24"/>
    </row>
    <row r="25" spans="1:5" ht="29.15" customHeight="1" x14ac:dyDescent="0.35">
      <c r="A25" s="31" t="s">
        <v>59</v>
      </c>
      <c r="B25" s="24" t="s">
        <v>60</v>
      </c>
      <c r="C25" s="24" t="s">
        <v>818</v>
      </c>
      <c r="D25" s="35"/>
      <c r="E25" s="24"/>
    </row>
    <row r="26" spans="1:5" ht="72" customHeight="1" x14ac:dyDescent="0.35">
      <c r="A26" s="33" t="s">
        <v>61</v>
      </c>
      <c r="B26" s="34" t="s">
        <v>62</v>
      </c>
      <c r="C26" s="34" t="s">
        <v>1967</v>
      </c>
      <c r="D26" s="25"/>
      <c r="E26" s="24"/>
    </row>
  </sheetData>
  <mergeCells count="9">
    <mergeCell ref="A21:C21"/>
    <mergeCell ref="A12:D12"/>
    <mergeCell ref="A16:D16"/>
    <mergeCell ref="A22:D22"/>
    <mergeCell ref="A2:D2"/>
    <mergeCell ref="B13:C13"/>
    <mergeCell ref="B14:C14"/>
    <mergeCell ref="B15:C15"/>
    <mergeCell ref="A17:C17"/>
  </mergeCells>
  <conditionalFormatting sqref="D13:D15">
    <cfRule type="containsText" dxfId="11" priority="5" operator="containsText" text="Yes">
      <formula>NOT(ISERROR(SEARCH("Yes",D13)))</formula>
    </cfRule>
  </conditionalFormatting>
  <conditionalFormatting sqref="D17:D21">
    <cfRule type="containsText" dxfId="10" priority="3" operator="containsText" text="Yes">
      <formula>NOT(ISERROR(SEARCH("Yes",D17)))</formula>
    </cfRule>
  </conditionalFormatting>
  <conditionalFormatting sqref="D23:D26">
    <cfRule type="containsText" dxfId="9" priority="4" operator="containsText" text="Yes">
      <formula>NOT(ISERROR(SEARCH("Yes",D23)))</formula>
    </cfRule>
  </conditionalFormatting>
  <conditionalFormatting sqref="E3 D3:D11">
    <cfRule type="containsText" dxfId="8" priority="2" operator="containsText" text="Yes">
      <formula>NOT(ISERROR(SEARCH("Yes",D3)))</formula>
    </cfRule>
  </conditionalFormatting>
  <conditionalFormatting sqref="E6">
    <cfRule type="containsText" dxfId="7" priority="1" operator="containsText" text="Yes">
      <formula>NOT(ISERROR(SEARCH("Yes",E6)))</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2" activePane="bottomLeft" state="frozen"/>
      <selection pane="bottomLeft" activeCell="A19" sqref="A19:C1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7" t="s">
        <v>25</v>
      </c>
      <c r="B1" s="28" t="s">
        <v>26</v>
      </c>
      <c r="C1" s="28" t="s">
        <v>27</v>
      </c>
      <c r="D1" s="29" t="s">
        <v>28</v>
      </c>
      <c r="E1" s="40"/>
      <c r="F1" s="40"/>
    </row>
    <row r="2" spans="1:7" ht="16.5" customHeight="1" x14ac:dyDescent="0.35">
      <c r="A2" s="1349" t="s">
        <v>29</v>
      </c>
      <c r="B2" s="1350"/>
      <c r="C2" s="1350"/>
      <c r="D2" s="1351"/>
      <c r="E2" s="40"/>
      <c r="F2" s="40"/>
    </row>
    <row r="3" spans="1:7" ht="148.4" customHeight="1" x14ac:dyDescent="0.35">
      <c r="A3" s="31" t="s">
        <v>67</v>
      </c>
      <c r="B3" s="24" t="s">
        <v>32</v>
      </c>
      <c r="C3" s="24" t="s">
        <v>2024</v>
      </c>
      <c r="D3" s="35" t="s">
        <v>2019</v>
      </c>
      <c r="E3" s="24"/>
      <c r="F3" s="24"/>
    </row>
    <row r="4" spans="1:7" ht="75" customHeight="1" x14ac:dyDescent="0.35">
      <c r="A4" s="31"/>
      <c r="B4" s="24"/>
      <c r="C4" s="24" t="s">
        <v>1915</v>
      </c>
      <c r="D4" s="35" t="s">
        <v>2019</v>
      </c>
      <c r="E4" s="24"/>
      <c r="F4" s="24"/>
    </row>
    <row r="5" spans="1:7" ht="86.5" customHeight="1" x14ac:dyDescent="0.35">
      <c r="A5" s="31" t="s">
        <v>63</v>
      </c>
      <c r="B5" s="24" t="s">
        <v>64</v>
      </c>
      <c r="C5" s="39" t="s">
        <v>36</v>
      </c>
      <c r="D5" s="35" t="s">
        <v>2019</v>
      </c>
      <c r="E5" s="24"/>
    </row>
    <row r="6" spans="1:7" ht="113.5" customHeight="1" x14ac:dyDescent="0.35">
      <c r="A6" s="31" t="s">
        <v>37</v>
      </c>
      <c r="B6" s="24" t="s">
        <v>1968</v>
      </c>
      <c r="C6" s="24" t="s">
        <v>1905</v>
      </c>
      <c r="D6" s="35" t="s">
        <v>2019</v>
      </c>
      <c r="E6" s="24"/>
      <c r="F6" s="24"/>
    </row>
    <row r="7" spans="1:7" ht="77" customHeight="1" x14ac:dyDescent="0.35">
      <c r="A7" s="31" t="s">
        <v>779</v>
      </c>
      <c r="B7" s="24" t="s">
        <v>789</v>
      </c>
      <c r="C7" s="24" t="s">
        <v>1969</v>
      </c>
      <c r="D7" s="35" t="s">
        <v>871</v>
      </c>
      <c r="E7" s="26"/>
      <c r="F7" s="24"/>
    </row>
    <row r="8" spans="1:7" ht="96.65" customHeight="1" x14ac:dyDescent="0.35">
      <c r="A8" s="31" t="s">
        <v>39</v>
      </c>
      <c r="B8" s="24" t="s">
        <v>1970</v>
      </c>
      <c r="C8" s="24" t="s">
        <v>2020</v>
      </c>
      <c r="D8" s="35" t="s">
        <v>2019</v>
      </c>
      <c r="E8" s="26"/>
      <c r="F8" s="24"/>
    </row>
    <row r="9" spans="1:7" ht="22.5" customHeight="1" x14ac:dyDescent="0.35">
      <c r="A9" s="1349" t="s">
        <v>801</v>
      </c>
      <c r="B9" s="1350"/>
      <c r="C9" s="1350"/>
      <c r="D9" s="1351"/>
      <c r="E9" s="26"/>
      <c r="F9" s="24"/>
    </row>
    <row r="10" spans="1:7" ht="44.5" customHeight="1" x14ac:dyDescent="0.35">
      <c r="A10" s="32" t="s">
        <v>65</v>
      </c>
      <c r="B10" s="1362" t="s">
        <v>810</v>
      </c>
      <c r="C10" s="1363"/>
      <c r="D10" s="35" t="s">
        <v>2019</v>
      </c>
      <c r="E10" s="26"/>
      <c r="F10" s="24"/>
    </row>
    <row r="11" spans="1:7" ht="33" customHeight="1" x14ac:dyDescent="0.35">
      <c r="A11" s="32" t="s">
        <v>809</v>
      </c>
      <c r="B11" s="1355" t="s">
        <v>811</v>
      </c>
      <c r="C11" s="1355"/>
      <c r="D11" s="35" t="s">
        <v>2019</v>
      </c>
      <c r="E11" s="24"/>
      <c r="F11" s="24"/>
    </row>
    <row r="12" spans="1:7" ht="51.5" customHeight="1" x14ac:dyDescent="0.35">
      <c r="A12" s="30" t="s">
        <v>802</v>
      </c>
      <c r="B12" s="1355" t="s">
        <v>812</v>
      </c>
      <c r="C12" s="1355"/>
      <c r="D12" s="35" t="s">
        <v>2019</v>
      </c>
    </row>
    <row r="13" spans="1:7" ht="38.9" customHeight="1" x14ac:dyDescent="0.35">
      <c r="A13" s="30" t="s">
        <v>804</v>
      </c>
      <c r="B13" s="1355" t="s">
        <v>805</v>
      </c>
      <c r="C13" s="1355"/>
      <c r="D13" s="35" t="s">
        <v>2019</v>
      </c>
    </row>
    <row r="14" spans="1:7" ht="20.149999999999999" customHeight="1" x14ac:dyDescent="0.35">
      <c r="A14" s="1352" t="s">
        <v>50</v>
      </c>
      <c r="B14" s="1353"/>
      <c r="C14" s="1353"/>
      <c r="D14" s="1354"/>
    </row>
    <row r="15" spans="1:7" ht="24.65" customHeight="1" x14ac:dyDescent="0.35">
      <c r="A15" s="1356" t="s">
        <v>787</v>
      </c>
      <c r="B15" s="1357"/>
      <c r="C15" s="1358"/>
      <c r="D15" s="35"/>
    </row>
    <row r="16" spans="1:7" ht="185" customHeight="1" x14ac:dyDescent="0.35">
      <c r="A16" s="30" t="s">
        <v>51</v>
      </c>
      <c r="B16" s="41" t="s">
        <v>826</v>
      </c>
      <c r="C16" s="41" t="s">
        <v>832</v>
      </c>
      <c r="D16" s="42"/>
      <c r="E16" s="41"/>
      <c r="F16" s="41"/>
      <c r="G16" s="41"/>
    </row>
    <row r="17" spans="1:7" ht="101.15" customHeight="1" x14ac:dyDescent="0.35">
      <c r="A17" s="30" t="s">
        <v>52</v>
      </c>
      <c r="B17" s="41" t="s">
        <v>827</v>
      </c>
      <c r="C17" s="41" t="s">
        <v>828</v>
      </c>
      <c r="D17" s="42"/>
      <c r="E17" s="41"/>
      <c r="F17" s="41"/>
      <c r="G17" s="41"/>
    </row>
    <row r="18" spans="1:7" ht="57.65" customHeight="1" x14ac:dyDescent="0.35">
      <c r="A18" s="30" t="s">
        <v>829</v>
      </c>
      <c r="B18" s="41" t="s">
        <v>830</v>
      </c>
      <c r="C18" s="41" t="s">
        <v>831</v>
      </c>
      <c r="D18" s="42"/>
      <c r="E18" s="41"/>
      <c r="F18" s="41"/>
      <c r="G18" s="41"/>
    </row>
    <row r="19" spans="1:7" ht="37.5" customHeight="1" x14ac:dyDescent="0.35">
      <c r="A19" s="1359" t="s">
        <v>786</v>
      </c>
      <c r="B19" s="1360"/>
      <c r="C19" s="1361"/>
      <c r="D19" s="35"/>
    </row>
    <row r="20" spans="1:7" x14ac:dyDescent="0.35">
      <c r="A20" s="1352" t="s">
        <v>53</v>
      </c>
      <c r="B20" s="1353"/>
      <c r="C20" s="1353"/>
      <c r="D20" s="1354"/>
    </row>
    <row r="21" spans="1:7" ht="29.15" customHeight="1" x14ac:dyDescent="0.35">
      <c r="A21" s="31" t="s">
        <v>54</v>
      </c>
      <c r="B21" s="24" t="s">
        <v>66</v>
      </c>
      <c r="C21" s="24" t="s">
        <v>55</v>
      </c>
      <c r="D21" s="35"/>
    </row>
    <row r="22" spans="1:7" ht="72" customHeight="1" x14ac:dyDescent="0.35">
      <c r="A22" s="31" t="s">
        <v>56</v>
      </c>
      <c r="B22" s="24" t="s">
        <v>57</v>
      </c>
      <c r="C22" s="24" t="s">
        <v>58</v>
      </c>
      <c r="D22" s="35"/>
    </row>
    <row r="23" spans="1:7" ht="29.15" customHeight="1" x14ac:dyDescent="0.35">
      <c r="A23" s="31" t="s">
        <v>59</v>
      </c>
      <c r="B23" s="24" t="s">
        <v>60</v>
      </c>
      <c r="C23" s="24" t="s">
        <v>818</v>
      </c>
      <c r="D23" s="35"/>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0:D13">
    <cfRule type="containsText" dxfId="5" priority="1" operator="containsText" text="Yes">
      <formula>NOT(ISERROR(SEARCH("Yes",D10)))</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1908</v>
      </c>
      <c r="B2" s="48" t="s">
        <v>857</v>
      </c>
      <c r="C2" s="48" t="s">
        <v>858</v>
      </c>
      <c r="D2" s="46" t="s">
        <v>871</v>
      </c>
    </row>
    <row r="3" spans="1:4" ht="63.75" customHeight="1" x14ac:dyDescent="0.35">
      <c r="A3" s="31" t="s">
        <v>67</v>
      </c>
      <c r="B3" s="45" t="s">
        <v>32</v>
      </c>
      <c r="C3" s="45" t="s">
        <v>33</v>
      </c>
      <c r="D3" s="46" t="s">
        <v>871</v>
      </c>
    </row>
    <row r="4" spans="1:4" ht="170.25" customHeight="1" x14ac:dyDescent="0.35">
      <c r="A4" s="53" t="s">
        <v>68</v>
      </c>
      <c r="B4" s="45" t="s">
        <v>856</v>
      </c>
      <c r="C4" s="24" t="s">
        <v>1909</v>
      </c>
      <c r="D4" s="46" t="s">
        <v>871</v>
      </c>
    </row>
    <row r="5" spans="1:4" ht="29.25" customHeight="1" x14ac:dyDescent="0.35">
      <c r="A5" s="53" t="s">
        <v>69</v>
      </c>
      <c r="B5" s="54" t="s">
        <v>70</v>
      </c>
      <c r="C5" s="44" t="s">
        <v>71</v>
      </c>
      <c r="D5" s="46" t="s">
        <v>871</v>
      </c>
    </row>
    <row r="6" spans="1:4" ht="43.4" customHeight="1" x14ac:dyDescent="0.35">
      <c r="A6" s="33" t="s">
        <v>72</v>
      </c>
      <c r="B6" s="49" t="s">
        <v>834</v>
      </c>
      <c r="C6" s="43" t="s">
        <v>833</v>
      </c>
      <c r="D6" s="46" t="s">
        <v>871</v>
      </c>
    </row>
    <row r="8" spans="1:4" x14ac:dyDescent="0.35">
      <c r="B8" s="38"/>
    </row>
    <row r="9" spans="1:4" x14ac:dyDescent="0.35">
      <c r="B9" s="3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1855</v>
      </c>
      <c r="E2" s="68" t="s">
        <v>1856</v>
      </c>
      <c r="F2" s="68" t="s">
        <v>1872</v>
      </c>
      <c r="G2" s="68" t="s">
        <v>1873</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305.98899999999998</v>
      </c>
      <c r="F68" s="63">
        <f t="shared" ref="F68:F81" si="2">E68-D68</f>
        <v>-4.5333333333019254E-2</v>
      </c>
      <c r="G68" s="69">
        <f t="shared" ref="G68:G81" si="3">F68/D68</f>
        <v>-1.4813152772516581E-4</v>
      </c>
      <c r="H68" s="62"/>
      <c r="I68" s="62"/>
    </row>
    <row r="69" spans="1:9" x14ac:dyDescent="0.35">
      <c r="C69" s="63" t="str">
        <f>'Haver Pivoted'!A68</f>
        <v>pcw</v>
      </c>
      <c r="D69">
        <v>300.327333333333</v>
      </c>
      <c r="E69" s="63">
        <f>'Haver Pivoted'!HH68</f>
        <v>300.27566666666701</v>
      </c>
      <c r="F69" s="63">
        <f t="shared" si="2"/>
        <v>-5.1666666665994398E-2</v>
      </c>
      <c r="G69" s="69">
        <f t="shared" si="3"/>
        <v>-1.7203451345086069E-4</v>
      </c>
    </row>
    <row r="70" spans="1:9" x14ac:dyDescent="0.35">
      <c r="B70" s="63" t="s">
        <v>150</v>
      </c>
      <c r="C70" s="63" t="str">
        <f>'Haver Pivoted'!A69</f>
        <v>gdppothq</v>
      </c>
      <c r="D70">
        <v>22369.7</v>
      </c>
      <c r="E70" s="63">
        <f>'Haver Pivoted'!HH69</f>
        <v>22527.599999999999</v>
      </c>
      <c r="F70" s="63">
        <f t="shared" si="2"/>
        <v>157.89999999999782</v>
      </c>
      <c r="G70" s="69">
        <f t="shared" si="3"/>
        <v>7.0586552345359042E-3</v>
      </c>
    </row>
    <row r="71" spans="1:9" x14ac:dyDescent="0.35">
      <c r="B71" s="63" t="s">
        <v>151</v>
      </c>
      <c r="C71" s="63" t="str">
        <f>'Haver Pivoted'!A70</f>
        <v>gdppotq</v>
      </c>
      <c r="D71">
        <v>27476.6</v>
      </c>
      <c r="E71" s="63">
        <f>'Haver Pivoted'!HH70</f>
        <v>27689.599999999999</v>
      </c>
      <c r="F71" s="63">
        <f t="shared" si="2"/>
        <v>213</v>
      </c>
      <c r="G71" s="69">
        <f t="shared" si="3"/>
        <v>7.7520508359840744E-3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5318.3333333333303</v>
      </c>
      <c r="F73" s="63">
        <f t="shared" si="2"/>
        <v>-7</v>
      </c>
      <c r="G73" s="69">
        <f t="shared" si="3"/>
        <v>-1.3144717075613428E-3</v>
      </c>
    </row>
    <row r="74" spans="1:9" x14ac:dyDescent="0.35">
      <c r="A74" s="63" t="s">
        <v>153</v>
      </c>
      <c r="B74" s="63" t="s">
        <v>155</v>
      </c>
      <c r="C74" s="63" t="str">
        <f>'Haver Pivoted'!A73</f>
        <v>lalgova</v>
      </c>
      <c r="D74">
        <v>14587</v>
      </c>
      <c r="E74" s="63">
        <f>'Haver Pivoted'!HH73</f>
        <v>14636.666666666701</v>
      </c>
      <c r="F74" s="63">
        <f t="shared" si="2"/>
        <v>49.666666666700621</v>
      </c>
      <c r="G74" s="69">
        <f t="shared" si="3"/>
        <v>3.4048582070816905E-3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Q92"/>
  <sheetViews>
    <sheetView zoomScaleNormal="100" workbookViewId="0">
      <pane xSplit="1" ySplit="1" topLeftCell="HD59" activePane="bottomRight" state="frozen"/>
      <selection pane="topRight" activeCell="B1" sqref="B1"/>
      <selection pane="bottomLeft" activeCell="A2" sqref="A2"/>
      <selection pane="bottomRight" activeCell="HH65" sqref="HH65"/>
    </sheetView>
  </sheetViews>
  <sheetFormatPr defaultColWidth="10.90625" defaultRowHeight="14.5" x14ac:dyDescent="0.35"/>
  <cols>
    <col min="1" max="225" width="11.7265625" customWidth="1"/>
  </cols>
  <sheetData>
    <row r="1" spans="1:225" x14ac:dyDescent="0.35">
      <c r="A1" s="83" t="s">
        <v>2067</v>
      </c>
      <c r="B1" s="83" t="s">
        <v>2068</v>
      </c>
      <c r="C1" s="83" t="s">
        <v>2069</v>
      </c>
      <c r="D1" s="83" t="s">
        <v>2070</v>
      </c>
      <c r="E1" s="83" t="s">
        <v>2071</v>
      </c>
      <c r="F1" s="83" t="s">
        <v>2072</v>
      </c>
      <c r="G1" s="83" t="s">
        <v>2073</v>
      </c>
      <c r="H1" s="83" t="s">
        <v>2074</v>
      </c>
      <c r="I1" s="83" t="s">
        <v>2075</v>
      </c>
      <c r="J1" s="83" t="s">
        <v>2076</v>
      </c>
      <c r="K1" s="83" t="s">
        <v>2077</v>
      </c>
      <c r="L1" s="83" t="s">
        <v>2078</v>
      </c>
      <c r="M1" s="83" t="s">
        <v>2079</v>
      </c>
      <c r="N1" s="83" t="s">
        <v>2080</v>
      </c>
      <c r="O1" s="83" t="s">
        <v>2081</v>
      </c>
      <c r="P1" s="83" t="s">
        <v>2082</v>
      </c>
      <c r="Q1" s="83" t="s">
        <v>2083</v>
      </c>
      <c r="R1" s="83" t="s">
        <v>2084</v>
      </c>
      <c r="S1" s="83" t="s">
        <v>2085</v>
      </c>
      <c r="T1" s="83" t="s">
        <v>2086</v>
      </c>
      <c r="U1" s="83" t="s">
        <v>2087</v>
      </c>
      <c r="V1" s="83" t="s">
        <v>2088</v>
      </c>
      <c r="W1" s="83" t="s">
        <v>2089</v>
      </c>
      <c r="X1" s="83" t="s">
        <v>2090</v>
      </c>
      <c r="Y1" s="83" t="s">
        <v>2091</v>
      </c>
      <c r="Z1" s="83" t="s">
        <v>2092</v>
      </c>
      <c r="AA1" s="83" t="s">
        <v>2093</v>
      </c>
      <c r="AB1" s="83" t="s">
        <v>2094</v>
      </c>
      <c r="AC1" s="83" t="s">
        <v>2095</v>
      </c>
      <c r="AD1" s="83" t="s">
        <v>2096</v>
      </c>
      <c r="AE1" s="83" t="s">
        <v>2097</v>
      </c>
      <c r="AF1" s="83" t="s">
        <v>2098</v>
      </c>
      <c r="AG1" s="83" t="s">
        <v>2099</v>
      </c>
      <c r="AH1" s="83" t="s">
        <v>2100</v>
      </c>
      <c r="AI1" s="83" t="s">
        <v>2101</v>
      </c>
      <c r="AJ1" s="83" t="s">
        <v>2102</v>
      </c>
      <c r="AK1" s="83" t="s">
        <v>2103</v>
      </c>
      <c r="AL1" s="83" t="s">
        <v>2104</v>
      </c>
      <c r="AM1" s="83" t="s">
        <v>2105</v>
      </c>
      <c r="AN1" s="83" t="s">
        <v>2106</v>
      </c>
      <c r="AO1" s="83" t="s">
        <v>2107</v>
      </c>
      <c r="AP1" s="83" t="s">
        <v>2108</v>
      </c>
      <c r="AQ1" s="83" t="s">
        <v>2109</v>
      </c>
      <c r="AR1" s="83" t="s">
        <v>2110</v>
      </c>
      <c r="AS1" s="83" t="s">
        <v>2111</v>
      </c>
      <c r="AT1" s="83" t="s">
        <v>2112</v>
      </c>
      <c r="AU1" s="83" t="s">
        <v>2113</v>
      </c>
      <c r="AV1" s="83" t="s">
        <v>2114</v>
      </c>
      <c r="AW1" s="83" t="s">
        <v>2115</v>
      </c>
      <c r="AX1" s="83" t="s">
        <v>2116</v>
      </c>
      <c r="AY1" s="83" t="s">
        <v>2117</v>
      </c>
      <c r="AZ1" s="83" t="s">
        <v>2118</v>
      </c>
      <c r="BA1" s="83" t="s">
        <v>2119</v>
      </c>
      <c r="BB1" s="83" t="s">
        <v>2120</v>
      </c>
      <c r="BC1" s="83" t="s">
        <v>2121</v>
      </c>
      <c r="BD1" s="83" t="s">
        <v>2122</v>
      </c>
      <c r="BE1" s="83" t="s">
        <v>2123</v>
      </c>
      <c r="BF1" s="83" t="s">
        <v>2124</v>
      </c>
      <c r="BG1" s="83" t="s">
        <v>2125</v>
      </c>
      <c r="BH1" s="83" t="s">
        <v>2126</v>
      </c>
      <c r="BI1" s="83" t="s">
        <v>2127</v>
      </c>
      <c r="BJ1" s="83" t="s">
        <v>2128</v>
      </c>
      <c r="BK1" s="83" t="s">
        <v>2129</v>
      </c>
      <c r="BL1" s="83" t="s">
        <v>2130</v>
      </c>
      <c r="BM1" s="83" t="s">
        <v>2131</v>
      </c>
      <c r="BN1" s="83" t="s">
        <v>2132</v>
      </c>
      <c r="BO1" s="83" t="s">
        <v>2133</v>
      </c>
      <c r="BP1" s="83" t="s">
        <v>2134</v>
      </c>
      <c r="BQ1" s="83" t="s">
        <v>2135</v>
      </c>
      <c r="BR1" s="83" t="s">
        <v>2136</v>
      </c>
      <c r="BS1" s="83" t="s">
        <v>2137</v>
      </c>
      <c r="BT1" s="83" t="s">
        <v>2138</v>
      </c>
      <c r="BU1" s="83" t="s">
        <v>2139</v>
      </c>
      <c r="BV1" s="83" t="s">
        <v>2140</v>
      </c>
      <c r="BW1" s="83" t="s">
        <v>2141</v>
      </c>
      <c r="BX1" s="83" t="s">
        <v>2142</v>
      </c>
      <c r="BY1" s="83" t="s">
        <v>2143</v>
      </c>
      <c r="BZ1" s="83" t="s">
        <v>2144</v>
      </c>
      <c r="CA1" s="83" t="s">
        <v>2145</v>
      </c>
      <c r="CB1" s="83" t="s">
        <v>2146</v>
      </c>
      <c r="CC1" s="83" t="s">
        <v>2147</v>
      </c>
      <c r="CD1" s="83" t="s">
        <v>2148</v>
      </c>
      <c r="CE1" s="83" t="s">
        <v>2149</v>
      </c>
      <c r="CF1" s="83" t="s">
        <v>2150</v>
      </c>
      <c r="CG1" s="83" t="s">
        <v>2151</v>
      </c>
      <c r="CH1" s="83" t="s">
        <v>2152</v>
      </c>
      <c r="CI1" s="83" t="s">
        <v>2153</v>
      </c>
      <c r="CJ1" s="83" t="s">
        <v>2154</v>
      </c>
      <c r="CK1" s="83" t="s">
        <v>2155</v>
      </c>
      <c r="CL1" s="83" t="s">
        <v>2156</v>
      </c>
      <c r="CM1" s="83" t="s">
        <v>2157</v>
      </c>
      <c r="CN1" s="83" t="s">
        <v>2158</v>
      </c>
      <c r="CO1" s="83" t="s">
        <v>2159</v>
      </c>
      <c r="CP1" s="83" t="s">
        <v>2160</v>
      </c>
      <c r="CQ1" s="83" t="s">
        <v>2161</v>
      </c>
      <c r="CR1" s="83" t="s">
        <v>2162</v>
      </c>
      <c r="CS1" s="83" t="s">
        <v>2163</v>
      </c>
      <c r="CT1" s="83" t="s">
        <v>2164</v>
      </c>
      <c r="CU1" s="83" t="s">
        <v>2165</v>
      </c>
      <c r="CV1" s="83" t="s">
        <v>2166</v>
      </c>
      <c r="CW1" s="83" t="s">
        <v>2167</v>
      </c>
      <c r="CX1" s="83" t="s">
        <v>2168</v>
      </c>
      <c r="CY1" s="83" t="s">
        <v>2169</v>
      </c>
      <c r="CZ1" s="83" t="s">
        <v>2170</v>
      </c>
      <c r="DA1" s="83" t="s">
        <v>2171</v>
      </c>
      <c r="DB1" s="83" t="s">
        <v>2172</v>
      </c>
      <c r="DC1" s="83" t="s">
        <v>2173</v>
      </c>
      <c r="DD1" s="83" t="s">
        <v>2174</v>
      </c>
      <c r="DE1" s="83" t="s">
        <v>2175</v>
      </c>
      <c r="DF1" s="83" t="s">
        <v>2176</v>
      </c>
      <c r="DG1" s="83" t="s">
        <v>2177</v>
      </c>
      <c r="DH1" s="83" t="s">
        <v>2178</v>
      </c>
      <c r="DI1" s="83" t="s">
        <v>2179</v>
      </c>
      <c r="DJ1" s="83" t="s">
        <v>2180</v>
      </c>
      <c r="DK1" s="83" t="s">
        <v>2181</v>
      </c>
      <c r="DL1" s="83" t="s">
        <v>2182</v>
      </c>
      <c r="DM1" s="83" t="s">
        <v>2183</v>
      </c>
      <c r="DN1" s="83" t="s">
        <v>2184</v>
      </c>
      <c r="DO1" s="83" t="s">
        <v>2185</v>
      </c>
      <c r="DP1" s="83" t="s">
        <v>2186</v>
      </c>
      <c r="DQ1" s="83" t="s">
        <v>2187</v>
      </c>
      <c r="DR1" s="83" t="s">
        <v>2188</v>
      </c>
      <c r="DS1" s="83" t="s">
        <v>2189</v>
      </c>
      <c r="DT1" s="83" t="s">
        <v>2190</v>
      </c>
      <c r="DU1" s="83" t="s">
        <v>2191</v>
      </c>
      <c r="DV1" s="83" t="s">
        <v>2192</v>
      </c>
      <c r="DW1" s="83" t="s">
        <v>2193</v>
      </c>
      <c r="DX1" s="83" t="s">
        <v>2194</v>
      </c>
      <c r="DY1" s="83" t="s">
        <v>2195</v>
      </c>
      <c r="DZ1" s="83" t="s">
        <v>2196</v>
      </c>
      <c r="EA1" s="83" t="s">
        <v>2197</v>
      </c>
      <c r="EB1" s="83" t="s">
        <v>2198</v>
      </c>
      <c r="EC1" s="83" t="s">
        <v>2199</v>
      </c>
      <c r="ED1" s="83" t="s">
        <v>2200</v>
      </c>
      <c r="EE1" s="83" t="s">
        <v>2201</v>
      </c>
      <c r="EF1" s="83" t="s">
        <v>2202</v>
      </c>
      <c r="EG1" s="83" t="s">
        <v>2203</v>
      </c>
      <c r="EH1" s="83" t="s">
        <v>2204</v>
      </c>
      <c r="EI1" s="83" t="s">
        <v>2205</v>
      </c>
      <c r="EJ1" s="83" t="s">
        <v>2206</v>
      </c>
      <c r="EK1" s="83" t="s">
        <v>2207</v>
      </c>
      <c r="EL1" s="83" t="s">
        <v>2208</v>
      </c>
      <c r="EM1" s="83" t="s">
        <v>2209</v>
      </c>
      <c r="EN1" s="83" t="s">
        <v>2210</v>
      </c>
      <c r="EO1" s="83" t="s">
        <v>2211</v>
      </c>
      <c r="EP1" s="83" t="s">
        <v>2212</v>
      </c>
      <c r="EQ1" s="83" t="s">
        <v>2213</v>
      </c>
      <c r="ER1" s="83" t="s">
        <v>2214</v>
      </c>
      <c r="ES1" s="83" t="s">
        <v>2215</v>
      </c>
      <c r="ET1" s="83" t="s">
        <v>2216</v>
      </c>
      <c r="EU1" s="83" t="s">
        <v>2217</v>
      </c>
      <c r="EV1" s="83" t="s">
        <v>2218</v>
      </c>
      <c r="EW1" s="83" t="s">
        <v>2219</v>
      </c>
      <c r="EX1" s="83" t="s">
        <v>2220</v>
      </c>
      <c r="EY1" s="83" t="s">
        <v>2221</v>
      </c>
      <c r="EZ1" s="83" t="s">
        <v>2222</v>
      </c>
      <c r="FA1" s="83" t="s">
        <v>2223</v>
      </c>
      <c r="FB1" s="83" t="s">
        <v>2224</v>
      </c>
      <c r="FC1" s="83" t="s">
        <v>2225</v>
      </c>
      <c r="FD1" s="83" t="s">
        <v>2226</v>
      </c>
      <c r="FE1" s="83" t="s">
        <v>2227</v>
      </c>
      <c r="FF1" s="83" t="s">
        <v>2228</v>
      </c>
      <c r="FG1" s="83" t="s">
        <v>2229</v>
      </c>
      <c r="FH1" s="83" t="s">
        <v>2230</v>
      </c>
      <c r="FI1" s="83" t="s">
        <v>2231</v>
      </c>
      <c r="FJ1" s="83" t="s">
        <v>2232</v>
      </c>
      <c r="FK1" s="83" t="s">
        <v>2233</v>
      </c>
      <c r="FL1" s="83" t="s">
        <v>2234</v>
      </c>
      <c r="FM1" s="83" t="s">
        <v>2235</v>
      </c>
      <c r="FN1" s="83" t="s">
        <v>2236</v>
      </c>
      <c r="FO1" s="83" t="s">
        <v>2237</v>
      </c>
      <c r="FP1" s="83" t="s">
        <v>2238</v>
      </c>
      <c r="FQ1" s="83" t="s">
        <v>2239</v>
      </c>
      <c r="FR1" s="83" t="s">
        <v>2240</v>
      </c>
      <c r="FS1" s="83" t="s">
        <v>2241</v>
      </c>
      <c r="FT1" s="83" t="s">
        <v>2242</v>
      </c>
      <c r="FU1" s="83" t="s">
        <v>2243</v>
      </c>
      <c r="FV1" s="83" t="s">
        <v>2244</v>
      </c>
      <c r="FW1" s="83" t="s">
        <v>2245</v>
      </c>
      <c r="FX1" s="83" t="s">
        <v>2246</v>
      </c>
      <c r="FY1" s="83" t="s">
        <v>2247</v>
      </c>
      <c r="FZ1" s="83" t="s">
        <v>2248</v>
      </c>
      <c r="GA1" s="83" t="s">
        <v>2249</v>
      </c>
      <c r="GB1" s="83" t="s">
        <v>2250</v>
      </c>
      <c r="GC1" s="83" t="s">
        <v>2251</v>
      </c>
      <c r="GD1" s="83" t="s">
        <v>2252</v>
      </c>
      <c r="GE1" s="83" t="s">
        <v>2253</v>
      </c>
      <c r="GF1" s="83" t="s">
        <v>2254</v>
      </c>
      <c r="GG1" s="83" t="s">
        <v>2255</v>
      </c>
      <c r="GH1" s="83" t="s">
        <v>2256</v>
      </c>
      <c r="GI1" s="83" t="s">
        <v>2257</v>
      </c>
      <c r="GJ1" s="83" t="s">
        <v>2258</v>
      </c>
      <c r="GK1" s="83" t="s">
        <v>2259</v>
      </c>
      <c r="GL1" s="83" t="s">
        <v>2260</v>
      </c>
      <c r="GM1" s="83" t="s">
        <v>2261</v>
      </c>
      <c r="GN1" s="83" t="s">
        <v>2262</v>
      </c>
      <c r="GO1" s="83" t="s">
        <v>2263</v>
      </c>
      <c r="GP1" s="83" t="s">
        <v>2264</v>
      </c>
      <c r="GQ1" s="83" t="s">
        <v>2265</v>
      </c>
      <c r="GR1" s="83" t="s">
        <v>2266</v>
      </c>
      <c r="GS1" s="83" t="s">
        <v>2267</v>
      </c>
      <c r="GT1" s="83" t="s">
        <v>2268</v>
      </c>
      <c r="GU1" s="83" t="s">
        <v>2269</v>
      </c>
      <c r="GV1" s="83" t="s">
        <v>2270</v>
      </c>
      <c r="GW1" s="83" t="s">
        <v>2271</v>
      </c>
      <c r="GX1" s="83" t="s">
        <v>2272</v>
      </c>
      <c r="GY1" s="83" t="s">
        <v>2273</v>
      </c>
      <c r="GZ1" s="83" t="s">
        <v>2274</v>
      </c>
      <c r="HA1" s="83" t="s">
        <v>2275</v>
      </c>
      <c r="HB1" s="83" t="s">
        <v>2276</v>
      </c>
      <c r="HC1" s="83" t="s">
        <v>2277</v>
      </c>
      <c r="HD1" s="83" t="s">
        <v>2278</v>
      </c>
      <c r="HE1" s="83" t="s">
        <v>2279</v>
      </c>
      <c r="HF1" s="83" t="s">
        <v>2280</v>
      </c>
      <c r="HG1" s="83" t="s">
        <v>2281</v>
      </c>
      <c r="HH1" s="83" t="s">
        <v>2282</v>
      </c>
      <c r="HI1" s="83" t="s">
        <v>2283</v>
      </c>
      <c r="HJ1" s="83" t="s">
        <v>2284</v>
      </c>
      <c r="HK1" s="83" t="s">
        <v>2285</v>
      </c>
      <c r="HL1" s="83" t="s">
        <v>2286</v>
      </c>
      <c r="HM1" s="83" t="s">
        <v>2287</v>
      </c>
      <c r="HN1" s="83" t="s">
        <v>2288</v>
      </c>
      <c r="HO1" s="83" t="s">
        <v>2289</v>
      </c>
      <c r="HP1" s="83" t="s">
        <v>2290</v>
      </c>
      <c r="HQ1" s="1329" t="s">
        <v>2291</v>
      </c>
    </row>
    <row r="2" spans="1:225" x14ac:dyDescent="0.35">
      <c r="A2" s="44" t="s">
        <v>2292</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31098</v>
      </c>
      <c r="HQ2">
        <v>31490.1</v>
      </c>
    </row>
    <row r="3" spans="1:225" x14ac:dyDescent="0.35">
      <c r="A3" s="44" t="s">
        <v>2293</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24026.799999999999</v>
      </c>
      <c r="HQ3">
        <v>24111.8</v>
      </c>
    </row>
    <row r="4" spans="1:225" x14ac:dyDescent="0.35">
      <c r="A4" s="44" t="s">
        <v>2294</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129.45699999999999</v>
      </c>
      <c r="HQ4">
        <v>130.61000000000001</v>
      </c>
    </row>
    <row r="5" spans="1:225" x14ac:dyDescent="0.35">
      <c r="A5" s="44" t="s">
        <v>2295</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21111.200000000001</v>
      </c>
      <c r="HQ5">
        <v>21387.3</v>
      </c>
    </row>
    <row r="6" spans="1:225" x14ac:dyDescent="0.35">
      <c r="A6" s="44" t="s">
        <v>2296</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16585.900000000001</v>
      </c>
      <c r="HQ6">
        <v>16682.5</v>
      </c>
    </row>
    <row r="7" spans="1:225" x14ac:dyDescent="0.35">
      <c r="A7" s="44" t="s">
        <v>2297</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127.29300000000001</v>
      </c>
      <c r="HQ7">
        <v>128.21100000000001</v>
      </c>
    </row>
    <row r="8" spans="1:225" x14ac:dyDescent="0.35">
      <c r="A8" s="44" t="s">
        <v>2298</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130.357</v>
      </c>
      <c r="HQ8">
        <v>135.17699999999999</v>
      </c>
    </row>
    <row r="9" spans="1:225" x14ac:dyDescent="0.35">
      <c r="A9" s="44" t="s">
        <v>2299</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134.06700000000001</v>
      </c>
      <c r="HQ9">
        <v>134.874</v>
      </c>
    </row>
    <row r="10" spans="1:225" x14ac:dyDescent="0.35">
      <c r="A10" s="44" t="s">
        <v>2300</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133.27699999999999</v>
      </c>
      <c r="HQ10">
        <v>133.905</v>
      </c>
    </row>
    <row r="11" spans="1:225" x14ac:dyDescent="0.35">
      <c r="A11" s="44" t="s">
        <v>2301</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138.03100000000001</v>
      </c>
      <c r="HQ11">
        <v>139.61199999999999</v>
      </c>
    </row>
    <row r="12" spans="1:225" x14ac:dyDescent="0.35">
      <c r="A12" s="44" t="s">
        <v>2302</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c r="HQ12">
        <v>1269.5</v>
      </c>
    </row>
    <row r="13" spans="1:225" x14ac:dyDescent="0.35">
      <c r="A13" s="44" t="s">
        <v>2303</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1045.5999999999999</v>
      </c>
      <c r="HQ13">
        <v>1078.4000000000001</v>
      </c>
    </row>
    <row r="14" spans="1:225" x14ac:dyDescent="0.35">
      <c r="A14" s="44" t="s">
        <v>2304</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c r="HQ14">
        <v>38.299999999999997</v>
      </c>
    </row>
    <row r="15" spans="1:225" x14ac:dyDescent="0.35">
      <c r="A15" s="44" t="s">
        <v>2305</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4901.6000000000004</v>
      </c>
      <c r="HQ15">
        <v>4966.3</v>
      </c>
    </row>
    <row r="16" spans="1:225" x14ac:dyDescent="0.35">
      <c r="A16" s="44" t="s">
        <v>2306</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c r="HQ16">
        <v>150</v>
      </c>
    </row>
    <row r="17" spans="1:225" x14ac:dyDescent="0.35">
      <c r="A17" s="44" t="s">
        <v>2307</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3254.8</v>
      </c>
      <c r="HQ17">
        <v>3309.9</v>
      </c>
    </row>
    <row r="18" spans="1:225" x14ac:dyDescent="0.35">
      <c r="A18" s="44" t="s">
        <v>2308</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c r="HQ18">
        <v>2344.5</v>
      </c>
    </row>
    <row r="19" spans="1:225" x14ac:dyDescent="0.35">
      <c r="A19" s="44" t="s">
        <v>2309</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5" x14ac:dyDescent="0.35">
      <c r="A20" s="44" t="s">
        <v>2310</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5324.4</v>
      </c>
      <c r="HQ20">
        <v>5346.4</v>
      </c>
    </row>
    <row r="21" spans="1:225" x14ac:dyDescent="0.35">
      <c r="A21" s="44" t="s">
        <v>2311</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c r="HQ21">
        <v>2046.9</v>
      </c>
    </row>
    <row r="22" spans="1:225" x14ac:dyDescent="0.35">
      <c r="A22" s="44" t="s">
        <v>2312</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127.28400000000001</v>
      </c>
      <c r="HQ22">
        <v>128.202</v>
      </c>
    </row>
    <row r="23" spans="1:225" x14ac:dyDescent="0.35">
      <c r="A23" s="44" t="s">
        <v>2313</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1989.7</v>
      </c>
      <c r="HQ23">
        <v>1972</v>
      </c>
    </row>
    <row r="24" spans="1:225" x14ac:dyDescent="0.35">
      <c r="A24" s="44" t="s">
        <v>2314</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3334.7</v>
      </c>
      <c r="HQ24">
        <v>3374.4</v>
      </c>
    </row>
    <row r="25" spans="1:225" x14ac:dyDescent="0.35">
      <c r="A25" s="44" t="s">
        <v>2315</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1526.6</v>
      </c>
      <c r="HQ25">
        <v>1459</v>
      </c>
    </row>
    <row r="26" spans="1:225" x14ac:dyDescent="0.35">
      <c r="A26" s="44" t="s">
        <v>2316</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2487.4</v>
      </c>
      <c r="HQ26">
        <v>2502</v>
      </c>
    </row>
    <row r="27" spans="1:225" x14ac:dyDescent="0.35">
      <c r="A27" s="44" t="s">
        <v>2317</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2616</v>
      </c>
      <c r="HQ27">
        <v>2653.1</v>
      </c>
    </row>
    <row r="28" spans="1:225" x14ac:dyDescent="0.35">
      <c r="A28" s="44" t="s">
        <v>2318</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c r="HQ28">
        <v>467.1</v>
      </c>
    </row>
    <row r="29" spans="1:225" x14ac:dyDescent="0.35">
      <c r="A29" s="44" t="s">
        <v>2319</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508.5</v>
      </c>
    </row>
    <row r="30" spans="1:225" x14ac:dyDescent="0.35">
      <c r="A30" s="44" t="s">
        <v>2320</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1998.2</v>
      </c>
      <c r="HQ30">
        <v>2016.7</v>
      </c>
    </row>
    <row r="31" spans="1:225" x14ac:dyDescent="0.35">
      <c r="A31" s="44" t="s">
        <v>2321</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v>
      </c>
      <c r="HQ31">
        <v>3682.4</v>
      </c>
    </row>
    <row r="32" spans="1:225" x14ac:dyDescent="0.35">
      <c r="A32" s="44" t="s">
        <v>2322</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c r="HQ32">
        <v>984.8</v>
      </c>
    </row>
    <row r="33" spans="1:225" x14ac:dyDescent="0.35">
      <c r="A33" s="44" t="s">
        <v>2323</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c r="HQ33">
        <v>656.8</v>
      </c>
    </row>
    <row r="34" spans="1:225" x14ac:dyDescent="0.35">
      <c r="A34" s="44" t="s">
        <v>2324</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c r="HQ34">
        <v>1877.3</v>
      </c>
    </row>
    <row r="35" spans="1:225" x14ac:dyDescent="0.35">
      <c r="A35" s="44" t="s">
        <v>2325</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5" x14ac:dyDescent="0.35">
      <c r="A36" s="44" t="s">
        <v>2326</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c r="HQ36">
        <v>30.3</v>
      </c>
    </row>
    <row r="37" spans="1:225" x14ac:dyDescent="0.35">
      <c r="A37" s="44" t="s">
        <v>2327</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1249.5999999999999</v>
      </c>
      <c r="HQ37">
        <v>1283.9000000000001</v>
      </c>
    </row>
    <row r="38" spans="1:225" x14ac:dyDescent="0.35">
      <c r="A38" s="44" t="s">
        <v>2328</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4442.3999999999996</v>
      </c>
      <c r="HQ38">
        <v>4507.6000000000004</v>
      </c>
    </row>
    <row r="39" spans="1:225" x14ac:dyDescent="0.35">
      <c r="A39" s="44" t="s">
        <v>2329</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c r="HQ39">
        <v>743.80399999999997</v>
      </c>
    </row>
    <row r="40" spans="1:225" x14ac:dyDescent="0.35">
      <c r="A40" s="44" t="s">
        <v>2330</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c r="HQ40">
        <v>705.51800000000003</v>
      </c>
    </row>
    <row r="41" spans="1:225" x14ac:dyDescent="0.35">
      <c r="A41" s="44" t="s">
        <v>2331</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c r="HQ41">
        <v>111.842</v>
      </c>
    </row>
    <row r="42" spans="1:225" x14ac:dyDescent="0.35">
      <c r="A42" s="44" t="s">
        <v>2332</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c r="HQ42">
        <v>97.3</v>
      </c>
    </row>
    <row r="43" spans="1:225" x14ac:dyDescent="0.35">
      <c r="A43" s="44" t="s">
        <v>2333</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c r="HQ43">
        <v>0.7</v>
      </c>
    </row>
    <row r="44" spans="1:225" x14ac:dyDescent="0.35">
      <c r="A44" s="44" t="s">
        <v>2334</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c r="HQ44">
        <v>98</v>
      </c>
    </row>
    <row r="45" spans="1:225" x14ac:dyDescent="0.35">
      <c r="A45" s="44" t="s">
        <v>2335</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5" x14ac:dyDescent="0.35">
      <c r="A46" s="44" t="s">
        <v>2336</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5" x14ac:dyDescent="0.35">
      <c r="A47" s="44" t="s">
        <v>2337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5" x14ac:dyDescent="0.35">
      <c r="A48" s="44" t="s">
        <v>2338</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2339</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2340</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2341</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2342</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2343</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2344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2345</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2346</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2347</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2348</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2349</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2350</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2351</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2352</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2353</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2354</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5" x14ac:dyDescent="0.35">
      <c r="A65" s="44" t="s">
        <v>2355</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c r="HQ65">
        <v>143.80000000000001</v>
      </c>
    </row>
    <row r="66" spans="1:225" x14ac:dyDescent="0.35">
      <c r="A66" s="44" t="s">
        <v>2356</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92.430999999999997</v>
      </c>
      <c r="HQ66">
        <v>92.47</v>
      </c>
    </row>
    <row r="67" spans="1:225" x14ac:dyDescent="0.35">
      <c r="A67" s="44" t="s">
        <v>2357</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263.74233333333302</v>
      </c>
      <c r="GY67" s="44">
        <v>268.55033333333301</v>
      </c>
      <c r="GZ67" s="44">
        <v>272.82966666666698</v>
      </c>
      <c r="HA67" s="44">
        <v>278.77133333333302</v>
      </c>
      <c r="HB67" s="44">
        <v>284.905666666667</v>
      </c>
      <c r="HC67">
        <v>291.60533333333302</v>
      </c>
      <c r="HD67">
        <v>295.45299999999997</v>
      </c>
      <c r="HE67">
        <v>298.54166666666703</v>
      </c>
      <c r="HF67">
        <v>301.23033333333302</v>
      </c>
      <c r="HG67">
        <v>303.39766666666702</v>
      </c>
      <c r="HH67">
        <v>305.98899999999998</v>
      </c>
      <c r="HI67">
        <v>308.19499999999999</v>
      </c>
      <c r="HJ67">
        <v>311.00333333333299</v>
      </c>
      <c r="HK67">
        <v>313.08066666666701</v>
      </c>
      <c r="HL67">
        <v>314.12099999999998</v>
      </c>
      <c r="HM67">
        <v>316.58766666666702</v>
      </c>
      <c r="HN67">
        <v>319.47500000000002</v>
      </c>
      <c r="HO67">
        <v>320.785666666667</v>
      </c>
      <c r="HP67">
        <v>323.23500000000001</v>
      </c>
      <c r="HQ67">
        <v>325.54700000000003</v>
      </c>
    </row>
    <row r="68" spans="1:225" x14ac:dyDescent="0.35">
      <c r="A68" s="44" t="s">
        <v>2358</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257.74</v>
      </c>
      <c r="GY68" s="44">
        <v>262.911</v>
      </c>
      <c r="GZ68" s="44">
        <v>267.46633333333301</v>
      </c>
      <c r="HA68" s="44">
        <v>273.93599999999998</v>
      </c>
      <c r="HB68" s="44">
        <v>280.48399999999998</v>
      </c>
      <c r="HC68">
        <v>287.25566666666703</v>
      </c>
      <c r="HD68">
        <v>290.71333333333303</v>
      </c>
      <c r="HE68">
        <v>293.32933333333301</v>
      </c>
      <c r="HF68">
        <v>295.63600000000002</v>
      </c>
      <c r="HG68">
        <v>297.60966666666701</v>
      </c>
      <c r="HH68">
        <v>300.27566666666701</v>
      </c>
      <c r="HI68">
        <v>302.45433333333301</v>
      </c>
      <c r="HJ68">
        <v>305.10266666666701</v>
      </c>
      <c r="HK68">
        <v>307.12766666666698</v>
      </c>
      <c r="HL68">
        <v>307.868333333333</v>
      </c>
      <c r="HM68">
        <v>310.14833333333303</v>
      </c>
      <c r="HN68">
        <v>313.06866666666701</v>
      </c>
      <c r="HO68">
        <v>314.166333333333</v>
      </c>
      <c r="HP68">
        <v>316.42633333333299</v>
      </c>
    </row>
    <row r="69" spans="1:225" s="1555" customFormat="1" x14ac:dyDescent="0.35">
      <c r="A69" s="44" t="s">
        <v>2359</v>
      </c>
      <c r="B69" s="44">
        <v>5288.1</v>
      </c>
      <c r="C69" s="44">
        <v>5334.5</v>
      </c>
      <c r="D69" s="44">
        <v>5379.5</v>
      </c>
      <c r="E69" s="44">
        <v>5423.3</v>
      </c>
      <c r="F69" s="44">
        <v>5466.7</v>
      </c>
      <c r="G69" s="44">
        <v>5510.4</v>
      </c>
      <c r="H69" s="44">
        <v>5554.4</v>
      </c>
      <c r="I69" s="44">
        <v>5598.6</v>
      </c>
      <c r="J69" s="44">
        <v>5643.4</v>
      </c>
      <c r="K69" s="44">
        <v>5688.8</v>
      </c>
      <c r="L69" s="44">
        <v>5735</v>
      </c>
      <c r="M69" s="44">
        <v>5782.3</v>
      </c>
      <c r="N69" s="44">
        <v>5830.7</v>
      </c>
      <c r="O69" s="44">
        <v>5881</v>
      </c>
      <c r="P69" s="44">
        <v>5931.9</v>
      </c>
      <c r="Q69" s="44">
        <v>5984</v>
      </c>
      <c r="R69" s="44">
        <v>6036.8</v>
      </c>
      <c r="S69" s="44">
        <v>6090.3</v>
      </c>
      <c r="T69" s="44">
        <v>6143.2</v>
      </c>
      <c r="U69" s="44">
        <v>6195.5</v>
      </c>
      <c r="V69" s="44">
        <v>6246.5</v>
      </c>
      <c r="W69" s="44">
        <v>6296.5</v>
      </c>
      <c r="X69" s="44">
        <v>6346</v>
      </c>
      <c r="Y69" s="44">
        <v>6395.4</v>
      </c>
      <c r="Z69" s="44">
        <v>6444.4</v>
      </c>
      <c r="AA69" s="44">
        <v>6493.9</v>
      </c>
      <c r="AB69" s="44">
        <v>6544.9</v>
      </c>
      <c r="AC69" s="44">
        <v>6596.5</v>
      </c>
      <c r="AD69" s="44">
        <v>6649.9</v>
      </c>
      <c r="AE69" s="44">
        <v>6704.6</v>
      </c>
      <c r="AF69" s="44">
        <v>6760.1</v>
      </c>
      <c r="AG69" s="44">
        <v>6817.1</v>
      </c>
      <c r="AH69" s="44">
        <v>6875.6</v>
      </c>
      <c r="AI69" s="44">
        <v>6935.2</v>
      </c>
      <c r="AJ69" s="44">
        <v>6996.5</v>
      </c>
      <c r="AK69" s="44">
        <v>7059</v>
      </c>
      <c r="AL69" s="44">
        <v>7123.3</v>
      </c>
      <c r="AM69" s="44">
        <v>7185.3</v>
      </c>
      <c r="AN69" s="44">
        <v>7243.8</v>
      </c>
      <c r="AO69" s="44">
        <v>7298</v>
      </c>
      <c r="AP69" s="44">
        <v>7346.7</v>
      </c>
      <c r="AQ69" s="44">
        <v>7389.9</v>
      </c>
      <c r="AR69" s="44">
        <v>7426.8</v>
      </c>
      <c r="AS69" s="44">
        <v>7465.3</v>
      </c>
      <c r="AT69" s="44">
        <v>7508.1</v>
      </c>
      <c r="AU69" s="44">
        <v>7554</v>
      </c>
      <c r="AV69" s="44">
        <v>7602.7</v>
      </c>
      <c r="AW69" s="44">
        <v>7654.4</v>
      </c>
      <c r="AX69" s="44">
        <v>7708.3</v>
      </c>
      <c r="AY69" s="44">
        <v>7763.6</v>
      </c>
      <c r="AZ69" s="44">
        <v>7820.2</v>
      </c>
      <c r="BA69" s="44">
        <v>7878.2</v>
      </c>
      <c r="BB69" s="44">
        <v>7935.9</v>
      </c>
      <c r="BC69" s="44">
        <v>7994.9</v>
      </c>
      <c r="BD69" s="44">
        <v>8055.4</v>
      </c>
      <c r="BE69" s="44">
        <v>8118.4</v>
      </c>
      <c r="BF69" s="44">
        <v>8184.1</v>
      </c>
      <c r="BG69" s="44">
        <v>8252.4</v>
      </c>
      <c r="BH69" s="44">
        <v>8322.4</v>
      </c>
      <c r="BI69" s="44">
        <v>8393.7999999999993</v>
      </c>
      <c r="BJ69" s="44">
        <v>8466.1</v>
      </c>
      <c r="BK69" s="44">
        <v>8538.9</v>
      </c>
      <c r="BL69" s="44">
        <v>8611.9</v>
      </c>
      <c r="BM69" s="44">
        <v>8685</v>
      </c>
      <c r="BN69" s="44">
        <v>8757.9</v>
      </c>
      <c r="BO69" s="44">
        <v>8830.6</v>
      </c>
      <c r="BP69" s="44">
        <v>8903.4</v>
      </c>
      <c r="BQ69" s="44">
        <v>8976.1</v>
      </c>
      <c r="BR69" s="44">
        <v>9048.7000000000007</v>
      </c>
      <c r="BS69" s="44">
        <v>9120.5</v>
      </c>
      <c r="BT69" s="44">
        <v>9191.5</v>
      </c>
      <c r="BU69" s="44">
        <v>9262.6</v>
      </c>
      <c r="BV69" s="44">
        <v>9332.9</v>
      </c>
      <c r="BW69" s="44">
        <v>9402.9</v>
      </c>
      <c r="BX69" s="44">
        <v>9472.4</v>
      </c>
      <c r="BY69" s="44">
        <v>9541.7000000000007</v>
      </c>
      <c r="BZ69" s="44">
        <v>9610.9</v>
      </c>
      <c r="CA69" s="44">
        <v>9679.7999999999993</v>
      </c>
      <c r="CB69" s="44">
        <v>9748.5</v>
      </c>
      <c r="CC69" s="44">
        <v>9817.1</v>
      </c>
      <c r="CD69" s="44">
        <v>9885.5</v>
      </c>
      <c r="CE69" s="44">
        <v>9953.5</v>
      </c>
      <c r="CF69" s="44">
        <v>10020.6</v>
      </c>
      <c r="CG69" s="44">
        <v>10086.700000000001</v>
      </c>
      <c r="CH69" s="44">
        <v>10152.200000000001</v>
      </c>
      <c r="CI69" s="44">
        <v>10216.9</v>
      </c>
      <c r="CJ69" s="44">
        <v>10281.6</v>
      </c>
      <c r="CK69" s="44">
        <v>10347.4</v>
      </c>
      <c r="CL69" s="44">
        <v>10414.200000000001</v>
      </c>
      <c r="CM69" s="44">
        <v>10482.200000000001</v>
      </c>
      <c r="CN69" s="44">
        <v>10551.8</v>
      </c>
      <c r="CO69" s="44">
        <v>10622.6</v>
      </c>
      <c r="CP69" s="44">
        <v>10695.5</v>
      </c>
      <c r="CQ69" s="44">
        <v>10769.6</v>
      </c>
      <c r="CR69" s="44">
        <v>10844.6</v>
      </c>
      <c r="CS69" s="44">
        <v>10921</v>
      </c>
      <c r="CT69" s="44">
        <v>10998.7</v>
      </c>
      <c r="CU69" s="44">
        <v>11076.9</v>
      </c>
      <c r="CV69" s="44">
        <v>11156.4</v>
      </c>
      <c r="CW69" s="44">
        <v>11237.1</v>
      </c>
      <c r="CX69" s="44">
        <v>11318.7</v>
      </c>
      <c r="CY69" s="44">
        <v>11401.5</v>
      </c>
      <c r="CZ69" s="44">
        <v>11485.1</v>
      </c>
      <c r="DA69" s="44">
        <v>11570.7</v>
      </c>
      <c r="DB69" s="44">
        <v>11658.2</v>
      </c>
      <c r="DC69" s="44">
        <v>11750.8</v>
      </c>
      <c r="DD69" s="44">
        <v>11849.5</v>
      </c>
      <c r="DE69" s="44">
        <v>11954.1</v>
      </c>
      <c r="DF69" s="44">
        <v>12064.1</v>
      </c>
      <c r="DG69" s="44">
        <v>12178.4</v>
      </c>
      <c r="DH69" s="44">
        <v>12297.6</v>
      </c>
      <c r="DI69" s="44">
        <v>12420.6</v>
      </c>
      <c r="DJ69" s="44">
        <v>12547.2</v>
      </c>
      <c r="DK69" s="44">
        <v>12677.5</v>
      </c>
      <c r="DL69" s="44">
        <v>12810</v>
      </c>
      <c r="DM69" s="44">
        <v>12945.3</v>
      </c>
      <c r="DN69" s="44">
        <v>13083.5</v>
      </c>
      <c r="DO69" s="44">
        <v>13222.9</v>
      </c>
      <c r="DP69" s="44">
        <v>13363.4</v>
      </c>
      <c r="DQ69" s="44">
        <v>13505.5</v>
      </c>
      <c r="DR69" s="44">
        <v>13648.6</v>
      </c>
      <c r="DS69" s="44">
        <v>13788.7</v>
      </c>
      <c r="DT69" s="44">
        <v>13923.9</v>
      </c>
      <c r="DU69" s="44">
        <v>14053.4</v>
      </c>
      <c r="DV69" s="44">
        <v>14177</v>
      </c>
      <c r="DW69" s="44">
        <v>14293.3</v>
      </c>
      <c r="DX69" s="44">
        <v>14401.4</v>
      </c>
      <c r="DY69" s="44">
        <v>14502.4</v>
      </c>
      <c r="DZ69" s="44">
        <v>14597</v>
      </c>
      <c r="EA69" s="44">
        <v>14687.1</v>
      </c>
      <c r="EB69" s="44">
        <v>14774.6</v>
      </c>
      <c r="EC69" s="44">
        <v>14860.7</v>
      </c>
      <c r="ED69" s="44">
        <v>14947.2</v>
      </c>
      <c r="EE69" s="44">
        <v>15035.1</v>
      </c>
      <c r="EF69" s="44">
        <v>15124.2</v>
      </c>
      <c r="EG69" s="44">
        <v>15215.9</v>
      </c>
      <c r="EH69" s="44">
        <v>15310.6</v>
      </c>
      <c r="EI69" s="44">
        <v>15407.3</v>
      </c>
      <c r="EJ69" s="44">
        <v>15506.4</v>
      </c>
      <c r="EK69" s="44">
        <v>15607.4</v>
      </c>
      <c r="EL69" s="44">
        <v>15707.3</v>
      </c>
      <c r="EM69" s="44">
        <v>15805.2</v>
      </c>
      <c r="EN69" s="44">
        <v>15902.2</v>
      </c>
      <c r="EO69" s="44">
        <v>15997.9</v>
      </c>
      <c r="EP69" s="44">
        <v>16091.6</v>
      </c>
      <c r="EQ69" s="44">
        <v>16183.2</v>
      </c>
      <c r="ER69" s="44">
        <v>16270.8</v>
      </c>
      <c r="ES69" s="44">
        <v>16354.5</v>
      </c>
      <c r="ET69" s="44">
        <v>16438.599999999999</v>
      </c>
      <c r="EU69" s="44">
        <v>16523.099999999999</v>
      </c>
      <c r="EV69" s="44">
        <v>16608</v>
      </c>
      <c r="EW69" s="44">
        <v>16691.7</v>
      </c>
      <c r="EX69" s="44">
        <v>16774.8</v>
      </c>
      <c r="EY69" s="44">
        <v>16854.400000000001</v>
      </c>
      <c r="EZ69" s="44">
        <v>16929.8</v>
      </c>
      <c r="FA69" s="44">
        <v>16999.900000000001</v>
      </c>
      <c r="FB69" s="44">
        <v>17063.8</v>
      </c>
      <c r="FC69" s="44">
        <v>17122.7</v>
      </c>
      <c r="FD69" s="44">
        <v>17177.400000000001</v>
      </c>
      <c r="FE69" s="44">
        <v>17230.3</v>
      </c>
      <c r="FF69" s="44">
        <v>17284.099999999999</v>
      </c>
      <c r="FG69" s="44">
        <v>17339.5</v>
      </c>
      <c r="FH69" s="44">
        <v>17398.2</v>
      </c>
      <c r="FI69" s="44">
        <v>17459.7</v>
      </c>
      <c r="FJ69" s="44">
        <v>17523.900000000001</v>
      </c>
      <c r="FK69" s="44">
        <v>17590.099999999999</v>
      </c>
      <c r="FL69" s="44">
        <v>17658.099999999999</v>
      </c>
      <c r="FM69" s="44">
        <v>17728.8</v>
      </c>
      <c r="FN69" s="44">
        <v>17802.099999999999</v>
      </c>
      <c r="FO69" s="44">
        <v>17877.5</v>
      </c>
      <c r="FP69" s="44">
        <v>17954.2</v>
      </c>
      <c r="FQ69" s="44">
        <v>18032.3</v>
      </c>
      <c r="FR69" s="44">
        <v>18112.8</v>
      </c>
      <c r="FS69" s="44">
        <v>18194.5</v>
      </c>
      <c r="FT69" s="44">
        <v>18277.099999999999</v>
      </c>
      <c r="FU69" s="44">
        <v>18361.599999999999</v>
      </c>
      <c r="FV69" s="44">
        <v>18448.099999999999</v>
      </c>
      <c r="FW69" s="44">
        <v>18535.900000000001</v>
      </c>
      <c r="FX69" s="44">
        <v>18626</v>
      </c>
      <c r="FY69" s="44">
        <v>18718</v>
      </c>
      <c r="FZ69" s="44">
        <v>18811.8</v>
      </c>
      <c r="GA69" s="44">
        <v>18907</v>
      </c>
      <c r="GB69" s="44">
        <v>19003</v>
      </c>
      <c r="GC69" s="44">
        <v>19100.099999999999</v>
      </c>
      <c r="GD69" s="44">
        <v>19198.3</v>
      </c>
      <c r="GE69" s="44">
        <v>19296.5</v>
      </c>
      <c r="GF69" s="44">
        <v>19394.2</v>
      </c>
      <c r="GG69" s="44">
        <v>19491.400000000001</v>
      </c>
      <c r="GH69" s="44">
        <v>19588.599999999999</v>
      </c>
      <c r="GI69" s="44">
        <v>19685.900000000001</v>
      </c>
      <c r="GJ69" s="44">
        <v>19783.8</v>
      </c>
      <c r="GK69" s="44">
        <v>19882.7</v>
      </c>
      <c r="GL69" s="44">
        <v>19983.3</v>
      </c>
      <c r="GM69" s="44">
        <v>20085.8</v>
      </c>
      <c r="GN69" s="44">
        <v>20189.2</v>
      </c>
      <c r="GO69" s="44">
        <v>20294.400000000001</v>
      </c>
      <c r="GP69" s="44">
        <v>20401.8</v>
      </c>
      <c r="GQ69" s="44">
        <v>20509.7</v>
      </c>
      <c r="GR69" s="44">
        <v>20617.7</v>
      </c>
      <c r="GS69" s="44">
        <v>20722.8</v>
      </c>
      <c r="GT69" s="44">
        <v>20825.900000000001</v>
      </c>
      <c r="GU69" s="44">
        <v>20925.900000000001</v>
      </c>
      <c r="GV69" s="44">
        <v>21020.5</v>
      </c>
      <c r="GW69" s="44">
        <v>21116.6</v>
      </c>
      <c r="GX69" s="44">
        <v>21216.9</v>
      </c>
      <c r="GY69" s="44">
        <v>21322.3</v>
      </c>
      <c r="GZ69" s="44">
        <v>21435.3</v>
      </c>
      <c r="HA69" s="44">
        <v>21554</v>
      </c>
      <c r="HB69" s="44">
        <v>21678.7</v>
      </c>
      <c r="HC69" s="1555">
        <v>21809</v>
      </c>
      <c r="HD69" s="1555">
        <v>21944.7</v>
      </c>
      <c r="HE69" s="1555">
        <v>22084.799999999999</v>
      </c>
      <c r="HF69" s="1555">
        <v>22229.5</v>
      </c>
      <c r="HG69" s="1555">
        <v>22377.9</v>
      </c>
      <c r="HH69" s="1555">
        <v>22527.599999999999</v>
      </c>
      <c r="HI69" s="1555">
        <v>22678.2</v>
      </c>
      <c r="HJ69" s="1555">
        <v>22828.9</v>
      </c>
      <c r="HK69" s="1555">
        <v>22979</v>
      </c>
      <c r="HL69" s="1555">
        <v>23126.9</v>
      </c>
      <c r="HM69" s="1555">
        <v>23271.5</v>
      </c>
      <c r="HN69" s="1555">
        <v>23414.7</v>
      </c>
      <c r="HO69" s="1555">
        <v>23548.5</v>
      </c>
      <c r="HP69" s="1555">
        <v>23680.2</v>
      </c>
      <c r="HQ69" s="1555">
        <v>23811.200000000001</v>
      </c>
    </row>
    <row r="70" spans="1:225" x14ac:dyDescent="0.35">
      <c r="A70" s="44" t="s">
        <v>2360</v>
      </c>
      <c r="B70" s="44">
        <v>1048.7</v>
      </c>
      <c r="C70" s="44">
        <v>1072.7</v>
      </c>
      <c r="D70" s="44">
        <v>1090.5999999999999</v>
      </c>
      <c r="E70" s="44">
        <v>1114</v>
      </c>
      <c r="F70" s="44">
        <v>1140</v>
      </c>
      <c r="G70" s="44">
        <v>1164.2</v>
      </c>
      <c r="H70" s="44">
        <v>1185.4000000000001</v>
      </c>
      <c r="I70" s="44">
        <v>1204.9000000000001</v>
      </c>
      <c r="J70" s="44">
        <v>1233</v>
      </c>
      <c r="K70" s="44">
        <v>1250.5999999999999</v>
      </c>
      <c r="L70" s="44">
        <v>1272.9000000000001</v>
      </c>
      <c r="M70" s="44">
        <v>1299.7</v>
      </c>
      <c r="N70" s="44">
        <v>1325.7</v>
      </c>
      <c r="O70" s="44">
        <v>1357.7</v>
      </c>
      <c r="P70" s="44">
        <v>1396</v>
      </c>
      <c r="Q70" s="44">
        <v>1436.4</v>
      </c>
      <c r="R70" s="44">
        <v>1476.4</v>
      </c>
      <c r="S70" s="44">
        <v>1524.7</v>
      </c>
      <c r="T70" s="44">
        <v>1583</v>
      </c>
      <c r="U70" s="44">
        <v>1643.5</v>
      </c>
      <c r="V70" s="44">
        <v>1694.6</v>
      </c>
      <c r="W70" s="44">
        <v>1733.7</v>
      </c>
      <c r="X70" s="44">
        <v>1778.1</v>
      </c>
      <c r="Y70" s="44">
        <v>1821.9</v>
      </c>
      <c r="Z70" s="44">
        <v>1855.3</v>
      </c>
      <c r="AA70" s="44">
        <v>1888.3</v>
      </c>
      <c r="AB70" s="44">
        <v>1927.8</v>
      </c>
      <c r="AC70" s="44">
        <v>1977.9</v>
      </c>
      <c r="AD70" s="44">
        <v>2025.8</v>
      </c>
      <c r="AE70" s="44">
        <v>2071.4</v>
      </c>
      <c r="AF70" s="44">
        <v>2114</v>
      </c>
      <c r="AG70" s="44">
        <v>2177.9</v>
      </c>
      <c r="AH70" s="44">
        <v>2228.5</v>
      </c>
      <c r="AI70" s="44">
        <v>2290.6999999999998</v>
      </c>
      <c r="AJ70" s="44">
        <v>2350.3000000000002</v>
      </c>
      <c r="AK70" s="44">
        <v>2419.6999999999998</v>
      </c>
      <c r="AL70" s="44">
        <v>2486.3000000000002</v>
      </c>
      <c r="AM70" s="44">
        <v>2569.3000000000002</v>
      </c>
      <c r="AN70" s="44">
        <v>2646.9</v>
      </c>
      <c r="AO70" s="44">
        <v>2716.3</v>
      </c>
      <c r="AP70" s="44">
        <v>2791.8</v>
      </c>
      <c r="AQ70" s="44">
        <v>2875</v>
      </c>
      <c r="AR70" s="44">
        <v>2954</v>
      </c>
      <c r="AS70" s="44">
        <v>3046.7</v>
      </c>
      <c r="AT70" s="44">
        <v>3144.8</v>
      </c>
      <c r="AU70" s="44">
        <v>3226.7</v>
      </c>
      <c r="AV70" s="44">
        <v>3308.6</v>
      </c>
      <c r="AW70" s="44">
        <v>3388.6</v>
      </c>
      <c r="AX70" s="44">
        <v>3459.5</v>
      </c>
      <c r="AY70" s="44">
        <v>3529.6</v>
      </c>
      <c r="AZ70" s="44">
        <v>3605.7</v>
      </c>
      <c r="BA70" s="44">
        <v>3670.2</v>
      </c>
      <c r="BB70" s="44">
        <v>3724.9</v>
      </c>
      <c r="BC70" s="44">
        <v>3780.4</v>
      </c>
      <c r="BD70" s="44">
        <v>3849.6</v>
      </c>
      <c r="BE70" s="44">
        <v>3909.1</v>
      </c>
      <c r="BF70" s="44">
        <v>3980.7</v>
      </c>
      <c r="BG70" s="44">
        <v>4048.2</v>
      </c>
      <c r="BH70" s="44">
        <v>4118.8999999999996</v>
      </c>
      <c r="BI70" s="44">
        <v>4185.3</v>
      </c>
      <c r="BJ70" s="44">
        <v>4263.1000000000004</v>
      </c>
      <c r="BK70" s="44">
        <v>4327.3999999999996</v>
      </c>
      <c r="BL70" s="44">
        <v>4390.7</v>
      </c>
      <c r="BM70" s="44">
        <v>4452.7</v>
      </c>
      <c r="BN70" s="44">
        <v>4512.3999999999996</v>
      </c>
      <c r="BO70" s="44">
        <v>4567.1000000000004</v>
      </c>
      <c r="BP70" s="44">
        <v>4623.7</v>
      </c>
      <c r="BQ70" s="44">
        <v>4686.8</v>
      </c>
      <c r="BR70" s="44">
        <v>4754.8999999999996</v>
      </c>
      <c r="BS70" s="44">
        <v>4825.8999999999996</v>
      </c>
      <c r="BT70" s="44">
        <v>4900.3</v>
      </c>
      <c r="BU70" s="44">
        <v>4977.5</v>
      </c>
      <c r="BV70" s="44">
        <v>5054.7</v>
      </c>
      <c r="BW70" s="44">
        <v>5142.1000000000004</v>
      </c>
      <c r="BX70" s="44">
        <v>5241.8999999999996</v>
      </c>
      <c r="BY70" s="44">
        <v>5326</v>
      </c>
      <c r="BZ70" s="44">
        <v>5420.6</v>
      </c>
      <c r="CA70" s="44">
        <v>5517.6</v>
      </c>
      <c r="CB70" s="44">
        <v>5597.4</v>
      </c>
      <c r="CC70" s="44">
        <v>5676.8</v>
      </c>
      <c r="CD70" s="44">
        <v>5778</v>
      </c>
      <c r="CE70" s="44">
        <v>5882.9</v>
      </c>
      <c r="CF70" s="44">
        <v>5973.4</v>
      </c>
      <c r="CG70" s="44">
        <v>6057.5</v>
      </c>
      <c r="CH70" s="44">
        <v>6156.7</v>
      </c>
      <c r="CI70" s="44">
        <v>6241.4</v>
      </c>
      <c r="CJ70" s="44">
        <v>6329.9</v>
      </c>
      <c r="CK70" s="44">
        <v>6408.2</v>
      </c>
      <c r="CL70" s="44">
        <v>6473.7</v>
      </c>
      <c r="CM70" s="44">
        <v>6555.1</v>
      </c>
      <c r="CN70" s="44">
        <v>6630.8</v>
      </c>
      <c r="CO70" s="44">
        <v>6721.3</v>
      </c>
      <c r="CP70" s="44">
        <v>6805.4</v>
      </c>
      <c r="CQ70" s="44">
        <v>6893.2</v>
      </c>
      <c r="CR70" s="44">
        <v>6982.6</v>
      </c>
      <c r="CS70" s="44">
        <v>7070</v>
      </c>
      <c r="CT70" s="44">
        <v>7154.5</v>
      </c>
      <c r="CU70" s="44">
        <v>7240.1</v>
      </c>
      <c r="CV70" s="44">
        <v>7333.9</v>
      </c>
      <c r="CW70" s="44">
        <v>7427</v>
      </c>
      <c r="CX70" s="44">
        <v>7521.5</v>
      </c>
      <c r="CY70" s="44">
        <v>7612.9</v>
      </c>
      <c r="CZ70" s="44">
        <v>7706.4</v>
      </c>
      <c r="DA70" s="44">
        <v>7801.4</v>
      </c>
      <c r="DB70" s="44">
        <v>7898.2</v>
      </c>
      <c r="DC70" s="44">
        <v>7993.8</v>
      </c>
      <c r="DD70" s="44">
        <v>8087.3</v>
      </c>
      <c r="DE70" s="44">
        <v>8202.4</v>
      </c>
      <c r="DF70" s="44">
        <v>8327.2000000000007</v>
      </c>
      <c r="DG70" s="44">
        <v>8422.7999999999993</v>
      </c>
      <c r="DH70" s="44">
        <v>8542.4</v>
      </c>
      <c r="DI70" s="44">
        <v>8656.6</v>
      </c>
      <c r="DJ70" s="44">
        <v>8757.2999999999993</v>
      </c>
      <c r="DK70" s="44">
        <v>8869.1</v>
      </c>
      <c r="DL70" s="44">
        <v>8999.7000000000007</v>
      </c>
      <c r="DM70" s="44">
        <v>9120.4</v>
      </c>
      <c r="DN70" s="44">
        <v>9247.6</v>
      </c>
      <c r="DO70" s="44">
        <v>9381.6</v>
      </c>
      <c r="DP70" s="44">
        <v>9514.7000000000007</v>
      </c>
      <c r="DQ70" s="44">
        <v>9669.2999999999993</v>
      </c>
      <c r="DR70" s="44">
        <v>9836.7999999999993</v>
      </c>
      <c r="DS70" s="44">
        <v>9999.5</v>
      </c>
      <c r="DT70" s="44">
        <v>10156.700000000001</v>
      </c>
      <c r="DU70" s="44">
        <v>10306.4</v>
      </c>
      <c r="DV70" s="44">
        <v>10465.700000000001</v>
      </c>
      <c r="DW70" s="44">
        <v>10615</v>
      </c>
      <c r="DX70" s="44">
        <v>10737.4</v>
      </c>
      <c r="DY70" s="44">
        <v>10846.6</v>
      </c>
      <c r="DZ70" s="44">
        <v>10951.7</v>
      </c>
      <c r="EA70" s="44">
        <v>11057.9</v>
      </c>
      <c r="EB70" s="44">
        <v>11176.9</v>
      </c>
      <c r="EC70" s="44">
        <v>11307.2</v>
      </c>
      <c r="ED70" s="44">
        <v>11428.8</v>
      </c>
      <c r="EE70" s="44">
        <v>11536.4</v>
      </c>
      <c r="EF70" s="44">
        <v>11671.2</v>
      </c>
      <c r="EG70" s="44">
        <v>11813.4</v>
      </c>
      <c r="EH70" s="44">
        <v>11971.8</v>
      </c>
      <c r="EI70" s="44">
        <v>12144.6</v>
      </c>
      <c r="EJ70" s="44">
        <v>12300.4</v>
      </c>
      <c r="EK70" s="44">
        <v>12476.4</v>
      </c>
      <c r="EL70" s="44">
        <v>12656.6</v>
      </c>
      <c r="EM70" s="44">
        <v>12827.2</v>
      </c>
      <c r="EN70" s="44">
        <v>13023.5</v>
      </c>
      <c r="EO70" s="44">
        <v>13209.6</v>
      </c>
      <c r="EP70" s="44">
        <v>13381.2</v>
      </c>
      <c r="EQ70" s="44">
        <v>13574.7</v>
      </c>
      <c r="ER70" s="44">
        <v>13743.6</v>
      </c>
      <c r="ES70" s="44">
        <v>13863.8</v>
      </c>
      <c r="ET70" s="44">
        <v>14067.6</v>
      </c>
      <c r="EU70" s="44">
        <v>14238.2</v>
      </c>
      <c r="EV70" s="44">
        <v>14389.5</v>
      </c>
      <c r="EW70" s="44">
        <v>14520.7</v>
      </c>
      <c r="EX70" s="44">
        <v>14646.9</v>
      </c>
      <c r="EY70" s="44">
        <v>14787.7</v>
      </c>
      <c r="EZ70" s="44">
        <v>14965.7</v>
      </c>
      <c r="FA70" s="44">
        <v>15064.1</v>
      </c>
      <c r="FB70" s="44">
        <v>15108.7</v>
      </c>
      <c r="FC70" s="44">
        <v>15135.7</v>
      </c>
      <c r="FD70" s="44">
        <v>15202.1</v>
      </c>
      <c r="FE70" s="44">
        <v>15297.1</v>
      </c>
      <c r="FF70" s="44">
        <v>15389.1</v>
      </c>
      <c r="FG70" s="44">
        <v>15513.7</v>
      </c>
      <c r="FH70" s="44">
        <v>15613.6</v>
      </c>
      <c r="FI70" s="44">
        <v>15759.7</v>
      </c>
      <c r="FJ70" s="44">
        <v>15898.7</v>
      </c>
      <c r="FK70" s="44">
        <v>16064.3</v>
      </c>
      <c r="FL70" s="44">
        <v>16223.6</v>
      </c>
      <c r="FM70" s="44">
        <v>16307.9</v>
      </c>
      <c r="FN70" s="44">
        <v>16471.400000000001</v>
      </c>
      <c r="FO70" s="44">
        <v>16609.400000000001</v>
      </c>
      <c r="FP70" s="44">
        <v>16772.099999999999</v>
      </c>
      <c r="FQ70" s="44">
        <v>16929.599999999999</v>
      </c>
      <c r="FR70" s="44">
        <v>17072.7</v>
      </c>
      <c r="FS70" s="44">
        <v>17186.599999999999</v>
      </c>
      <c r="FT70" s="44">
        <v>17349.2</v>
      </c>
      <c r="FU70" s="44">
        <v>17521.7</v>
      </c>
      <c r="FV70" s="44">
        <v>17671</v>
      </c>
      <c r="FW70" s="44">
        <v>17855.7</v>
      </c>
      <c r="FX70" s="44">
        <v>18016.2</v>
      </c>
      <c r="FY70" s="44">
        <v>18123.2</v>
      </c>
      <c r="FZ70" s="44">
        <v>18204</v>
      </c>
      <c r="GA70" s="44">
        <v>18401.2</v>
      </c>
      <c r="GB70" s="44">
        <v>18543.7</v>
      </c>
      <c r="GC70" s="44">
        <v>18638</v>
      </c>
      <c r="GD70" s="44">
        <v>18717.5</v>
      </c>
      <c r="GE70" s="44">
        <v>18941.2</v>
      </c>
      <c r="GF70" s="44">
        <v>19085.8</v>
      </c>
      <c r="GG70" s="44">
        <v>19274.3</v>
      </c>
      <c r="GH70" s="44">
        <v>19469.3</v>
      </c>
      <c r="GI70" s="44">
        <v>19616.900000000001</v>
      </c>
      <c r="GJ70" s="44">
        <v>19815.8</v>
      </c>
      <c r="GK70" s="44">
        <v>20037.400000000001</v>
      </c>
      <c r="GL70" s="44">
        <v>20266.900000000001</v>
      </c>
      <c r="GM70" s="44">
        <v>20514.8</v>
      </c>
      <c r="GN70" s="44">
        <v>20709.5</v>
      </c>
      <c r="GO70" s="44">
        <v>20907</v>
      </c>
      <c r="GP70" s="44">
        <v>21080.799999999999</v>
      </c>
      <c r="GQ70" s="44">
        <v>21301.7</v>
      </c>
      <c r="GR70" s="44">
        <v>21482.1</v>
      </c>
      <c r="GS70" s="44">
        <v>21658.799999999999</v>
      </c>
      <c r="GT70" s="44">
        <v>21873.8</v>
      </c>
      <c r="GU70" s="44">
        <v>21891.4</v>
      </c>
      <c r="GV70" s="44">
        <v>22191.8</v>
      </c>
      <c r="GW70" s="44">
        <v>22432.1</v>
      </c>
      <c r="GX70" s="44">
        <v>22825.7</v>
      </c>
      <c r="GY70" s="44">
        <v>23296.3</v>
      </c>
      <c r="GZ70" s="44">
        <v>23779.9</v>
      </c>
      <c r="HA70" s="44">
        <v>24323.1</v>
      </c>
      <c r="HB70" s="44">
        <v>24957.9</v>
      </c>
      <c r="HC70">
        <v>25675.3</v>
      </c>
      <c r="HD70">
        <v>26121</v>
      </c>
      <c r="HE70">
        <v>26538</v>
      </c>
      <c r="HF70">
        <v>26961.599999999999</v>
      </c>
      <c r="HG70">
        <v>27283.1</v>
      </c>
      <c r="HH70">
        <v>27689.599999999999</v>
      </c>
      <c r="HI70">
        <v>27985.8</v>
      </c>
      <c r="HJ70">
        <v>28393.3</v>
      </c>
      <c r="HK70">
        <v>28762.2</v>
      </c>
      <c r="HL70">
        <v>29069.599999999999</v>
      </c>
      <c r="HM70">
        <v>29426.9</v>
      </c>
      <c r="HN70">
        <v>29871.7</v>
      </c>
      <c r="HO70">
        <v>30200.400000000001</v>
      </c>
      <c r="HP70">
        <v>30600.799999999999</v>
      </c>
      <c r="HQ70">
        <v>31029.599999999999</v>
      </c>
    </row>
    <row r="71" spans="1:225" x14ac:dyDescent="0.35">
      <c r="A71" s="44" t="s">
        <v>2361</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c r="HQ71">
        <v>-1</v>
      </c>
    </row>
    <row r="72" spans="1:225" x14ac:dyDescent="0.35">
      <c r="A72" s="44" t="s">
        <v>2362</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5160.3333333333303</v>
      </c>
      <c r="GY72" s="44">
        <v>5185</v>
      </c>
      <c r="GZ72" s="44">
        <v>5156.6666666666697</v>
      </c>
      <c r="HA72" s="44">
        <v>5125.6666666666697</v>
      </c>
      <c r="HB72" s="44">
        <v>5070</v>
      </c>
      <c r="HC72">
        <v>5091.6666666666697</v>
      </c>
      <c r="HD72">
        <v>5143.3333333333303</v>
      </c>
      <c r="HE72">
        <v>5145.3333333333303</v>
      </c>
      <c r="HF72">
        <v>5216.3333333333303</v>
      </c>
      <c r="HG72">
        <v>5275</v>
      </c>
      <c r="HH72">
        <v>5318.3333333333303</v>
      </c>
      <c r="HI72">
        <v>5365.3333333333303</v>
      </c>
      <c r="HJ72">
        <v>5402</v>
      </c>
      <c r="HK72">
        <v>5421.3333333333303</v>
      </c>
      <c r="HL72">
        <v>5463.3333333333303</v>
      </c>
      <c r="HM72">
        <v>5503</v>
      </c>
      <c r="HN72">
        <v>5524.3333333333303</v>
      </c>
      <c r="HO72">
        <v>5517.6666666666697</v>
      </c>
      <c r="HP72">
        <v>5496</v>
      </c>
      <c r="HQ72">
        <v>5481.6666666666697</v>
      </c>
    </row>
    <row r="73" spans="1:225" x14ac:dyDescent="0.35">
      <c r="A73" s="44" t="s">
        <v>2363</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13735.333333333299</v>
      </c>
      <c r="GY73" s="44">
        <v>13877</v>
      </c>
      <c r="GZ73" s="44">
        <v>14046.666666666701</v>
      </c>
      <c r="HA73" s="44">
        <v>14036.333333333299</v>
      </c>
      <c r="HB73" s="44">
        <v>14094.666666666701</v>
      </c>
      <c r="HC73">
        <v>14160</v>
      </c>
      <c r="HD73">
        <v>14297</v>
      </c>
      <c r="HE73">
        <v>14326.666666666701</v>
      </c>
      <c r="HF73">
        <v>14431</v>
      </c>
      <c r="HG73">
        <v>14529</v>
      </c>
      <c r="HH73">
        <v>14636.666666666701</v>
      </c>
      <c r="HI73">
        <v>14714.666666666701</v>
      </c>
      <c r="HJ73">
        <v>14833.666666666701</v>
      </c>
      <c r="HK73">
        <v>14901.333333333299</v>
      </c>
      <c r="HL73">
        <v>14955</v>
      </c>
      <c r="HM73">
        <v>14993</v>
      </c>
      <c r="HN73">
        <v>15035.666666666701</v>
      </c>
      <c r="HO73">
        <v>15096.666666666701</v>
      </c>
      <c r="HP73">
        <v>15136.666666666701</v>
      </c>
      <c r="HQ73">
        <v>15148.666666666701</v>
      </c>
    </row>
    <row r="74" spans="1:225" x14ac:dyDescent="0.35">
      <c r="A74" s="44" t="s">
        <v>2364</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c r="HP74">
        <v>482320</v>
      </c>
    </row>
    <row r="75" spans="1:225" x14ac:dyDescent="0.35">
      <c r="A75" s="44" t="s">
        <v>2365</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9.2853912962125307E-3</v>
      </c>
      <c r="HQ75">
        <v>8.9064322516359002E-3</v>
      </c>
    </row>
    <row r="76" spans="1:225" x14ac:dyDescent="0.35">
      <c r="A76" s="44" t="s">
        <v>2366</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6.8736948680629996E-3</v>
      </c>
      <c r="HQ76">
        <v>7.2117084207301597E-3</v>
      </c>
    </row>
    <row r="77" spans="1:225" x14ac:dyDescent="0.35">
      <c r="A77" s="44" t="s">
        <v>2367</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1.0394059651516199E-2</v>
      </c>
      <c r="HQ77">
        <v>3.6975382986720998E-2</v>
      </c>
    </row>
    <row r="78" spans="1:225" x14ac:dyDescent="0.35">
      <c r="A78" s="44" t="s">
        <v>2368</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1.1559210774512401E-2</v>
      </c>
      <c r="HQ78">
        <v>6.0193783705162502E-3</v>
      </c>
    </row>
    <row r="79" spans="1:225" x14ac:dyDescent="0.35">
      <c r="A79" s="44" t="s">
        <v>2369</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1.23815962384255E-2</v>
      </c>
      <c r="HQ79">
        <v>4.7119908161199504E-3</v>
      </c>
    </row>
    <row r="80" spans="1:225" x14ac:dyDescent="0.35">
      <c r="A80" s="44" t="s">
        <v>2370</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8.1215901372344596E-3</v>
      </c>
      <c r="HQ80">
        <v>1.1453948750642901E-2</v>
      </c>
    </row>
    <row r="81" spans="1:225" x14ac:dyDescent="0.35">
      <c r="A81" s="44" t="s">
        <v>2371</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c r="HQ81">
        <v>13133.9</v>
      </c>
    </row>
    <row r="82" spans="1:225" x14ac:dyDescent="0.35">
      <c r="A82" s="44" t="s">
        <v>2372</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2117.6999999999998</v>
      </c>
      <c r="HQ82">
        <v>2112.1</v>
      </c>
    </row>
    <row r="83" spans="1:225" x14ac:dyDescent="0.35">
      <c r="A83" s="44" t="s">
        <v>2373</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1112.2</v>
      </c>
      <c r="HQ83">
        <v>1111.9000000000001</v>
      </c>
    </row>
    <row r="84" spans="1:225" x14ac:dyDescent="0.35">
      <c r="A84" s="44" t="s">
        <v>2374</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4220.1000000000004</v>
      </c>
      <c r="HQ84">
        <v>4238.3999999999996</v>
      </c>
    </row>
    <row r="85" spans="1:225" x14ac:dyDescent="0.35">
      <c r="A85" s="44" t="s">
        <v>2375</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3583.3</v>
      </c>
    </row>
    <row r="86" spans="1:225" x14ac:dyDescent="0.35">
      <c r="A86" s="44" t="s">
        <v>2376</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5" x14ac:dyDescent="0.35">
      <c r="A87" s="44" t="s">
        <v>2377</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5" ht="19.399999999999999" customHeight="1" x14ac:dyDescent="0.35">
      <c r="A88" s="44" t="s">
        <v>2378</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1575439</v>
      </c>
      <c r="HQ88">
        <v>1578207</v>
      </c>
    </row>
    <row r="89" spans="1:225" x14ac:dyDescent="0.35">
      <c r="A89" s="44" t="s">
        <v>2379</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5" x14ac:dyDescent="0.35">
      <c r="A90" s="44" t="s">
        <v>2380</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c r="HQ90">
        <v>364.3</v>
      </c>
    </row>
    <row r="91" spans="1:225" x14ac:dyDescent="0.35">
      <c r="A91" t="s">
        <v>2381</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c r="HQ91">
        <v>101.2</v>
      </c>
    </row>
    <row r="92" spans="1:225" x14ac:dyDescent="0.35">
      <c r="A92" t="s">
        <v>2382</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c r="HQ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
  <sheetViews>
    <sheetView workbookViewId="0">
      <pane xSplit="2" ySplit="1" topLeftCell="R2" activePane="bottomRight" state="frozen"/>
      <selection pane="topRight" activeCell="C1" sqref="C1"/>
      <selection pane="bottomLeft" activeCell="A2" sqref="A2"/>
      <selection pane="bottomRight" activeCell="B13" sqref="B13"/>
    </sheetView>
  </sheetViews>
  <sheetFormatPr defaultColWidth="10.90625" defaultRowHeight="14.5" x14ac:dyDescent="0.35"/>
  <cols>
    <col min="1" max="1" width="33" customWidth="1"/>
    <col min="2" max="2" width="42" customWidth="1"/>
    <col min="3" max="3" width="11.26953125" customWidth="1"/>
  </cols>
  <sheetData>
    <row r="1" spans="1:25" x14ac:dyDescent="0.35">
      <c r="A1" s="83" t="s">
        <v>166</v>
      </c>
      <c r="B1" s="83" t="s">
        <v>167</v>
      </c>
      <c r="C1" s="83" t="s">
        <v>1084</v>
      </c>
      <c r="D1" s="84" t="s">
        <v>235</v>
      </c>
      <c r="E1" s="84" t="s">
        <v>236</v>
      </c>
      <c r="F1" s="84" t="s">
        <v>1874</v>
      </c>
      <c r="G1" s="84" t="s">
        <v>238</v>
      </c>
      <c r="H1" s="84" t="s">
        <v>168</v>
      </c>
      <c r="I1" s="84" t="s">
        <v>169</v>
      </c>
      <c r="J1" s="84" t="s">
        <v>1875</v>
      </c>
      <c r="K1" s="84" t="s">
        <v>171</v>
      </c>
      <c r="L1" s="84" t="s">
        <v>172</v>
      </c>
      <c r="M1" s="84" t="s">
        <v>173</v>
      </c>
      <c r="N1" s="84" t="s">
        <v>1876</v>
      </c>
      <c r="O1" s="84" t="s">
        <v>175</v>
      </c>
      <c r="P1" s="84" t="s">
        <v>176</v>
      </c>
      <c r="Q1" s="84" t="s">
        <v>177</v>
      </c>
      <c r="R1" s="84" t="s">
        <v>1848</v>
      </c>
      <c r="S1" s="84" t="s">
        <v>179</v>
      </c>
      <c r="T1" s="84" t="s">
        <v>163</v>
      </c>
      <c r="U1" s="84" t="s">
        <v>164</v>
      </c>
      <c r="V1" s="84" t="s">
        <v>165</v>
      </c>
      <c r="W1" s="84" t="s">
        <v>728</v>
      </c>
      <c r="X1" s="84" t="s">
        <v>729</v>
      </c>
      <c r="Y1" s="84" t="s">
        <v>730</v>
      </c>
    </row>
    <row r="2" spans="1:25" ht="29.15" customHeight="1" x14ac:dyDescent="0.35">
      <c r="A2" s="24"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c r="Y2" s="80">
        <f>Grants!AF73</f>
        <v>409.71131879999996</v>
      </c>
    </row>
    <row r="3" spans="1:25" ht="29.15" customHeight="1" x14ac:dyDescent="0.35">
      <c r="A3" s="24" t="s">
        <v>755</v>
      </c>
      <c r="B3" t="s">
        <v>752</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Benefits'!AA33</f>
        <v>2181.299</v>
      </c>
      <c r="U3" s="80">
        <f>'Social Benefits'!AB33</f>
        <v>2212.0979999999995</v>
      </c>
      <c r="V3" s="80">
        <f>'Social Benefits'!AC33</f>
        <v>2312.7980000000002</v>
      </c>
      <c r="W3" s="80">
        <f>'Social Benefits'!AD33</f>
        <v>2409.6979999999999</v>
      </c>
      <c r="X3" s="80">
        <f>'Social Benefits'!AE33</f>
        <v>2371.8980000000001</v>
      </c>
      <c r="Y3" s="80">
        <f>'Social Benefits'!AF33</f>
        <v>2372.4390000000003</v>
      </c>
    </row>
    <row r="4" spans="1:25" ht="29.15" customHeight="1" x14ac:dyDescent="0.35">
      <c r="A4" s="24" t="s">
        <v>757</v>
      </c>
      <c r="B4" t="s">
        <v>753</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Benefits'!AA24</f>
        <v>4.2219999999999995</v>
      </c>
      <c r="U4" s="80">
        <f>'Social Benefits'!AB24</f>
        <v>2.3719999999999999</v>
      </c>
      <c r="V4" s="80">
        <f>'Social Benefits'!AC24</f>
        <v>2.3719999999999999</v>
      </c>
      <c r="W4" s="80">
        <f>'Social Benefits'!AD24</f>
        <v>2.3719999999999999</v>
      </c>
      <c r="X4" s="80">
        <f>'Social Benefits'!AE24</f>
        <v>2.3719999999999999</v>
      </c>
      <c r="Y4" s="80">
        <f>'Social Benefits'!AF24</f>
        <v>0.49</v>
      </c>
    </row>
    <row r="5" spans="1:25" x14ac:dyDescent="0.35">
      <c r="A5" s="24" t="s">
        <v>756</v>
      </c>
      <c r="B5" t="s">
        <v>754</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Benefits'!AA29</f>
        <v>1.4790000000000001</v>
      </c>
      <c r="U5" s="80">
        <f>'Social Benefits'!AB29</f>
        <v>1.63</v>
      </c>
      <c r="V5" s="80">
        <f>'Social Benefits'!AC29</f>
        <v>1.63</v>
      </c>
      <c r="W5" s="80">
        <f>'Social Benefits'!AD29</f>
        <v>1.63</v>
      </c>
      <c r="X5" s="80">
        <f>'Social Benefits'!AE29</f>
        <v>1.63</v>
      </c>
      <c r="Y5" s="80">
        <f>'Social Benefits'!AF29</f>
        <v>1.671</v>
      </c>
    </row>
    <row r="6" spans="1:25" x14ac:dyDescent="0.35">
      <c r="A6" s="44" t="s">
        <v>189</v>
      </c>
      <c r="B6" s="44" t="s">
        <v>790</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Subsidies!AA46</f>
        <v>1.365</v>
      </c>
      <c r="U6" s="78">
        <f>Subsidies!AB46</f>
        <v>-0.90100000000000025</v>
      </c>
      <c r="V6" s="78">
        <f>Subsidies!AC46</f>
        <v>-0.90100000000000025</v>
      </c>
      <c r="W6" s="78">
        <f>Subsidies!AD46</f>
        <v>-0.90100000000000025</v>
      </c>
      <c r="X6" s="78">
        <f>Subsidies!AE46</f>
        <v>-0.90100000000000025</v>
      </c>
      <c r="Y6" s="78">
        <f>Subsidies!AF46</f>
        <v>-2.1500000000000004</v>
      </c>
    </row>
    <row r="7" spans="1:25" ht="29.15" customHeight="1" x14ac:dyDescent="0.35">
      <c r="A7" s="24" t="s">
        <v>823</v>
      </c>
      <c r="B7" t="s">
        <v>821</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c r="Y7" s="80" t="e">
        <f>Taxes!#REF!</f>
        <v>#REF!</v>
      </c>
    </row>
    <row r="8" spans="1:25" x14ac:dyDescent="0.35">
      <c r="A8" t="s">
        <v>824</v>
      </c>
      <c r="B8" t="s">
        <v>822</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c r="Y8" s="79" t="e">
        <f>forecast!#REF!</f>
        <v>#REF!</v>
      </c>
    </row>
    <row r="9" spans="1:25" x14ac:dyDescent="0.35">
      <c r="A9" s="24" t="s">
        <v>874</v>
      </c>
      <c r="B9" t="s">
        <v>875</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c r="Y9" s="80">
        <f>Grants!AF94</f>
        <v>75.19614285714286</v>
      </c>
    </row>
    <row r="10" spans="1:25" x14ac:dyDescent="0.35">
      <c r="A10" t="s">
        <v>1827</v>
      </c>
      <c r="B10" t="s">
        <v>1828</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79.752836528915708</v>
      </c>
      <c r="U10" s="80">
        <f>'Supply Side IRA'!AB14</f>
        <v>71.302302508947946</v>
      </c>
      <c r="V10" s="76">
        <f>'Supply Side IRA'!AC14</f>
        <v>64.005358868279401</v>
      </c>
      <c r="W10" s="76">
        <f>'Supply Side IRA'!AD14</f>
        <v>80.473541986575796</v>
      </c>
      <c r="X10" s="76">
        <f>'Supply Side IRA'!AE14</f>
        <v>98.524631049651035</v>
      </c>
      <c r="Y10" s="76">
        <f>'Supply Side IRA'!AF14</f>
        <v>110.46937591911095</v>
      </c>
    </row>
    <row r="11" spans="1:25" x14ac:dyDescent="0.35">
      <c r="A11" s="24" t="s">
        <v>1831</v>
      </c>
      <c r="B11" t="s">
        <v>1832</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-8.3069939999999995</v>
      </c>
      <c r="Y11" s="79">
        <f>'Student loans'!AF12</f>
        <v>-8.2824600000000004</v>
      </c>
    </row>
    <row r="12" spans="1:25" x14ac:dyDescent="0.35">
      <c r="A12" t="s">
        <v>2007</v>
      </c>
      <c r="B12" t="s">
        <v>2006</v>
      </c>
      <c r="C12">
        <v>0</v>
      </c>
      <c r="D12">
        <v>0</v>
      </c>
      <c r="E12">
        <v>0</v>
      </c>
      <c r="F12">
        <v>0</v>
      </c>
      <c r="G12">
        <v>0</v>
      </c>
      <c r="H12">
        <v>0</v>
      </c>
      <c r="I12">
        <v>0</v>
      </c>
      <c r="J12">
        <v>0</v>
      </c>
      <c r="K12">
        <v>0</v>
      </c>
      <c r="L12">
        <v>0</v>
      </c>
      <c r="M12">
        <v>0</v>
      </c>
      <c r="N12">
        <v>0</v>
      </c>
      <c r="O12">
        <v>0</v>
      </c>
      <c r="P12">
        <v>0</v>
      </c>
      <c r="Q12">
        <v>0</v>
      </c>
      <c r="R12">
        <v>0</v>
      </c>
      <c r="S12">
        <v>0</v>
      </c>
      <c r="T12">
        <v>0</v>
      </c>
      <c r="U12">
        <v>0</v>
      </c>
      <c r="V12" s="77">
        <f>Uncertainty!X10</f>
        <v>0</v>
      </c>
      <c r="W12" s="77">
        <f>Uncertainty!Y10</f>
        <v>-0.2</v>
      </c>
      <c r="X12" s="77">
        <f>Uncertainty!Z10</f>
        <v>0</v>
      </c>
      <c r="Y12" s="77">
        <f>Uncertainty!AA10</f>
        <v>0</v>
      </c>
    </row>
    <row r="16" spans="1:25" x14ac:dyDescent="0.35">
      <c r="T16" s="44"/>
      <c r="U16" s="44"/>
      <c r="V16" s="44"/>
      <c r="W16" s="44"/>
    </row>
    <row r="17" spans="20:23" x14ac:dyDescent="0.35">
      <c r="T17" s="44"/>
      <c r="U17" s="44"/>
      <c r="V17" s="44"/>
      <c r="W17" s="44"/>
    </row>
    <row r="18" spans="20:23" x14ac:dyDescent="0.35">
      <c r="T18" s="44"/>
      <c r="U18" s="44"/>
      <c r="V18" s="44"/>
      <c r="W18" s="44"/>
    </row>
    <row r="19" spans="20:23" x14ac:dyDescent="0.35">
      <c r="T19" s="44"/>
      <c r="U19" s="44"/>
      <c r="V19" s="44"/>
      <c r="W19" s="44"/>
    </row>
    <row r="20" spans="20:23" x14ac:dyDescent="0.35">
      <c r="T20" s="44"/>
      <c r="U20" s="44"/>
      <c r="V20" s="44"/>
      <c r="W20" s="44"/>
    </row>
    <row r="21" spans="20:23" x14ac:dyDescent="0.35">
      <c r="T21" s="44"/>
      <c r="U21" s="44"/>
      <c r="V21" s="44"/>
      <c r="W21" s="44"/>
    </row>
    <row r="22" spans="20:23" x14ac:dyDescent="0.35">
      <c r="T22" s="44"/>
      <c r="U22" s="44"/>
      <c r="V22" s="44"/>
      <c r="W22" s="44"/>
    </row>
    <row r="23" spans="20:23" x14ac:dyDescent="0.35">
      <c r="T23" s="44"/>
      <c r="U23" s="44"/>
      <c r="V23" s="44"/>
      <c r="W23" s="44"/>
    </row>
    <row r="24" spans="20:23" x14ac:dyDescent="0.35">
      <c r="T24" s="44"/>
      <c r="U24" s="44"/>
      <c r="V24" s="44"/>
      <c r="W24" s="44"/>
    </row>
    <row r="25" spans="20:23" x14ac:dyDescent="0.35">
      <c r="T25" s="44"/>
      <c r="U25" s="44"/>
      <c r="V25" s="44"/>
      <c r="W25" s="44"/>
    </row>
    <row r="26" spans="20:23" x14ac:dyDescent="0.35">
      <c r="T26" s="44"/>
      <c r="U26" s="44"/>
      <c r="V26" s="44"/>
      <c r="W26" s="44"/>
    </row>
    <row r="27" spans="20:23" x14ac:dyDescent="0.35">
      <c r="T27" s="44"/>
      <c r="U27" s="44"/>
      <c r="V27" s="44"/>
      <c r="W27" s="44"/>
    </row>
    <row r="28" spans="20:23" x14ac:dyDescent="0.35">
      <c r="T28" s="44"/>
      <c r="U28" s="44"/>
      <c r="V28" s="44"/>
      <c r="W28" s="44"/>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Normal="100"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1849</v>
      </c>
      <c r="D1" s="87" t="s">
        <v>1109</v>
      </c>
      <c r="E1" s="87" t="s">
        <v>1110</v>
      </c>
      <c r="F1" s="87" t="s">
        <v>1111</v>
      </c>
      <c r="G1" s="87" t="s">
        <v>1112</v>
      </c>
      <c r="H1" s="87" t="s">
        <v>1113</v>
      </c>
      <c r="I1" s="87" t="s">
        <v>1114</v>
      </c>
      <c r="J1" s="87" t="s">
        <v>1115</v>
      </c>
    </row>
    <row r="2" spans="1:10" x14ac:dyDescent="0.35">
      <c r="A2" s="86" t="s">
        <v>1655</v>
      </c>
      <c r="B2" t="s">
        <v>1673</v>
      </c>
      <c r="C2" s="85">
        <f>Deflators!AG23</f>
        <v>7.3026069765698143E-3</v>
      </c>
      <c r="D2" s="85">
        <f>Deflators!AH23</f>
        <v>6.8745603775066666E-3</v>
      </c>
      <c r="E2" s="85">
        <f>Deflators!AI23</f>
        <v>6.5161489909537629E-3</v>
      </c>
      <c r="F2" s="85">
        <f>Deflators!AJ23</f>
        <v>6.0701856629450379E-3</v>
      </c>
      <c r="G2" s="85">
        <f>Deflators!AK23</f>
        <v>5.8759306644238229E-3</v>
      </c>
      <c r="H2" s="85">
        <f>Deflators!AL23</f>
        <v>5.7279612041538641E-3</v>
      </c>
      <c r="I2" s="85">
        <f>Deflators!AM23</f>
        <v>5.6111457923426755E-3</v>
      </c>
      <c r="J2" s="85">
        <f>Deflators!AN23</f>
        <v>5.5128816171030603E-3</v>
      </c>
    </row>
    <row r="3" spans="1:10" x14ac:dyDescent="0.35">
      <c r="A3" s="53" t="s">
        <v>1669</v>
      </c>
      <c r="B3" t="s">
        <v>1674</v>
      </c>
      <c r="C3" s="85">
        <f>Deflators!AG24</f>
        <v>-2.068819912006814E-2</v>
      </c>
      <c r="D3" s="85">
        <f>Deflators!AH24</f>
        <v>7.8275273760923803E-3</v>
      </c>
      <c r="E3" s="85">
        <f>Deflators!AI24</f>
        <v>8.3113526182154729E-3</v>
      </c>
      <c r="F3" s="85">
        <f>Deflators!AJ24</f>
        <v>5.1093947499121217E-3</v>
      </c>
      <c r="G3" s="85">
        <f>Deflators!AK24</f>
        <v>4.8514006124342757E-3</v>
      </c>
      <c r="H3" s="85">
        <f>Deflators!AL24</f>
        <v>3.8080799863930981E-3</v>
      </c>
      <c r="I3" s="85">
        <f>Deflators!AM24</f>
        <v>4.3915824141103066E-3</v>
      </c>
      <c r="J3" s="85">
        <f>Deflators!AN24</f>
        <v>4.6503550897758483E-3</v>
      </c>
    </row>
    <row r="4" spans="1:10" x14ac:dyDescent="0.35">
      <c r="A4" s="53" t="s">
        <v>1670</v>
      </c>
      <c r="B4" t="s">
        <v>1675</v>
      </c>
      <c r="C4" s="85">
        <f>Deflators!AG25</f>
        <v>8.2583792406523138E-3</v>
      </c>
      <c r="D4" s="85">
        <f>Deflators!AH25</f>
        <v>8.3692897941516353E-3</v>
      </c>
      <c r="E4" s="85">
        <f>Deflators!AI25</f>
        <v>8.3528243693560267E-3</v>
      </c>
      <c r="F4" s="85">
        <f>Deflators!AJ25</f>
        <v>8.0736566233197138E-3</v>
      </c>
      <c r="G4" s="85">
        <f>Deflators!AK25</f>
        <v>8.0878400401878103E-3</v>
      </c>
      <c r="H4" s="85">
        <f>Deflators!AL25</f>
        <v>7.8973333687597513E-3</v>
      </c>
      <c r="I4" s="85">
        <f>Deflators!AM25</f>
        <v>7.7089069678601962E-3</v>
      </c>
      <c r="J4" s="85">
        <f>Deflators!AN25</f>
        <v>7.5677897156734009E-3</v>
      </c>
    </row>
    <row r="5" spans="1:10" x14ac:dyDescent="0.35">
      <c r="A5" s="53" t="s">
        <v>1671</v>
      </c>
      <c r="B5" t="s">
        <v>1676</v>
      </c>
      <c r="C5" s="85">
        <f>Deflators!AG26</f>
        <v>8.2583792406523138E-3</v>
      </c>
      <c r="D5" s="85">
        <f>Deflators!AH26</f>
        <v>8.3692897941516353E-3</v>
      </c>
      <c r="E5" s="85">
        <f>Deflators!AI26</f>
        <v>8.3528243693560267E-3</v>
      </c>
      <c r="F5" s="85">
        <f>Deflators!AJ26</f>
        <v>8.0736566233197138E-3</v>
      </c>
      <c r="G5" s="85">
        <f>Deflators!AK26</f>
        <v>8.0878400401878103E-3</v>
      </c>
      <c r="H5" s="85">
        <f>Deflators!AL26</f>
        <v>7.8973333687597513E-3</v>
      </c>
      <c r="I5" s="85">
        <f>Deflators!AM26</f>
        <v>7.7089069678601962E-3</v>
      </c>
      <c r="J5" s="85">
        <f>Deflators!AN26</f>
        <v>7.5677897156734009E-3</v>
      </c>
    </row>
    <row r="6" spans="1:10" x14ac:dyDescent="0.35">
      <c r="A6" s="44" t="s">
        <v>1672</v>
      </c>
      <c r="B6" t="s">
        <v>1677</v>
      </c>
      <c r="C6" s="85">
        <f>Deflators!AG27</f>
        <v>8.2583792406523138E-3</v>
      </c>
      <c r="D6" s="85">
        <f>Deflators!AH27</f>
        <v>8.3692897941516353E-3</v>
      </c>
      <c r="E6" s="85">
        <f>Deflators!AI27</f>
        <v>8.3528243693560267E-3</v>
      </c>
      <c r="F6" s="85">
        <f>Deflators!AJ27</f>
        <v>8.0736566233197138E-3</v>
      </c>
      <c r="G6" s="85">
        <f>Deflators!AK27</f>
        <v>8.0878400401878103E-3</v>
      </c>
      <c r="H6" s="85">
        <f>Deflators!AL27</f>
        <v>7.8973333687597513E-3</v>
      </c>
      <c r="I6" s="85">
        <f>Deflators!AM27</f>
        <v>7.7089069678601962E-3</v>
      </c>
      <c r="J6" s="85">
        <f>Deflators!AN27</f>
        <v>7.5677897156734009E-3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37"/>
  <sheetViews>
    <sheetView zoomScaleNormal="100" workbookViewId="0">
      <selection activeCell="K28" sqref="K28"/>
    </sheetView>
  </sheetViews>
  <sheetFormatPr defaultColWidth="10.90625" defaultRowHeight="14.5" x14ac:dyDescent="0.35"/>
  <cols>
    <col min="2" max="2" width="39.453125" customWidth="1"/>
    <col min="3" max="3" width="20.1796875" customWidth="1"/>
  </cols>
  <sheetData>
    <row r="2" spans="2:12" x14ac:dyDescent="0.35">
      <c r="B2" s="1364" t="s">
        <v>2066</v>
      </c>
      <c r="C2" s="1364"/>
      <c r="D2" s="1364"/>
      <c r="E2" s="1364"/>
      <c r="F2" s="1364"/>
      <c r="G2" s="1364"/>
      <c r="H2" s="1364"/>
      <c r="I2" s="1364"/>
      <c r="J2" s="1364"/>
      <c r="K2" s="1364"/>
      <c r="L2" s="1364"/>
    </row>
    <row r="3" spans="2:12" x14ac:dyDescent="0.35">
      <c r="B3" t="str">
        <f>forecast!A1</f>
        <v>name</v>
      </c>
      <c r="C3" t="str">
        <f>forecast!B1</f>
        <v>variable</v>
      </c>
      <c r="D3" t="s">
        <v>730</v>
      </c>
      <c r="E3" t="s">
        <v>1108</v>
      </c>
      <c r="F3" t="s">
        <v>1109</v>
      </c>
      <c r="G3" t="s">
        <v>1110</v>
      </c>
      <c r="H3" t="s">
        <v>1111</v>
      </c>
      <c r="I3" t="s">
        <v>1112</v>
      </c>
      <c r="J3" t="s">
        <v>1113</v>
      </c>
      <c r="K3" t="s">
        <v>1114</v>
      </c>
      <c r="L3" t="s">
        <v>1115</v>
      </c>
    </row>
    <row r="4" spans="2:12" x14ac:dyDescent="0.35">
      <c r="B4" t="str">
        <f>forecast!A2</f>
        <v>Consumption Grants</v>
      </c>
      <c r="C4" t="str">
        <f>forecast!B2</f>
        <v>consumption_grants</v>
      </c>
      <c r="D4" s="94">
        <f>forecast!C2</f>
        <v>409.71131879999996</v>
      </c>
      <c r="E4" s="94">
        <f>forecast!D2</f>
        <v>412.46319788780909</v>
      </c>
      <c r="F4" s="94">
        <f>forecast!E2</f>
        <v>412.439192359044</v>
      </c>
      <c r="G4" s="94">
        <f>forecast!F2</f>
        <v>416.24556939260134</v>
      </c>
      <c r="H4" s="94">
        <f>forecast!G2</f>
        <v>418.07959879999999</v>
      </c>
      <c r="I4" s="94">
        <f>forecast!H2</f>
        <v>420.94155305132148</v>
      </c>
      <c r="J4" s="94">
        <f>forecast!I2</f>
        <v>423.8317073014058</v>
      </c>
      <c r="K4" s="94">
        <f>forecast!J2</f>
        <v>426.75033941630539</v>
      </c>
      <c r="L4" s="94">
        <f>forecast!K2</f>
        <v>429.69772999999998</v>
      </c>
    </row>
    <row r="5" spans="2:12" x14ac:dyDescent="0.35">
      <c r="B5" t="str">
        <f>forecast!A3</f>
        <v>Investment Grants</v>
      </c>
      <c r="C5" t="str">
        <f>forecast!B3</f>
        <v>investment_grants</v>
      </c>
      <c r="D5" s="94">
        <f>forecast!C3</f>
        <v>75.19614285714286</v>
      </c>
      <c r="E5" s="94">
        <f>forecast!D3</f>
        <v>75.19614285714286</v>
      </c>
      <c r="F5" s="94">
        <f>forecast!E3</f>
        <v>75.19614285714286</v>
      </c>
      <c r="G5" s="94">
        <f>forecast!F3</f>
        <v>75.19614285714286</v>
      </c>
      <c r="H5" s="94">
        <f>forecast!G3</f>
        <v>75.19614285714286</v>
      </c>
      <c r="I5" s="94">
        <f>forecast!H3</f>
        <v>75.19614285714286</v>
      </c>
      <c r="J5" s="94">
        <f>forecast!I3</f>
        <v>75.19614285714286</v>
      </c>
      <c r="K5" s="94">
        <f>forecast!J3</f>
        <v>75.19614285714286</v>
      </c>
      <c r="L5" s="94">
        <f>forecast!K3</f>
        <v>75.19614285714286</v>
      </c>
    </row>
    <row r="6" spans="2:12" x14ac:dyDescent="0.35">
      <c r="B6" t="s">
        <v>183</v>
      </c>
      <c r="C6" t="str">
        <f>forecast!B4</f>
        <v>federal_purchases</v>
      </c>
      <c r="D6" s="94">
        <f>forecast!C4</f>
        <v>1972</v>
      </c>
      <c r="E6" s="94">
        <f>forecast!D4</f>
        <v>2081.4984838079768</v>
      </c>
      <c r="F6" s="94">
        <f>forecast!E4</f>
        <v>2084.6110407412175</v>
      </c>
      <c r="G6" s="94">
        <f>forecast!F4</f>
        <v>2092.9132942420906</v>
      </c>
      <c r="H6" s="94">
        <f>forecast!G4</f>
        <v>2105.8628562712215</v>
      </c>
      <c r="I6" s="94">
        <f>forecast!H4</f>
        <v>2117.6666309812972</v>
      </c>
      <c r="J6" s="94">
        <f>forecast!I4</f>
        <v>2128.6249100188056</v>
      </c>
      <c r="K6" s="94">
        <f>forecast!J4</f>
        <v>2140.1846256950107</v>
      </c>
      <c r="L6" s="94">
        <f>forecast!K4</f>
        <v>2146.2158058654809</v>
      </c>
    </row>
    <row r="7" spans="2:12" x14ac:dyDescent="0.35">
      <c r="B7" t="s">
        <v>2060</v>
      </c>
      <c r="D7" s="94">
        <f>'Federal and State Purchases'!AF11</f>
        <v>1459.1870552863147</v>
      </c>
      <c r="E7" s="94">
        <f>'Federal and State Purchases'!AG11</f>
        <v>1572.7480982206268</v>
      </c>
      <c r="F7" s="94">
        <f>'Federal and State Purchases'!AH11</f>
        <v>1562.8665177023818</v>
      </c>
      <c r="G7" s="94">
        <f>'Federal and State Purchases'!AI11</f>
        <v>1556.1570808220954</v>
      </c>
      <c r="H7" s="94">
        <f>'Federal and State Purchases'!AJ11</f>
        <v>1557.8260027169263</v>
      </c>
      <c r="I7" s="94">
        <f>'Federal and State Purchases'!AK11</f>
        <v>1558.9946158439566</v>
      </c>
      <c r="J7" s="94">
        <f>'Federal and State Purchases'!AL11</f>
        <v>1561.1170788645013</v>
      </c>
      <c r="K7" s="94">
        <f>'Federal and State Purchases'!AM11</f>
        <v>1562.7320186647185</v>
      </c>
      <c r="L7" s="94">
        <f>'Federal and State Purchases'!AN11</f>
        <v>1559.8818949332706</v>
      </c>
    </row>
    <row r="8" spans="2:12" x14ac:dyDescent="0.35">
      <c r="B8" t="s">
        <v>185</v>
      </c>
      <c r="C8" t="str">
        <f>forecast!B5</f>
        <v>state_purchases</v>
      </c>
      <c r="D8" s="94">
        <f>forecast!C5</f>
        <v>3374.4</v>
      </c>
      <c r="E8" s="94">
        <f>forecast!D5</f>
        <v>3406.5593473855811</v>
      </c>
      <c r="F8" s="94">
        <f>forecast!E5</f>
        <v>3439.0748496505494</v>
      </c>
      <c r="G8" s="94">
        <f>forecast!F5</f>
        <v>3472.3435009738018</v>
      </c>
      <c r="H8" s="94">
        <f>forecast!G5</f>
        <v>3502.9953543942324</v>
      </c>
      <c r="I8" s="94">
        <f>forecast!H5</f>
        <v>3535.0005468995864</v>
      </c>
      <c r="J8" s="94">
        <f>forecast!I5</f>
        <v>3566.9283139717318</v>
      </c>
      <c r="K8" s="94">
        <f>forecast!J5</f>
        <v>3597.7200841612057</v>
      </c>
      <c r="L8" s="94">
        <f>forecast!K5</f>
        <v>3628.3831622589087</v>
      </c>
    </row>
    <row r="9" spans="2:12" x14ac:dyDescent="0.35">
      <c r="B9" t="s">
        <v>2061</v>
      </c>
      <c r="D9" s="94">
        <f>'Federal and State Purchases'!AF40</f>
        <v>2500.5297067726765</v>
      </c>
      <c r="E9" s="94">
        <f>'Federal and State Purchases'!AG40</f>
        <v>2503.6843547175017</v>
      </c>
      <c r="F9" s="94">
        <f>'Federal and State Purchases'!AH40</f>
        <v>2506.603452763582</v>
      </c>
      <c r="G9" s="94">
        <f>'Federal and State Purchases'!AI40</f>
        <v>2509.8869905361612</v>
      </c>
      <c r="H9" s="94">
        <f>'Federal and State Purchases'!AJ40</f>
        <v>2511.7637131152487</v>
      </c>
      <c r="I9" s="94">
        <f>'Federal and State Purchases'!AK40</f>
        <v>2514.3766204730523</v>
      </c>
      <c r="J9" s="94">
        <f>'Federal and State Purchases'!AL40</f>
        <v>2517.2069927848638</v>
      </c>
      <c r="K9" s="94">
        <f>'Federal and State Purchases'!AM40</f>
        <v>2519.5142656280768</v>
      </c>
      <c r="L9" s="94">
        <f>'Federal and State Purchases'!AN40</f>
        <v>2521.9026535334178</v>
      </c>
    </row>
    <row r="10" spans="2:12" x14ac:dyDescent="0.35">
      <c r="B10" t="str">
        <f>forecast!A6</f>
        <v>Non-ARP Subsidies + ARP Provider Relief and PPP</v>
      </c>
      <c r="C10" t="str">
        <f>forecast!B6</f>
        <v>federal_subsidies</v>
      </c>
      <c r="D10" s="94">
        <f>forecast!C6</f>
        <v>99.45</v>
      </c>
      <c r="E10" s="94">
        <f>forecast!D6</f>
        <v>107.3</v>
      </c>
      <c r="F10" s="94">
        <f>forecast!E6</f>
        <v>107.3</v>
      </c>
      <c r="G10" s="94">
        <f>forecast!F6</f>
        <v>107.3</v>
      </c>
      <c r="H10" s="94">
        <f>forecast!G6</f>
        <v>107.3</v>
      </c>
      <c r="I10" s="94">
        <f>forecast!H6</f>
        <v>107.3</v>
      </c>
      <c r="J10" s="94">
        <f>forecast!I6</f>
        <v>107.3</v>
      </c>
      <c r="K10" s="94">
        <f>forecast!J6</f>
        <v>107.3</v>
      </c>
      <c r="L10" s="94">
        <f>forecast!K6</f>
        <v>107.3</v>
      </c>
    </row>
    <row r="11" spans="2:12" x14ac:dyDescent="0.35">
      <c r="B11" t="str">
        <f>forecast!A7</f>
        <v>ARP Subsidies less Provider Relief and PPP</v>
      </c>
      <c r="C11" t="str">
        <f>forecast!B7</f>
        <v>federal_aid_to_small_businesses_arp</v>
      </c>
      <c r="D11" s="94">
        <f>forecast!C7</f>
        <v>-2.1500000000000004</v>
      </c>
      <c r="E11" s="94">
        <f>forecast!D7</f>
        <v>0</v>
      </c>
      <c r="F11" s="94">
        <f>forecast!E7</f>
        <v>0</v>
      </c>
      <c r="G11" s="94">
        <f>forecast!F7</f>
        <v>0</v>
      </c>
      <c r="H11" s="94">
        <f>forecast!G7</f>
        <v>0</v>
      </c>
      <c r="I11" s="94">
        <f>forecast!H7</f>
        <v>0</v>
      </c>
      <c r="J11" s="94">
        <f>forecast!I7</f>
        <v>0</v>
      </c>
      <c r="K11" s="94">
        <f>forecast!J7</f>
        <v>0</v>
      </c>
      <c r="L11" s="94">
        <f>forecast!K7</f>
        <v>0</v>
      </c>
    </row>
    <row r="12" spans="2:12" x14ac:dyDescent="0.35">
      <c r="B12" t="str">
        <f>forecast!A8</f>
        <v>Federal UI</v>
      </c>
      <c r="C12" t="str">
        <f>forecast!B8</f>
        <v>federal_ui</v>
      </c>
      <c r="D12" s="94">
        <f>forecast!C8</f>
        <v>2.5999999999999943</v>
      </c>
      <c r="E12" s="94">
        <f>forecast!D8</f>
        <v>0</v>
      </c>
      <c r="F12" s="94">
        <f>forecast!E8</f>
        <v>0</v>
      </c>
      <c r="G12" s="94">
        <f>forecast!F8</f>
        <v>0</v>
      </c>
      <c r="H12" s="94">
        <f>forecast!G8</f>
        <v>0</v>
      </c>
      <c r="I12" s="94">
        <f>forecast!H8</f>
        <v>0</v>
      </c>
      <c r="J12" s="94">
        <f>forecast!I8</f>
        <v>0</v>
      </c>
      <c r="K12" s="94">
        <f>forecast!J8</f>
        <v>0</v>
      </c>
      <c r="L12" s="94">
        <f>forecast!K8</f>
        <v>0</v>
      </c>
    </row>
    <row r="13" spans="2:12" x14ac:dyDescent="0.35">
      <c r="B13" t="str">
        <f>forecast!A9</f>
        <v>State UI</v>
      </c>
      <c r="C13" t="str">
        <f>forecast!B9</f>
        <v>state_ui</v>
      </c>
      <c r="D13" s="94">
        <f>forecast!C9</f>
        <v>35.700000000000003</v>
      </c>
      <c r="E13" s="94">
        <f>forecast!D9</f>
        <v>35.700000000000003</v>
      </c>
      <c r="F13" s="94">
        <f>forecast!E9</f>
        <v>35.700000000000003</v>
      </c>
      <c r="G13" s="94">
        <f>forecast!F9</f>
        <v>35.700000000000003</v>
      </c>
      <c r="H13" s="94">
        <f>forecast!G9</f>
        <v>35.700000000000003</v>
      </c>
      <c r="I13" s="94">
        <f>forecast!H9</f>
        <v>36.700000000000003</v>
      </c>
      <c r="J13" s="94">
        <f>forecast!I9</f>
        <v>37.700000000000003</v>
      </c>
      <c r="K13" s="94">
        <f>forecast!J9</f>
        <v>38.700000000000003</v>
      </c>
      <c r="L13" s="94">
        <f>forecast!K9</f>
        <v>39.700000000000003</v>
      </c>
    </row>
    <row r="14" spans="2:12" x14ac:dyDescent="0.35">
      <c r="B14" t="str">
        <f>forecast!A10</f>
        <v>Federal Medicaid</v>
      </c>
      <c r="C14" t="str">
        <f>forecast!B10</f>
        <v>medicaid_grants</v>
      </c>
      <c r="D14" s="94">
        <f>forecast!C10</f>
        <v>705.51799999999992</v>
      </c>
      <c r="E14" s="94">
        <f>forecast!D10</f>
        <v>709.15505560360305</v>
      </c>
      <c r="F14" s="94">
        <f>forecast!E10</f>
        <v>723.59527455193825</v>
      </c>
      <c r="G14" s="94">
        <f>forecast!F10</f>
        <v>738.01625444420506</v>
      </c>
      <c r="H14" s="94">
        <f>forecast!G10</f>
        <v>729.36284371386807</v>
      </c>
      <c r="I14" s="94">
        <f>forecast!H10</f>
        <v>732.71155875941372</v>
      </c>
      <c r="J14" s="94">
        <f>forecast!I10</f>
        <v>737.41400558680846</v>
      </c>
      <c r="K14" s="94">
        <f>forecast!J10</f>
        <v>742.50534901606557</v>
      </c>
      <c r="L14" s="94">
        <f>forecast!K10</f>
        <v>749.18991940498597</v>
      </c>
    </row>
    <row r="15" spans="2:12" x14ac:dyDescent="0.35">
      <c r="B15" t="str">
        <f>forecast!A11</f>
        <v>Total Medicaid</v>
      </c>
      <c r="C15" t="str">
        <f>forecast!B11</f>
        <v>medicaid</v>
      </c>
      <c r="D15" s="94">
        <f>forecast!C11</f>
        <v>1078.4000000000001</v>
      </c>
      <c r="E15" s="94">
        <f>forecast!D11</f>
        <v>1093.1629366212339</v>
      </c>
      <c r="F15" s="94">
        <f>forecast!E11</f>
        <v>1113.2648695925188</v>
      </c>
      <c r="G15" s="94">
        <f>forecast!F11</f>
        <v>1136.8283964919679</v>
      </c>
      <c r="H15" s="94">
        <f>forecast!G11</f>
        <v>1138.6910007857018</v>
      </c>
      <c r="I15" s="94">
        <f>forecast!H11</f>
        <v>1145.5730410275178</v>
      </c>
      <c r="J15" s="94">
        <f>forecast!I11</f>
        <v>1152.5268941483698</v>
      </c>
      <c r="K15" s="94">
        <f>forecast!J11</f>
        <v>1160.5533095030155</v>
      </c>
      <c r="L15" s="94">
        <f>forecast!K11</f>
        <v>1170.7284082425656</v>
      </c>
    </row>
    <row r="16" spans="2:12" x14ac:dyDescent="0.35">
      <c r="B16" t="str">
        <f>forecast!A12</f>
        <v>Medicare</v>
      </c>
      <c r="C16" t="str">
        <f>forecast!B12</f>
        <v>medicare</v>
      </c>
      <c r="D16" s="94">
        <f>forecast!C12</f>
        <v>1269.5</v>
      </c>
      <c r="E16" s="94">
        <f>forecast!D12</f>
        <v>1304.7202989964987</v>
      </c>
      <c r="F16" s="94">
        <f>forecast!E12</f>
        <v>1340.9177302981591</v>
      </c>
      <c r="G16" s="94">
        <f>forecast!F12</f>
        <v>1378.1194029179367</v>
      </c>
      <c r="H16" s="94">
        <f>forecast!G12</f>
        <v>1400.841159718721</v>
      </c>
      <c r="I16" s="94">
        <f>forecast!H12</f>
        <v>1423.9375417014894</v>
      </c>
      <c r="J16" s="94">
        <f>forecast!I12</f>
        <v>1447.4147255025032</v>
      </c>
      <c r="K16" s="94">
        <f>forecast!J12</f>
        <v>1471.2789895953731</v>
      </c>
      <c r="L16" s="94">
        <f>forecast!K12</f>
        <v>1471.2789895953731</v>
      </c>
    </row>
    <row r="17" spans="2:12" x14ac:dyDescent="0.35">
      <c r="B17" t="str">
        <f>forecast!A13</f>
        <v>Non-ARP Rebate Checks</v>
      </c>
      <c r="C17" t="str">
        <f>forecast!B13</f>
        <v>rebate_checks</v>
      </c>
      <c r="D17" s="94">
        <f>forecast!C13</f>
        <v>0</v>
      </c>
      <c r="E17" s="94">
        <f>forecast!D13</f>
        <v>0</v>
      </c>
      <c r="F17" s="94">
        <f>forecast!E13</f>
        <v>0</v>
      </c>
      <c r="G17" s="94">
        <f>forecast!F13</f>
        <v>0</v>
      </c>
      <c r="H17" s="94">
        <f>forecast!G13</f>
        <v>0</v>
      </c>
      <c r="I17" s="94">
        <f>forecast!H13</f>
        <v>0</v>
      </c>
      <c r="J17" s="94">
        <f>forecast!I13</f>
        <v>0</v>
      </c>
      <c r="K17" s="94">
        <f>forecast!J13</f>
        <v>0</v>
      </c>
      <c r="L17" s="94">
        <f>forecast!K13</f>
        <v>0</v>
      </c>
    </row>
    <row r="18" spans="2:12" x14ac:dyDescent="0.35">
      <c r="B18" t="str">
        <f>forecast!A14</f>
        <v>ARP Rebate Checks</v>
      </c>
      <c r="C18" t="str">
        <f>forecast!B14</f>
        <v>rebate_checks_arp</v>
      </c>
      <c r="D18" s="94">
        <f>forecast!C14</f>
        <v>0</v>
      </c>
      <c r="E18" s="94">
        <f>forecast!D14</f>
        <v>0</v>
      </c>
      <c r="F18" s="94">
        <f>forecast!E14</f>
        <v>0</v>
      </c>
      <c r="G18" s="94">
        <f>forecast!F14</f>
        <v>0</v>
      </c>
      <c r="H18" s="94">
        <f>forecast!G14</f>
        <v>0</v>
      </c>
      <c r="I18" s="94">
        <f>forecast!H14</f>
        <v>0</v>
      </c>
      <c r="J18" s="94">
        <f>forecast!I14</f>
        <v>0</v>
      </c>
      <c r="K18" s="94">
        <f>forecast!J14</f>
        <v>0</v>
      </c>
      <c r="L18" s="94">
        <f>forecast!K14</f>
        <v>0</v>
      </c>
    </row>
    <row r="19" spans="2:12" x14ac:dyDescent="0.35">
      <c r="B19" t="str">
        <f>forecast!A15</f>
        <v>ARP Other Vulnerable</v>
      </c>
      <c r="C19" t="str">
        <f>forecast!B15</f>
        <v>federal_other_vulnerable_arp</v>
      </c>
      <c r="D19" s="94">
        <f>forecast!C15</f>
        <v>0.49</v>
      </c>
      <c r="E19" s="94">
        <f>forecast!D15</f>
        <v>0</v>
      </c>
      <c r="F19" s="94">
        <f>forecast!E15</f>
        <v>0</v>
      </c>
      <c r="G19" s="94">
        <f>forecast!F15</f>
        <v>0</v>
      </c>
      <c r="H19" s="94">
        <f>forecast!G15</f>
        <v>0</v>
      </c>
      <c r="I19" s="94">
        <f>forecast!H15</f>
        <v>0</v>
      </c>
      <c r="J19" s="94">
        <f>forecast!I15</f>
        <v>0</v>
      </c>
      <c r="K19" s="94">
        <f>forecast!J15</f>
        <v>0</v>
      </c>
      <c r="L19" s="94">
        <f>forecast!K15</f>
        <v>0</v>
      </c>
    </row>
    <row r="20" spans="2:12" x14ac:dyDescent="0.35">
      <c r="B20" t="str">
        <f>forecast!A16</f>
        <v xml:space="preserve">ARP Other Direct Aid plus Provider Relief </v>
      </c>
      <c r="C20" t="str">
        <f>forecast!B16</f>
        <v>federal_other_direct_aid_arp</v>
      </c>
      <c r="D20" s="94">
        <f>forecast!C16</f>
        <v>1.671</v>
      </c>
      <c r="E20" s="94">
        <f>forecast!D16</f>
        <v>0</v>
      </c>
      <c r="F20" s="94">
        <f>forecast!E16</f>
        <v>0</v>
      </c>
      <c r="G20" s="94">
        <f>forecast!F16</f>
        <v>0</v>
      </c>
      <c r="H20" s="94">
        <f>forecast!G16</f>
        <v>0</v>
      </c>
      <c r="I20" s="94">
        <f>forecast!H16</f>
        <v>0</v>
      </c>
      <c r="J20" s="94">
        <f>forecast!I16</f>
        <v>0</v>
      </c>
      <c r="K20" s="94">
        <f>forecast!J16</f>
        <v>0</v>
      </c>
      <c r="L20" s="94">
        <f>forecast!K16</f>
        <v>0</v>
      </c>
    </row>
    <row r="21" spans="2:12" x14ac:dyDescent="0.35">
      <c r="B21" t="str">
        <f>forecast!A17</f>
        <v>Other Federal Social Benefits (including all SNAP)</v>
      </c>
      <c r="C21" t="str">
        <f>forecast!B17</f>
        <v>federal_social_benefits</v>
      </c>
      <c r="D21" s="94">
        <f>forecast!C17</f>
        <v>2372.4390000000003</v>
      </c>
      <c r="E21" s="94">
        <f>forecast!D17</f>
        <v>2450.520305812156</v>
      </c>
      <c r="F21" s="94">
        <f>forecast!E17</f>
        <v>2471.9061274283686</v>
      </c>
      <c r="G21" s="94">
        <f>forecast!F17</f>
        <v>2495.1317959999997</v>
      </c>
      <c r="H21" s="94">
        <f>forecast!G17</f>
        <v>2510.3156841391078</v>
      </c>
      <c r="I21" s="94">
        <f>forecast!H17</f>
        <v>2572.2803076107643</v>
      </c>
      <c r="J21" s="94">
        <f>forecast!I17</f>
        <v>2595.8498203077879</v>
      </c>
      <c r="K21" s="94">
        <f>forecast!J17</f>
        <v>2619.5367723080017</v>
      </c>
      <c r="L21" s="94">
        <f>forecast!K17</f>
        <v>2621.6976048540637</v>
      </c>
    </row>
    <row r="22" spans="2:12" x14ac:dyDescent="0.35">
      <c r="B22" t="str">
        <f>forecast!A18</f>
        <v>State Social Benefits ex Medicaid</v>
      </c>
      <c r="C22" t="str">
        <f>forecast!B18</f>
        <v>state_social_benefits</v>
      </c>
      <c r="D22" s="94">
        <f>forecast!C18</f>
        <v>223.32467758610193</v>
      </c>
      <c r="E22" s="94">
        <f>forecast!D18</f>
        <v>226.5524711120764</v>
      </c>
      <c r="F22" s="94">
        <f>forecast!E18</f>
        <v>229.82691712249164</v>
      </c>
      <c r="G22" s="94">
        <f>forecast!F18</f>
        <v>233.14868990282685</v>
      </c>
      <c r="H22" s="94">
        <f>forecast!G18</f>
        <v>236.51847348425676</v>
      </c>
      <c r="I22" s="94">
        <f>forecast!H18</f>
        <v>239.93696178450969</v>
      </c>
      <c r="J22" s="94">
        <f>forecast!I18</f>
        <v>243.40485875076158</v>
      </c>
      <c r="K22" s="94">
        <f>forecast!J18</f>
        <v>246.92287850459525</v>
      </c>
      <c r="L22" s="94">
        <f>forecast!K18</f>
        <v>250.49174548905481</v>
      </c>
    </row>
    <row r="23" spans="2:12" x14ac:dyDescent="0.35">
      <c r="B23" t="str">
        <f>forecast!A19</f>
        <v>Federal Non-Corporate Taxes</v>
      </c>
      <c r="C23" t="str">
        <f>forecast!B19</f>
        <v>federal_non_corporate_taxes</v>
      </c>
      <c r="D23" s="94">
        <f>forecast!C19</f>
        <v>5136.9000000000005</v>
      </c>
      <c r="E23" s="94">
        <f>forecast!D19</f>
        <v>5083.4035395912024</v>
      </c>
      <c r="F23" s="94">
        <f>forecast!E19</f>
        <v>5104.382523722551</v>
      </c>
      <c r="G23" s="94">
        <f>forecast!F19</f>
        <v>5143.5171824534737</v>
      </c>
      <c r="H23" s="94">
        <f>forecast!G19</f>
        <v>5172.4494522309542</v>
      </c>
      <c r="I23" s="94">
        <f>forecast!H19</f>
        <v>5414.3876569918202</v>
      </c>
      <c r="J23" s="94">
        <f>forecast!I19</f>
        <v>5444.6542243154609</v>
      </c>
      <c r="K23" s="94">
        <f>forecast!J19</f>
        <v>5475.1712566780307</v>
      </c>
      <c r="L23" s="94">
        <f>forecast!K19</f>
        <v>5505.1727179686422</v>
      </c>
    </row>
    <row r="24" spans="2:12" x14ac:dyDescent="0.35">
      <c r="B24" t="str">
        <f>forecast!A20</f>
        <v>State Non-Corporate Taxes</v>
      </c>
      <c r="C24" t="str">
        <f>forecast!B20</f>
        <v>state_non_corporate_taxes</v>
      </c>
      <c r="D24" s="94">
        <f>forecast!C20</f>
        <v>2564.3999999999996</v>
      </c>
      <c r="E24" s="94">
        <f>forecast!D20</f>
        <v>2587.0956271646055</v>
      </c>
      <c r="F24" s="94">
        <f>forecast!E20</f>
        <v>2620.2518439313071</v>
      </c>
      <c r="G24" s="94">
        <f>forecast!F20</f>
        <v>2650.1216841840487</v>
      </c>
      <c r="H24" s="94">
        <f>forecast!G20</f>
        <v>2678.1766203815573</v>
      </c>
      <c r="I24" s="94">
        <f>forecast!H20</f>
        <v>2703.7773350444977</v>
      </c>
      <c r="J24" s="94">
        <f>forecast!I20</f>
        <v>2729.4359962967014</v>
      </c>
      <c r="K24" s="94">
        <f>forecast!J20</f>
        <v>2756.1492686552156</v>
      </c>
      <c r="L24" s="94">
        <f>forecast!K20</f>
        <v>2783.2012152323091</v>
      </c>
    </row>
    <row r="25" spans="2:12" x14ac:dyDescent="0.35">
      <c r="B25" t="str">
        <f>forecast!A21</f>
        <v>Federal Corporate Taxes</v>
      </c>
      <c r="C25" t="str">
        <f>forecast!B21</f>
        <v>federal_corporate_taxes</v>
      </c>
      <c r="D25" s="94">
        <f>forecast!C21</f>
        <v>457.71681387337446</v>
      </c>
      <c r="E25" s="94">
        <f>forecast!D21</f>
        <v>445.02107513037333</v>
      </c>
      <c r="F25" s="94">
        <f>forecast!E21</f>
        <v>432.67747940975011</v>
      </c>
      <c r="G25" s="94">
        <f>forecast!F21</f>
        <v>420.67625928396706</v>
      </c>
      <c r="H25" s="94">
        <f>forecast!G21</f>
        <v>439.00791824563726</v>
      </c>
      <c r="I25" s="94">
        <f>forecast!H21</f>
        <v>443.11183920870417</v>
      </c>
      <c r="J25" s="94">
        <f>forecast!I21</f>
        <v>447.25412432551667</v>
      </c>
      <c r="K25" s="94">
        <f>forecast!J21</f>
        <v>451.43513223073313</v>
      </c>
      <c r="L25" s="94">
        <f>forecast!K21</f>
        <v>455.65522491158993</v>
      </c>
    </row>
    <row r="26" spans="2:12" x14ac:dyDescent="0.35">
      <c r="B26" t="str">
        <f>forecast!A22</f>
        <v>State Corporate Taxes</v>
      </c>
      <c r="C26" s="44" t="str">
        <f>forecast!B22</f>
        <v>state_corporate_taxes</v>
      </c>
      <c r="D26" s="94">
        <f>forecast!C22</f>
        <v>163.11320291351547</v>
      </c>
      <c r="E26" s="94">
        <f>forecast!D22</f>
        <v>166.42552395836239</v>
      </c>
      <c r="F26" s="94">
        <f>forecast!E22</f>
        <v>166.94191108754498</v>
      </c>
      <c r="G26" s="94">
        <f>forecast!F22</f>
        <v>167.56064521530433</v>
      </c>
      <c r="H26" s="94">
        <f>forecast!G22</f>
        <v>168.61202801886526</v>
      </c>
      <c r="I26" s="94">
        <f>forecast!H22</f>
        <v>168.0956408896827</v>
      </c>
      <c r="J26" s="94">
        <f>forecast!I22</f>
        <v>168.17472720676471</v>
      </c>
      <c r="K26" s="94">
        <f>forecast!J22</f>
        <v>167.96072893701336</v>
      </c>
      <c r="L26" s="94">
        <f>forecast!K22</f>
        <v>169.12841514804788</v>
      </c>
    </row>
    <row r="27" spans="2:12" x14ac:dyDescent="0.35">
      <c r="B27" s="44" t="str">
        <f>forecast!A23</f>
        <v>Federal Student Loans</v>
      </c>
      <c r="C27" s="44" t="str">
        <f>forecast!B23</f>
        <v>federal_student_loans</v>
      </c>
      <c r="D27" s="94">
        <f>forecast!C23</f>
        <v>-8.2824600000000004</v>
      </c>
      <c r="E27" s="94">
        <f>forecast!D23</f>
        <v>-8.2824600000000004</v>
      </c>
      <c r="F27" s="94">
        <f>forecast!E23</f>
        <v>-8.2824600000000004</v>
      </c>
      <c r="G27" s="94">
        <f>forecast!F23</f>
        <v>-11</v>
      </c>
      <c r="H27" s="94">
        <f>forecast!G23</f>
        <v>-11</v>
      </c>
      <c r="I27" s="94">
        <f>forecast!H23</f>
        <v>-11</v>
      </c>
      <c r="J27" s="94">
        <f>forecast!I23</f>
        <v>-11</v>
      </c>
      <c r="K27" s="94">
        <f>forecast!J23</f>
        <v>0</v>
      </c>
      <c r="L27" s="94">
        <f>forecast!K23</f>
        <v>0</v>
      </c>
    </row>
    <row r="28" spans="2:12" x14ac:dyDescent="0.35">
      <c r="B28" s="44"/>
      <c r="C28" s="44"/>
    </row>
    <row r="29" spans="2:12" x14ac:dyDescent="0.35">
      <c r="B29" s="83" t="s">
        <v>1840</v>
      </c>
      <c r="C29" s="44"/>
    </row>
    <row r="30" spans="2:12" x14ac:dyDescent="0.35">
      <c r="B30" s="44" t="s">
        <v>1657</v>
      </c>
      <c r="C30" s="44"/>
      <c r="D30" s="97">
        <f>Deflators!AF12</f>
        <v>2.9160389105328255E-2</v>
      </c>
      <c r="E30" s="97">
        <f>Deflators!AG12</f>
        <v>2.9531956897792533E-2</v>
      </c>
      <c r="F30" s="97">
        <f>Deflators!AH12</f>
        <v>2.7783100781153536E-2</v>
      </c>
      <c r="G30" s="97">
        <f>Deflators!AI12</f>
        <v>2.632046566061419E-2</v>
      </c>
      <c r="H30" s="97">
        <f>Deflators!AJ12</f>
        <v>2.4502721609652056E-2</v>
      </c>
      <c r="I30" s="97">
        <f>Deflators!AK12</f>
        <v>2.3711694719535714E-2</v>
      </c>
      <c r="J30" s="97">
        <f>Deflators!AL12</f>
        <v>2.3109454857497935E-2</v>
      </c>
      <c r="K30" s="97">
        <f>Deflators!AM12</f>
        <v>2.2634200570029295E-2</v>
      </c>
      <c r="L30" s="97">
        <f>Deflators!AN12</f>
        <v>2.2234548761409956E-2</v>
      </c>
    </row>
    <row r="31" spans="2:12" x14ac:dyDescent="0.35">
      <c r="B31" s="44" t="s">
        <v>1658</v>
      </c>
      <c r="C31" s="44"/>
      <c r="D31" s="97">
        <f>Deflators!AF14</f>
        <v>0.15630868266795428</v>
      </c>
      <c r="E31" s="97">
        <f>Deflators!AG14</f>
        <v>-8.0220022125805354E-2</v>
      </c>
      <c r="F31" s="97">
        <f>Deflators!AH14</f>
        <v>3.1679652743542119E-2</v>
      </c>
      <c r="G31" s="97">
        <f>Deflators!AI14</f>
        <v>3.3662183284603131E-2</v>
      </c>
      <c r="H31" s="97">
        <f>Deflators!AJ14</f>
        <v>2.0594748711123989E-2</v>
      </c>
      <c r="I31" s="97">
        <f>Deflators!AK14</f>
        <v>1.954727626306374E-2</v>
      </c>
      <c r="J31" s="97">
        <f>Deflators!AL14</f>
        <v>1.5319549886040784E-2</v>
      </c>
      <c r="K31" s="97">
        <f>Deflators!AM14</f>
        <v>1.7682384789155625E-2</v>
      </c>
      <c r="L31" s="97">
        <f>Deflators!AN14</f>
        <v>1.8731577912187047E-2</v>
      </c>
    </row>
    <row r="32" spans="2:12" x14ac:dyDescent="0.35">
      <c r="B32" s="44" t="s">
        <v>1659</v>
      </c>
      <c r="C32" s="44"/>
      <c r="D32" s="97">
        <f>Deflators!AF16</f>
        <v>2.4295784689216671E-2</v>
      </c>
      <c r="E32" s="97">
        <f>Deflators!AG16</f>
        <v>3.3444979493254978E-2</v>
      </c>
      <c r="F32" s="97">
        <f>Deflators!AH16</f>
        <v>3.389977906086572E-2</v>
      </c>
      <c r="G32" s="97">
        <f>Deflators!AI16</f>
        <v>3.3832251490267806E-2</v>
      </c>
      <c r="H32" s="97">
        <f>Deflators!AJ16</f>
        <v>3.268783942056519E-2</v>
      </c>
      <c r="I32" s="97">
        <f>Deflators!AK16</f>
        <v>3.2745959583311945E-2</v>
      </c>
      <c r="J32" s="97">
        <f>Deflators!AL16</f>
        <v>3.1965514770394998E-2</v>
      </c>
      <c r="K32" s="97">
        <f>Deflators!AM16</f>
        <v>3.1194027359336074E-2</v>
      </c>
      <c r="L32" s="97">
        <f>Deflators!AN16</f>
        <v>3.0616524462689698E-2</v>
      </c>
    </row>
    <row r="33" spans="2:12" x14ac:dyDescent="0.35">
      <c r="B33" s="44" t="s">
        <v>1660</v>
      </c>
      <c r="C33" s="44"/>
      <c r="D33" s="97">
        <f>Deflators!AF18</f>
        <v>1.8981599380795577E-2</v>
      </c>
      <c r="E33" s="97">
        <f>Deflators!AG18</f>
        <v>3.3444979493254978E-2</v>
      </c>
      <c r="F33" s="97">
        <f>Deflators!AH18</f>
        <v>3.389977906086572E-2</v>
      </c>
      <c r="G33" s="97">
        <f>Deflators!AI18</f>
        <v>3.3832251490267806E-2</v>
      </c>
      <c r="H33" s="97">
        <f>Deflators!AJ18</f>
        <v>3.268783942056519E-2</v>
      </c>
      <c r="I33" s="97">
        <f>Deflators!AK18</f>
        <v>3.2745959583311945E-2</v>
      </c>
      <c r="J33" s="97">
        <f>Deflators!AL18</f>
        <v>3.1965514770394998E-2</v>
      </c>
      <c r="K33" s="97">
        <f>Deflators!AM18</f>
        <v>3.1194027359336074E-2</v>
      </c>
      <c r="L33" s="97">
        <f>Deflators!AN18</f>
        <v>3.0616524462689698E-2</v>
      </c>
    </row>
    <row r="34" spans="2:12" x14ac:dyDescent="0.35">
      <c r="B34" s="44" t="s">
        <v>1661</v>
      </c>
      <c r="C34" s="44"/>
      <c r="D34" s="97">
        <f>Deflators!AF20</f>
        <v>4.6608980574989189E-2</v>
      </c>
      <c r="E34" s="97">
        <f>Deflators!AG20</f>
        <v>3.3444979493254978E-2</v>
      </c>
      <c r="F34" s="97">
        <f>Deflators!AH20</f>
        <v>3.389977906086572E-2</v>
      </c>
      <c r="G34" s="97">
        <f>Deflators!AI20</f>
        <v>3.3832251490267806E-2</v>
      </c>
      <c r="H34" s="97">
        <f>Deflators!AJ20</f>
        <v>3.268783942056519E-2</v>
      </c>
      <c r="I34" s="97">
        <f>Deflators!AK20</f>
        <v>3.2745959583311945E-2</v>
      </c>
      <c r="J34" s="97">
        <f>Deflators!AL20</f>
        <v>3.1965514770394998E-2</v>
      </c>
      <c r="K34" s="97">
        <f>Deflators!AM20</f>
        <v>3.1194027359336074E-2</v>
      </c>
      <c r="L34" s="97">
        <f>Deflators!AN20</f>
        <v>3.0616524462689698E-2</v>
      </c>
    </row>
    <row r="36" spans="2:12" x14ac:dyDescent="0.35">
      <c r="B36" s="1364" t="s">
        <v>2385</v>
      </c>
      <c r="C36" s="1364"/>
      <c r="D36" s="1364"/>
      <c r="E36" s="1364"/>
      <c r="F36" s="1364"/>
      <c r="G36" s="1364"/>
      <c r="H36" s="1364"/>
      <c r="I36" s="1364"/>
      <c r="J36" s="1364"/>
      <c r="K36" s="1364"/>
      <c r="L36" s="1364"/>
    </row>
    <row r="37" spans="2:12" x14ac:dyDescent="0.35">
      <c r="B37" t="s">
        <v>166</v>
      </c>
      <c r="C37" t="s">
        <v>167</v>
      </c>
      <c r="D37" t="s">
        <v>730</v>
      </c>
      <c r="E37" t="s">
        <v>1108</v>
      </c>
      <c r="F37" t="s">
        <v>1109</v>
      </c>
      <c r="G37" t="s">
        <v>1110</v>
      </c>
      <c r="H37" t="s">
        <v>1111</v>
      </c>
      <c r="I37" t="s">
        <v>1112</v>
      </c>
      <c r="J37" t="s">
        <v>1113</v>
      </c>
      <c r="K37" t="s">
        <v>1114</v>
      </c>
      <c r="L37" t="s">
        <v>1115</v>
      </c>
    </row>
    <row r="38" spans="2:12" x14ac:dyDescent="0.35">
      <c r="B38" t="s">
        <v>180</v>
      </c>
      <c r="C38" t="s">
        <v>181</v>
      </c>
      <c r="D38" s="89">
        <v>436.28059048126664</v>
      </c>
      <c r="E38" s="89">
        <v>439.2942674046613</v>
      </c>
      <c r="F38" s="89">
        <v>439.53463931198939</v>
      </c>
      <c r="G38" s="89">
        <v>443.60799880000008</v>
      </c>
      <c r="H38" s="89">
        <v>445.71164134851728</v>
      </c>
      <c r="I38" s="89">
        <v>448.84586534884772</v>
      </c>
      <c r="J38" s="89">
        <v>452.01097213246891</v>
      </c>
      <c r="K38" s="89">
        <v>455.20726600000006</v>
      </c>
    </row>
    <row r="39" spans="2:12" x14ac:dyDescent="0.35">
      <c r="B39" t="s">
        <v>122</v>
      </c>
      <c r="C39" t="s">
        <v>182</v>
      </c>
      <c r="D39" s="89">
        <v>75.19614285714286</v>
      </c>
      <c r="E39" s="89">
        <v>75.19614285714286</v>
      </c>
      <c r="F39" s="89">
        <v>75.19614285714286</v>
      </c>
      <c r="G39" s="89">
        <v>75.19614285714286</v>
      </c>
      <c r="H39" s="89">
        <v>75.19614285714286</v>
      </c>
      <c r="I39" s="89">
        <v>75.19614285714286</v>
      </c>
      <c r="J39" s="89">
        <v>75.19614285714286</v>
      </c>
      <c r="K39" s="89">
        <v>75.19614285714286</v>
      </c>
    </row>
    <row r="40" spans="2:12" x14ac:dyDescent="0.35">
      <c r="B40" t="s">
        <v>183</v>
      </c>
      <c r="C40" t="s">
        <v>184</v>
      </c>
      <c r="D40" s="89">
        <v>2017.0854214630699</v>
      </c>
      <c r="E40" s="89">
        <v>2061.6533284635475</v>
      </c>
      <c r="F40" s="89">
        <v>2086.8851695744402</v>
      </c>
      <c r="G40" s="89">
        <v>2107.5053359664698</v>
      </c>
      <c r="H40" s="89">
        <v>2120.9603618019901</v>
      </c>
      <c r="I40" s="89">
        <v>2139.3595534100491</v>
      </c>
      <c r="J40" s="89">
        <v>2153.8196398180849</v>
      </c>
      <c r="K40" s="89">
        <v>2168.8341615307208</v>
      </c>
    </row>
    <row r="41" spans="2:12" x14ac:dyDescent="0.35">
      <c r="B41" t="s">
        <v>2060</v>
      </c>
      <c r="D41" s="89"/>
      <c r="E41" s="89"/>
      <c r="F41" s="89"/>
      <c r="G41" s="89"/>
      <c r="H41" s="89"/>
      <c r="I41" s="89"/>
      <c r="J41" s="89"/>
      <c r="K41" s="89"/>
    </row>
    <row r="42" spans="2:12" x14ac:dyDescent="0.35">
      <c r="B42" t="str">
        <f>forecast!A5</f>
        <v>State Purchases (NIPA Consistent)</v>
      </c>
      <c r="C42" t="s">
        <v>186</v>
      </c>
      <c r="D42" s="89">
        <v>3366.027138715946</v>
      </c>
      <c r="E42" s="89">
        <v>3398.2457236876035</v>
      </c>
      <c r="F42" s="89">
        <v>3428.2848564808651</v>
      </c>
      <c r="G42" s="89">
        <v>3458.8899899639791</v>
      </c>
      <c r="H42" s="89">
        <v>3488.7575384628608</v>
      </c>
      <c r="I42" s="89">
        <v>3517.9731621814253</v>
      </c>
      <c r="J42" s="89">
        <v>3547.999432102376</v>
      </c>
      <c r="K42" s="89">
        <v>3578.247392076953</v>
      </c>
    </row>
    <row r="43" spans="2:12" x14ac:dyDescent="0.35">
      <c r="B43" t="s">
        <v>2061</v>
      </c>
      <c r="D43" s="89"/>
      <c r="E43" s="89"/>
      <c r="F43" s="89"/>
      <c r="G43" s="89"/>
      <c r="H43" s="89"/>
      <c r="I43" s="89"/>
      <c r="J43" s="89"/>
      <c r="K43" s="89"/>
    </row>
    <row r="44" spans="2:12" x14ac:dyDescent="0.35">
      <c r="B44" t="s">
        <v>187</v>
      </c>
      <c r="C44" t="s">
        <v>188</v>
      </c>
      <c r="D44" s="89">
        <v>128.63999999999999</v>
      </c>
      <c r="E44" s="89">
        <v>126.49</v>
      </c>
      <c r="F44" s="89">
        <v>126.49</v>
      </c>
      <c r="G44" s="89">
        <v>126.49</v>
      </c>
      <c r="H44" s="89">
        <v>126.49</v>
      </c>
      <c r="I44" s="89">
        <v>126.49</v>
      </c>
      <c r="J44" s="89">
        <v>126.49</v>
      </c>
      <c r="K44" s="89">
        <v>126.49</v>
      </c>
    </row>
    <row r="45" spans="2:12" x14ac:dyDescent="0.35">
      <c r="B45" t="s">
        <v>189</v>
      </c>
      <c r="C45" t="s">
        <v>190</v>
      </c>
      <c r="D45" s="89">
        <v>-2.1500000000000004</v>
      </c>
      <c r="E45" s="89">
        <v>0</v>
      </c>
      <c r="F45" s="89">
        <v>0</v>
      </c>
      <c r="G45" s="89">
        <v>0</v>
      </c>
      <c r="H45" s="89">
        <v>0</v>
      </c>
      <c r="I45" s="89">
        <v>0</v>
      </c>
      <c r="J45" s="89">
        <v>0</v>
      </c>
      <c r="K45" s="89">
        <v>0</v>
      </c>
    </row>
    <row r="46" spans="2:12" x14ac:dyDescent="0.35">
      <c r="B46" t="s">
        <v>191</v>
      </c>
      <c r="C46" t="s">
        <v>192</v>
      </c>
      <c r="D46" s="89">
        <v>0</v>
      </c>
      <c r="E46" s="89">
        <v>0</v>
      </c>
      <c r="F46" s="89">
        <v>0</v>
      </c>
      <c r="G46" s="89">
        <v>0</v>
      </c>
      <c r="H46" s="89">
        <v>0</v>
      </c>
      <c r="I46" s="89">
        <v>0</v>
      </c>
      <c r="J46" s="89">
        <v>0</v>
      </c>
      <c r="K46" s="89">
        <v>0</v>
      </c>
    </row>
    <row r="47" spans="2:12" x14ac:dyDescent="0.35">
      <c r="B47" t="s">
        <v>193</v>
      </c>
      <c r="C47" t="s">
        <v>194</v>
      </c>
      <c r="D47" s="89">
        <v>35.700000000000003</v>
      </c>
      <c r="E47" s="89">
        <v>35.700000000000003</v>
      </c>
      <c r="F47" s="89">
        <v>35.700000000000003</v>
      </c>
      <c r="G47" s="89">
        <v>35.700000000000003</v>
      </c>
      <c r="H47" s="89">
        <v>35.700000000000003</v>
      </c>
      <c r="I47" s="89">
        <v>36.700000000000003</v>
      </c>
      <c r="J47" s="89">
        <v>37.700000000000003</v>
      </c>
      <c r="K47" s="89">
        <v>38.700000000000003</v>
      </c>
    </row>
    <row r="48" spans="2:12" x14ac:dyDescent="0.35">
      <c r="B48" t="s">
        <v>195</v>
      </c>
      <c r="C48" t="s">
        <v>196</v>
      </c>
      <c r="D48" s="89">
        <v>716.87928194909216</v>
      </c>
      <c r="E48" s="89">
        <v>726.30885465205483</v>
      </c>
      <c r="F48" s="89">
        <v>736.9498480276709</v>
      </c>
      <c r="G48" s="89">
        <v>745.35290753286097</v>
      </c>
      <c r="H48" s="89">
        <v>744.95766816974481</v>
      </c>
      <c r="I48" s="89">
        <v>756.21139693599264</v>
      </c>
      <c r="J48" s="89">
        <v>767.68184399846496</v>
      </c>
      <c r="K48" s="89">
        <v>779.09777684781704</v>
      </c>
    </row>
    <row r="49" spans="2:12" x14ac:dyDescent="0.35">
      <c r="B49" t="s">
        <v>197</v>
      </c>
      <c r="C49" t="s">
        <v>198</v>
      </c>
      <c r="D49" s="89">
        <v>1066.591368717292</v>
      </c>
      <c r="E49" s="89">
        <v>1080.9095302723772</v>
      </c>
      <c r="F49" s="89">
        <v>1095.4199020368551</v>
      </c>
      <c r="G49" s="89">
        <v>1110.1250642836505</v>
      </c>
      <c r="H49" s="89">
        <v>1108.4718231144871</v>
      </c>
      <c r="I49" s="89">
        <v>1125.2435675626193</v>
      </c>
      <c r="J49" s="89">
        <v>1142.2690770645561</v>
      </c>
      <c r="K49" s="89">
        <v>1159.5521912150832</v>
      </c>
    </row>
    <row r="50" spans="2:12" x14ac:dyDescent="0.35">
      <c r="B50" t="s">
        <v>46</v>
      </c>
      <c r="C50" t="s">
        <v>199</v>
      </c>
      <c r="D50" s="89">
        <v>1263.4540866813438</v>
      </c>
      <c r="E50" s="89">
        <v>1289.8482782415876</v>
      </c>
      <c r="F50" s="89">
        <v>1316.7938577433979</v>
      </c>
      <c r="G50" s="89">
        <v>1344.3023439582969</v>
      </c>
      <c r="H50" s="89">
        <v>1364.5933582724288</v>
      </c>
      <c r="I50" s="89">
        <v>1385.1906468884292</v>
      </c>
      <c r="J50" s="89">
        <v>1406.0988327367511</v>
      </c>
      <c r="K50" s="89">
        <v>1427.3226085267534</v>
      </c>
    </row>
    <row r="51" spans="2:12" x14ac:dyDescent="0.35">
      <c r="B51" t="s">
        <v>200</v>
      </c>
      <c r="C51" t="s">
        <v>201</v>
      </c>
      <c r="D51" s="89">
        <v>0</v>
      </c>
      <c r="E51" s="89">
        <v>0</v>
      </c>
      <c r="F51" s="89">
        <v>0</v>
      </c>
      <c r="G51" s="89">
        <v>0</v>
      </c>
      <c r="H51" s="89">
        <v>0</v>
      </c>
      <c r="I51" s="89">
        <v>0</v>
      </c>
      <c r="J51" s="89">
        <v>0</v>
      </c>
      <c r="K51" s="89">
        <v>0</v>
      </c>
    </row>
    <row r="52" spans="2:12" x14ac:dyDescent="0.35">
      <c r="B52" t="s">
        <v>202</v>
      </c>
      <c r="C52" t="s">
        <v>203</v>
      </c>
      <c r="D52" s="89">
        <v>0</v>
      </c>
      <c r="E52" s="89">
        <v>0</v>
      </c>
      <c r="F52" s="89">
        <v>0</v>
      </c>
      <c r="G52" s="89">
        <v>0</v>
      </c>
      <c r="H52" s="89">
        <v>0</v>
      </c>
      <c r="I52" s="89">
        <v>0</v>
      </c>
      <c r="J52" s="89">
        <v>0</v>
      </c>
      <c r="K52" s="89">
        <v>0</v>
      </c>
    </row>
    <row r="53" spans="2:12" x14ac:dyDescent="0.35">
      <c r="B53" t="s">
        <v>204</v>
      </c>
      <c r="C53" t="s">
        <v>205</v>
      </c>
      <c r="D53" s="89">
        <v>0.49</v>
      </c>
      <c r="E53" s="89">
        <v>0</v>
      </c>
      <c r="F53" s="89">
        <v>0</v>
      </c>
      <c r="G53" s="89">
        <v>0</v>
      </c>
      <c r="H53" s="89">
        <v>0</v>
      </c>
      <c r="I53" s="89">
        <v>0</v>
      </c>
      <c r="J53" s="89">
        <v>0</v>
      </c>
      <c r="K53" s="89">
        <v>0</v>
      </c>
    </row>
    <row r="54" spans="2:12" x14ac:dyDescent="0.35">
      <c r="B54" t="s">
        <v>760</v>
      </c>
      <c r="C54" t="s">
        <v>207</v>
      </c>
      <c r="D54" s="89">
        <v>1.671</v>
      </c>
      <c r="E54" s="89">
        <v>0</v>
      </c>
      <c r="F54" s="89">
        <v>0</v>
      </c>
      <c r="G54" s="89">
        <v>0</v>
      </c>
      <c r="H54" s="89">
        <v>0</v>
      </c>
      <c r="I54" s="89">
        <v>0</v>
      </c>
      <c r="J54" s="89">
        <v>0</v>
      </c>
      <c r="K54" s="89">
        <v>0</v>
      </c>
    </row>
    <row r="55" spans="2:12" x14ac:dyDescent="0.35">
      <c r="B55" t="s">
        <v>208</v>
      </c>
      <c r="C55" t="s">
        <v>209</v>
      </c>
      <c r="D55" s="89">
        <v>2383.1597999999999</v>
      </c>
      <c r="E55" s="89">
        <v>2455.1687879999999</v>
      </c>
      <c r="F55" s="89">
        <v>2482.5211779199999</v>
      </c>
      <c r="G55" s="89">
        <v>2511.9031756384002</v>
      </c>
      <c r="H55" s="89">
        <v>2533.4378133111686</v>
      </c>
      <c r="I55" s="89">
        <v>2601.9814994533917</v>
      </c>
      <c r="J55" s="89">
        <v>2632.30499848814</v>
      </c>
      <c r="K55" s="89">
        <v>2662.9549675035832</v>
      </c>
    </row>
    <row r="56" spans="2:12" x14ac:dyDescent="0.35">
      <c r="B56" t="s">
        <v>210</v>
      </c>
      <c r="C56" t="s">
        <v>211</v>
      </c>
      <c r="D56" s="89">
        <v>223.32467758610193</v>
      </c>
      <c r="E56" s="89">
        <v>226.5524711120764</v>
      </c>
      <c r="F56" s="89">
        <v>229.82691712249164</v>
      </c>
      <c r="G56" s="89">
        <v>233.14868990282685</v>
      </c>
      <c r="H56" s="89">
        <v>236.51847348425676</v>
      </c>
      <c r="I56" s="89">
        <v>239.93696178450969</v>
      </c>
      <c r="J56" s="89">
        <v>243.40485875076158</v>
      </c>
      <c r="K56" s="89">
        <v>246.92287850459525</v>
      </c>
    </row>
    <row r="57" spans="2:12" x14ac:dyDescent="0.35">
      <c r="B57" t="s">
        <v>212</v>
      </c>
      <c r="C57" t="s">
        <v>213</v>
      </c>
      <c r="D57" s="89">
        <v>5152.9935424738414</v>
      </c>
      <c r="E57" s="89">
        <v>5096.3704923322066</v>
      </c>
      <c r="F57" s="89">
        <v>5137.8080423088059</v>
      </c>
      <c r="G57" s="89">
        <v>5179.6403928111522</v>
      </c>
      <c r="H57" s="89">
        <v>5221.8717798019652</v>
      </c>
      <c r="I57" s="89">
        <v>5376.9188497626137</v>
      </c>
      <c r="J57" s="89">
        <v>5409.8274610303943</v>
      </c>
      <c r="K57" s="89">
        <v>5442.9497144702182</v>
      </c>
    </row>
    <row r="58" spans="2:12" x14ac:dyDescent="0.35">
      <c r="B58" t="s">
        <v>214</v>
      </c>
      <c r="C58" t="s">
        <v>215</v>
      </c>
      <c r="D58" s="89">
        <v>2538.8969897181942</v>
      </c>
      <c r="E58" s="89">
        <v>2562.5954024107764</v>
      </c>
      <c r="F58" s="89">
        <v>2587.2763200685904</v>
      </c>
      <c r="G58" s="89">
        <v>2609.7787195046658</v>
      </c>
      <c r="H58" s="89">
        <v>2634.1822117570218</v>
      </c>
      <c r="I58" s="89">
        <v>2659.9749333488326</v>
      </c>
      <c r="J58" s="89">
        <v>2683.7699855313622</v>
      </c>
      <c r="K58" s="89">
        <v>2707.7909054107045</v>
      </c>
    </row>
    <row r="59" spans="2:12" x14ac:dyDescent="0.35">
      <c r="B59" t="s">
        <v>216</v>
      </c>
      <c r="C59" t="s">
        <v>217</v>
      </c>
      <c r="D59" s="89">
        <v>333.33760146829013</v>
      </c>
      <c r="E59" s="89">
        <v>331.27795026126284</v>
      </c>
      <c r="F59" s="89">
        <v>329.23102538056634</v>
      </c>
      <c r="G59" s="89">
        <v>327.19674819182734</v>
      </c>
      <c r="H59" s="89">
        <v>325.17504054654444</v>
      </c>
      <c r="I59" s="89">
        <v>333.16582477908605</v>
      </c>
      <c r="J59" s="89">
        <v>331.10723495866409</v>
      </c>
      <c r="K59" s="89">
        <v>329.0613649063983</v>
      </c>
    </row>
    <row r="60" spans="2:12" x14ac:dyDescent="0.35">
      <c r="B60" t="s">
        <v>218</v>
      </c>
      <c r="C60" s="44" t="s">
        <v>219</v>
      </c>
      <c r="D60" s="89">
        <v>160.51582302778212</v>
      </c>
      <c r="E60" s="89">
        <v>160.71000876276011</v>
      </c>
      <c r="F60" s="89">
        <v>161.02733667113876</v>
      </c>
      <c r="G60" s="89">
        <v>160.86630459823022</v>
      </c>
      <c r="H60" s="89">
        <v>161.06049033320818</v>
      </c>
      <c r="I60" s="89">
        <v>160.75263489970649</v>
      </c>
      <c r="J60" s="89">
        <v>160.16060521989553</v>
      </c>
      <c r="K60" s="89">
        <v>159.46437831643789</v>
      </c>
    </row>
    <row r="61" spans="2:12" x14ac:dyDescent="0.35">
      <c r="B61" s="44" t="s">
        <v>1336</v>
      </c>
      <c r="C61" s="44" t="s">
        <v>1335</v>
      </c>
      <c r="D61" s="89">
        <v>-8.2824600000000004</v>
      </c>
      <c r="E61" s="89">
        <v>-8.2824600000000004</v>
      </c>
      <c r="F61" s="89">
        <v>-8.2824600000000004</v>
      </c>
      <c r="G61" s="89">
        <v>-11</v>
      </c>
      <c r="H61" s="89">
        <v>-11</v>
      </c>
      <c r="I61" s="89">
        <v>-11</v>
      </c>
      <c r="J61" s="89">
        <v>-11</v>
      </c>
      <c r="K61" s="89">
        <v>0</v>
      </c>
    </row>
    <row r="62" spans="2:12" x14ac:dyDescent="0.35">
      <c r="B62" s="44"/>
      <c r="C62" s="44"/>
    </row>
    <row r="63" spans="2:12" x14ac:dyDescent="0.35">
      <c r="B63" s="83" t="s">
        <v>1840</v>
      </c>
      <c r="C63" s="44"/>
    </row>
    <row r="64" spans="2:12" x14ac:dyDescent="0.35">
      <c r="B64" s="44" t="s">
        <v>1657</v>
      </c>
      <c r="C64" s="44"/>
      <c r="D64" s="92">
        <v>2.4011392938697362E-2</v>
      </c>
      <c r="E64" s="91">
        <v>2.246913194463851E-2</v>
      </c>
      <c r="F64" s="91">
        <v>2.037795778240481E-2</v>
      </c>
      <c r="G64" s="92">
        <v>2.031319568771961E-2</v>
      </c>
      <c r="H64" s="92">
        <v>2.0411174157790368E-2</v>
      </c>
      <c r="I64" s="91">
        <v>2.0278651758323107E-2</v>
      </c>
      <c r="J64" s="91">
        <v>2.0181831515000193E-2</v>
      </c>
      <c r="K64" s="91">
        <v>2.008748904793789E-2</v>
      </c>
      <c r="L64" s="91">
        <v>2.0063466029726529E-2</v>
      </c>
    </row>
    <row r="65" spans="2:12" x14ac:dyDescent="0.35">
      <c r="B65" s="44" t="s">
        <v>1658</v>
      </c>
      <c r="C65" s="44"/>
      <c r="D65" s="91">
        <v>2.7119603614899724E-2</v>
      </c>
      <c r="E65" s="90">
        <v>2.7515602617293126E-2</v>
      </c>
      <c r="F65" s="90">
        <v>2.2790850007197161E-2</v>
      </c>
      <c r="G65" s="91">
        <v>2.3263295207157642E-2</v>
      </c>
      <c r="H65" s="90">
        <v>2.3889685874715294E-2</v>
      </c>
      <c r="I65" s="90">
        <v>2.2412555601408091E-2</v>
      </c>
      <c r="J65" s="90">
        <v>2.2147320108405477E-2</v>
      </c>
      <c r="K65" s="90">
        <v>2.2772302614111117E-2</v>
      </c>
      <c r="L65" s="90">
        <v>2.3247045836330082E-2</v>
      </c>
    </row>
    <row r="66" spans="2:12" x14ac:dyDescent="0.35">
      <c r="B66" s="44" t="s">
        <v>1659</v>
      </c>
      <c r="C66" s="44"/>
      <c r="D66" s="95">
        <v>4.4394354805230338E-2</v>
      </c>
      <c r="E66">
        <v>3.9164637629816694E-2</v>
      </c>
      <c r="F66">
        <v>3.1425713898589613E-2</v>
      </c>
      <c r="G66">
        <v>3.1013053419121528E-2</v>
      </c>
      <c r="H66">
        <v>3.1015398756455648E-2</v>
      </c>
      <c r="I66">
        <v>3.0542269425562596E-2</v>
      </c>
      <c r="J66">
        <v>3.0334679878840642E-2</v>
      </c>
      <c r="K66">
        <v>2.9994558057691467E-2</v>
      </c>
      <c r="L66">
        <v>2.9803649988641601E-2</v>
      </c>
    </row>
    <row r="67" spans="2:12" x14ac:dyDescent="0.35">
      <c r="B67" s="44" t="s">
        <v>1660</v>
      </c>
      <c r="C67" s="44"/>
      <c r="D67" s="95">
        <v>4.4394354805230338E-2</v>
      </c>
      <c r="E67">
        <v>3.9164637629816694E-2</v>
      </c>
      <c r="F67">
        <v>3.1425713898589613E-2</v>
      </c>
      <c r="G67">
        <v>3.1013053419121528E-2</v>
      </c>
      <c r="H67">
        <v>3.1015398756455648E-2</v>
      </c>
      <c r="I67">
        <v>3.0542269425562596E-2</v>
      </c>
      <c r="J67">
        <v>3.0334679878840642E-2</v>
      </c>
      <c r="K67">
        <v>2.9994558057691467E-2</v>
      </c>
      <c r="L67">
        <v>2.9803649988641601E-2</v>
      </c>
    </row>
    <row r="68" spans="2:12" x14ac:dyDescent="0.35">
      <c r="B68" s="44" t="s">
        <v>1661</v>
      </c>
      <c r="C68" s="44"/>
      <c r="D68" s="95">
        <v>4.4394354805230338E-2</v>
      </c>
      <c r="E68">
        <v>3.9164637629816694E-2</v>
      </c>
      <c r="F68">
        <v>3.1425713898589613E-2</v>
      </c>
      <c r="G68">
        <v>3.1013053419121528E-2</v>
      </c>
      <c r="H68">
        <v>3.1015398756455648E-2</v>
      </c>
      <c r="I68">
        <v>3.0542269425562596E-2</v>
      </c>
      <c r="J68">
        <v>3.0334679878840642E-2</v>
      </c>
      <c r="K68">
        <v>2.9994558057691467E-2</v>
      </c>
      <c r="L68">
        <v>2.9803649988641601E-2</v>
      </c>
    </row>
    <row r="70" spans="2:12" x14ac:dyDescent="0.35">
      <c r="B70" s="1365" t="s">
        <v>220</v>
      </c>
      <c r="C70" s="1365"/>
      <c r="D70" s="1365"/>
      <c r="E70" s="1365"/>
      <c r="F70" s="1365"/>
      <c r="G70" s="1365"/>
      <c r="H70" s="1365"/>
      <c r="I70" s="1365"/>
      <c r="J70" s="1365"/>
      <c r="K70" s="1365"/>
      <c r="L70" s="1365"/>
    </row>
    <row r="71" spans="2:12" x14ac:dyDescent="0.35">
      <c r="B71" t="s">
        <v>166</v>
      </c>
      <c r="C71" t="s">
        <v>167</v>
      </c>
      <c r="D71" t="s">
        <v>730</v>
      </c>
      <c r="E71" t="s">
        <v>1108</v>
      </c>
      <c r="F71" t="s">
        <v>1109</v>
      </c>
      <c r="G71" t="s">
        <v>1110</v>
      </c>
      <c r="H71" t="s">
        <v>1111</v>
      </c>
      <c r="I71" t="s">
        <v>1112</v>
      </c>
      <c r="J71" t="s">
        <v>1113</v>
      </c>
      <c r="K71" t="s">
        <v>1114</v>
      </c>
      <c r="L71" t="s">
        <v>1115</v>
      </c>
    </row>
    <row r="72" spans="2:12" x14ac:dyDescent="0.35">
      <c r="B72" s="44" t="s">
        <v>180</v>
      </c>
      <c r="C72" s="44" t="s">
        <v>181</v>
      </c>
      <c r="D72" s="94">
        <f t="shared" ref="D72:K72" si="0">D4-D38</f>
        <v>-26.569271681266684</v>
      </c>
      <c r="E72" s="94">
        <f t="shared" si="0"/>
        <v>-26.83106951685221</v>
      </c>
      <c r="F72" s="94">
        <f t="shared" si="0"/>
        <v>-27.095446952945395</v>
      </c>
      <c r="G72" s="94">
        <f t="shared" si="0"/>
        <v>-27.362429407398736</v>
      </c>
      <c r="H72" s="94">
        <f t="shared" si="0"/>
        <v>-27.63204254851729</v>
      </c>
      <c r="I72" s="94">
        <f t="shared" si="0"/>
        <v>-27.904312297526246</v>
      </c>
      <c r="J72" s="94">
        <f t="shared" si="0"/>
        <v>-28.179264831063108</v>
      </c>
      <c r="K72" s="94">
        <f t="shared" si="0"/>
        <v>-28.456926583694667</v>
      </c>
    </row>
    <row r="73" spans="2:12" x14ac:dyDescent="0.35">
      <c r="B73" s="44" t="s">
        <v>122</v>
      </c>
      <c r="C73" s="44" t="s">
        <v>182</v>
      </c>
      <c r="D73" s="94">
        <f t="shared" ref="D73:K73" si="1">D5-D39</f>
        <v>0</v>
      </c>
      <c r="E73" s="94">
        <f t="shared" si="1"/>
        <v>0</v>
      </c>
      <c r="F73" s="94">
        <f t="shared" si="1"/>
        <v>0</v>
      </c>
      <c r="G73" s="94">
        <f t="shared" si="1"/>
        <v>0</v>
      </c>
      <c r="H73" s="94">
        <f t="shared" si="1"/>
        <v>0</v>
      </c>
      <c r="I73" s="94">
        <f t="shared" si="1"/>
        <v>0</v>
      </c>
      <c r="J73" s="94">
        <f t="shared" si="1"/>
        <v>0</v>
      </c>
      <c r="K73" s="94">
        <f t="shared" si="1"/>
        <v>0</v>
      </c>
    </row>
    <row r="74" spans="2:12" x14ac:dyDescent="0.35">
      <c r="B74" s="44" t="s">
        <v>183</v>
      </c>
      <c r="C74" s="44" t="s">
        <v>184</v>
      </c>
      <c r="D74" s="94">
        <f t="shared" ref="D74:K74" si="2">D6-D40</f>
        <v>-45.085421463069906</v>
      </c>
      <c r="E74" s="94">
        <f t="shared" si="2"/>
        <v>19.845155344429259</v>
      </c>
      <c r="F74" s="94">
        <f t="shared" si="2"/>
        <v>-2.2741288332226759</v>
      </c>
      <c r="G74" s="94">
        <f t="shared" si="2"/>
        <v>-14.592041724379214</v>
      </c>
      <c r="H74" s="94">
        <f t="shared" si="2"/>
        <v>-15.097505530768558</v>
      </c>
      <c r="I74" s="94">
        <f t="shared" si="2"/>
        <v>-21.692922428751899</v>
      </c>
      <c r="J74" s="94">
        <f t="shared" si="2"/>
        <v>-25.19472979927923</v>
      </c>
      <c r="K74" s="94">
        <f t="shared" si="2"/>
        <v>-28.64953583571014</v>
      </c>
    </row>
    <row r="75" spans="2:12" x14ac:dyDescent="0.35">
      <c r="B75" s="44" t="s">
        <v>2060</v>
      </c>
      <c r="C75" s="44"/>
      <c r="D75" s="94">
        <f t="shared" ref="D75:K75" si="3">D7-D41</f>
        <v>1459.1870552863147</v>
      </c>
      <c r="E75" s="94">
        <f t="shared" si="3"/>
        <v>1572.7480982206268</v>
      </c>
      <c r="F75" s="94">
        <f t="shared" si="3"/>
        <v>1562.8665177023818</v>
      </c>
      <c r="G75" s="94">
        <f t="shared" si="3"/>
        <v>1556.1570808220954</v>
      </c>
      <c r="H75" s="94">
        <f t="shared" si="3"/>
        <v>1557.8260027169263</v>
      </c>
      <c r="I75" s="94">
        <f t="shared" si="3"/>
        <v>1558.9946158439566</v>
      </c>
      <c r="J75" s="94">
        <f t="shared" si="3"/>
        <v>1561.1170788645013</v>
      </c>
      <c r="K75" s="94">
        <f t="shared" si="3"/>
        <v>1562.7320186647185</v>
      </c>
    </row>
    <row r="76" spans="2:12" x14ac:dyDescent="0.35">
      <c r="B76" s="44" t="s">
        <v>185</v>
      </c>
      <c r="C76" s="44" t="s">
        <v>186</v>
      </c>
      <c r="D76" s="94">
        <f t="shared" ref="D76:K76" si="4">D8-D42</f>
        <v>8.3728612840541246</v>
      </c>
      <c r="E76" s="94">
        <f t="shared" si="4"/>
        <v>8.3136236979776186</v>
      </c>
      <c r="F76" s="94">
        <f t="shared" si="4"/>
        <v>10.789993169684294</v>
      </c>
      <c r="G76" s="94">
        <f t="shared" si="4"/>
        <v>13.453511009822705</v>
      </c>
      <c r="H76" s="94">
        <f t="shared" si="4"/>
        <v>14.237815931371642</v>
      </c>
      <c r="I76" s="94">
        <f t="shared" si="4"/>
        <v>17.027384718161102</v>
      </c>
      <c r="J76" s="94">
        <f t="shared" si="4"/>
        <v>18.928881869355791</v>
      </c>
      <c r="K76" s="94">
        <f t="shared" si="4"/>
        <v>19.472692084252685</v>
      </c>
    </row>
    <row r="77" spans="2:12" x14ac:dyDescent="0.35">
      <c r="B77" s="44" t="s">
        <v>2061</v>
      </c>
      <c r="C77" s="44"/>
      <c r="D77" s="94">
        <f t="shared" ref="D77:K77" si="5">D9-D43</f>
        <v>2500.5297067726765</v>
      </c>
      <c r="E77" s="94">
        <f t="shared" si="5"/>
        <v>2503.6843547175017</v>
      </c>
      <c r="F77" s="94">
        <f t="shared" si="5"/>
        <v>2506.603452763582</v>
      </c>
      <c r="G77" s="94">
        <f t="shared" si="5"/>
        <v>2509.8869905361612</v>
      </c>
      <c r="H77" s="94">
        <f t="shared" si="5"/>
        <v>2511.7637131152487</v>
      </c>
      <c r="I77" s="94">
        <f t="shared" si="5"/>
        <v>2514.3766204730523</v>
      </c>
      <c r="J77" s="94">
        <f t="shared" si="5"/>
        <v>2517.2069927848638</v>
      </c>
      <c r="K77" s="94">
        <f t="shared" si="5"/>
        <v>2519.5142656280768</v>
      </c>
    </row>
    <row r="78" spans="2:12" x14ac:dyDescent="0.35">
      <c r="B78" s="44" t="s">
        <v>187</v>
      </c>
      <c r="C78" s="44" t="s">
        <v>188</v>
      </c>
      <c r="D78" s="94">
        <f t="shared" ref="D78:K78" si="6">D10-D44</f>
        <v>-29.189999999999984</v>
      </c>
      <c r="E78" s="94">
        <f t="shared" si="6"/>
        <v>-19.189999999999998</v>
      </c>
      <c r="F78" s="94">
        <f t="shared" si="6"/>
        <v>-19.189999999999998</v>
      </c>
      <c r="G78" s="94">
        <f t="shared" si="6"/>
        <v>-19.189999999999998</v>
      </c>
      <c r="H78" s="94">
        <f t="shared" si="6"/>
        <v>-19.189999999999998</v>
      </c>
      <c r="I78" s="94">
        <f t="shared" si="6"/>
        <v>-19.189999999999998</v>
      </c>
      <c r="J78" s="94">
        <f t="shared" si="6"/>
        <v>-19.189999999999998</v>
      </c>
      <c r="K78" s="94">
        <f t="shared" si="6"/>
        <v>-19.189999999999998</v>
      </c>
    </row>
    <row r="79" spans="2:12" x14ac:dyDescent="0.35">
      <c r="B79" s="44" t="s">
        <v>189</v>
      </c>
      <c r="C79" s="44" t="s">
        <v>190</v>
      </c>
      <c r="D79" s="94">
        <f t="shared" ref="D79:K79" si="7">D11-D45</f>
        <v>0</v>
      </c>
      <c r="E79" s="94">
        <f t="shared" si="7"/>
        <v>0</v>
      </c>
      <c r="F79" s="94">
        <f t="shared" si="7"/>
        <v>0</v>
      </c>
      <c r="G79" s="94">
        <f t="shared" si="7"/>
        <v>0</v>
      </c>
      <c r="H79" s="94">
        <f t="shared" si="7"/>
        <v>0</v>
      </c>
      <c r="I79" s="94">
        <f t="shared" si="7"/>
        <v>0</v>
      </c>
      <c r="J79" s="94">
        <f t="shared" si="7"/>
        <v>0</v>
      </c>
      <c r="K79" s="94">
        <f t="shared" si="7"/>
        <v>0</v>
      </c>
    </row>
    <row r="80" spans="2:12" x14ac:dyDescent="0.35">
      <c r="B80" s="44" t="s">
        <v>191</v>
      </c>
      <c r="C80" s="44" t="s">
        <v>192</v>
      </c>
      <c r="D80" s="94">
        <f t="shared" ref="D80:K80" si="8">D12-D46</f>
        <v>2.5999999999999943</v>
      </c>
      <c r="E80" s="94">
        <f t="shared" si="8"/>
        <v>0</v>
      </c>
      <c r="F80" s="94">
        <f t="shared" si="8"/>
        <v>0</v>
      </c>
      <c r="G80" s="94">
        <f t="shared" si="8"/>
        <v>0</v>
      </c>
      <c r="H80" s="94">
        <f t="shared" si="8"/>
        <v>0</v>
      </c>
      <c r="I80" s="94">
        <f t="shared" si="8"/>
        <v>0</v>
      </c>
      <c r="J80" s="94">
        <f t="shared" si="8"/>
        <v>0</v>
      </c>
      <c r="K80" s="94">
        <f t="shared" si="8"/>
        <v>0</v>
      </c>
    </row>
    <row r="81" spans="2:13" x14ac:dyDescent="0.35">
      <c r="B81" s="44" t="s">
        <v>193</v>
      </c>
      <c r="C81" s="44" t="s">
        <v>194</v>
      </c>
      <c r="D81" s="94">
        <f t="shared" ref="D81:K81" si="9">D13-D47</f>
        <v>0</v>
      </c>
      <c r="E81" s="94">
        <f t="shared" si="9"/>
        <v>0</v>
      </c>
      <c r="F81" s="94">
        <f t="shared" si="9"/>
        <v>0</v>
      </c>
      <c r="G81" s="94">
        <f t="shared" si="9"/>
        <v>0</v>
      </c>
      <c r="H81" s="94">
        <f t="shared" si="9"/>
        <v>0</v>
      </c>
      <c r="I81" s="94">
        <f t="shared" si="9"/>
        <v>0</v>
      </c>
      <c r="J81" s="94">
        <f t="shared" si="9"/>
        <v>0</v>
      </c>
      <c r="K81" s="94">
        <f t="shared" si="9"/>
        <v>0</v>
      </c>
    </row>
    <row r="82" spans="2:13" x14ac:dyDescent="0.35">
      <c r="B82" s="44" t="s">
        <v>195</v>
      </c>
      <c r="C82" s="44" t="s">
        <v>196</v>
      </c>
      <c r="D82" s="94">
        <f t="shared" ref="D82:K82" si="10">D14-D48</f>
        <v>-11.361281949092245</v>
      </c>
      <c r="E82" s="94">
        <f t="shared" si="10"/>
        <v>-17.153799048451788</v>
      </c>
      <c r="F82" s="94">
        <f t="shared" si="10"/>
        <v>-13.35457347573265</v>
      </c>
      <c r="G82" s="94">
        <f t="shared" si="10"/>
        <v>-7.3366530886559076</v>
      </c>
      <c r="H82" s="94">
        <f t="shared" si="10"/>
        <v>-15.594824455876733</v>
      </c>
      <c r="I82" s="94">
        <f t="shared" si="10"/>
        <v>-23.499838176578919</v>
      </c>
      <c r="J82" s="94">
        <f t="shared" si="10"/>
        <v>-30.267838411656498</v>
      </c>
      <c r="K82" s="94">
        <f t="shared" si="10"/>
        <v>-36.592427831751479</v>
      </c>
      <c r="L82" s="88"/>
      <c r="M82" s="88"/>
    </row>
    <row r="83" spans="2:13" x14ac:dyDescent="0.35">
      <c r="B83" s="44" t="s">
        <v>197</v>
      </c>
      <c r="C83" s="44" t="s">
        <v>198</v>
      </c>
      <c r="D83" s="94">
        <f t="shared" ref="D83:K83" si="11">D15-D49</f>
        <v>11.80863128270812</v>
      </c>
      <c r="E83" s="94">
        <f t="shared" si="11"/>
        <v>12.253406348856743</v>
      </c>
      <c r="F83" s="94">
        <f t="shared" si="11"/>
        <v>17.844967555663743</v>
      </c>
      <c r="G83" s="94">
        <f t="shared" si="11"/>
        <v>26.703332208317306</v>
      </c>
      <c r="H83" s="94">
        <f t="shared" si="11"/>
        <v>30.219177671214766</v>
      </c>
      <c r="I83" s="94">
        <f t="shared" si="11"/>
        <v>20.329473464898456</v>
      </c>
      <c r="J83" s="94">
        <f t="shared" si="11"/>
        <v>10.257817083813734</v>
      </c>
      <c r="K83" s="94">
        <f t="shared" si="11"/>
        <v>1.001118287932286</v>
      </c>
    </row>
    <row r="84" spans="2:13" x14ac:dyDescent="0.35">
      <c r="B84" s="44" t="s">
        <v>46</v>
      </c>
      <c r="C84" s="44" t="s">
        <v>199</v>
      </c>
      <c r="D84" s="94">
        <f t="shared" ref="D84:K84" si="12">D16-D50</f>
        <v>6.0459133186561758</v>
      </c>
      <c r="E84" s="94">
        <f t="shared" si="12"/>
        <v>14.872020754911091</v>
      </c>
      <c r="F84" s="94">
        <f t="shared" si="12"/>
        <v>24.123872554761192</v>
      </c>
      <c r="G84" s="94">
        <f t="shared" si="12"/>
        <v>33.81705895963978</v>
      </c>
      <c r="H84" s="94">
        <f t="shared" si="12"/>
        <v>36.247801446292215</v>
      </c>
      <c r="I84" s="94">
        <f t="shared" si="12"/>
        <v>38.74689481306018</v>
      </c>
      <c r="J84" s="94">
        <f t="shared" si="12"/>
        <v>41.315892765752096</v>
      </c>
      <c r="K84" s="94">
        <f t="shared" si="12"/>
        <v>43.956381068619748</v>
      </c>
    </row>
    <row r="85" spans="2:13" x14ac:dyDescent="0.35">
      <c r="B85" s="44" t="s">
        <v>200</v>
      </c>
      <c r="C85" s="44" t="s">
        <v>201</v>
      </c>
      <c r="D85" s="94">
        <f t="shared" ref="D85:K85" si="13">D17-D51</f>
        <v>0</v>
      </c>
      <c r="E85" s="94">
        <f t="shared" si="13"/>
        <v>0</v>
      </c>
      <c r="F85" s="94">
        <f t="shared" si="13"/>
        <v>0</v>
      </c>
      <c r="G85" s="94">
        <f t="shared" si="13"/>
        <v>0</v>
      </c>
      <c r="H85" s="94">
        <f t="shared" si="13"/>
        <v>0</v>
      </c>
      <c r="I85" s="94">
        <f t="shared" si="13"/>
        <v>0</v>
      </c>
      <c r="J85" s="94">
        <f t="shared" si="13"/>
        <v>0</v>
      </c>
      <c r="K85" s="94">
        <f t="shared" si="13"/>
        <v>0</v>
      </c>
    </row>
    <row r="86" spans="2:13" x14ac:dyDescent="0.35">
      <c r="B86" s="44" t="s">
        <v>202</v>
      </c>
      <c r="C86" s="44" t="s">
        <v>203</v>
      </c>
      <c r="D86" s="94">
        <f t="shared" ref="D86:K86" si="14">D18-D52</f>
        <v>0</v>
      </c>
      <c r="E86" s="94">
        <f t="shared" si="14"/>
        <v>0</v>
      </c>
      <c r="F86" s="94">
        <f t="shared" si="14"/>
        <v>0</v>
      </c>
      <c r="G86" s="94">
        <f t="shared" si="14"/>
        <v>0</v>
      </c>
      <c r="H86" s="94">
        <f t="shared" si="14"/>
        <v>0</v>
      </c>
      <c r="I86" s="94">
        <f t="shared" si="14"/>
        <v>0</v>
      </c>
      <c r="J86" s="94">
        <f t="shared" si="14"/>
        <v>0</v>
      </c>
      <c r="K86" s="94">
        <f t="shared" si="14"/>
        <v>0</v>
      </c>
    </row>
    <row r="87" spans="2:13" x14ac:dyDescent="0.35">
      <c r="B87" s="44" t="s">
        <v>204</v>
      </c>
      <c r="C87" s="44" t="s">
        <v>205</v>
      </c>
      <c r="D87" s="94">
        <f t="shared" ref="D87:K87" si="15">D19-D53</f>
        <v>0</v>
      </c>
      <c r="E87" s="94">
        <f t="shared" si="15"/>
        <v>0</v>
      </c>
      <c r="F87" s="94">
        <f t="shared" si="15"/>
        <v>0</v>
      </c>
      <c r="G87" s="94">
        <f t="shared" si="15"/>
        <v>0</v>
      </c>
      <c r="H87" s="94">
        <f t="shared" si="15"/>
        <v>0</v>
      </c>
      <c r="I87" s="94">
        <f t="shared" si="15"/>
        <v>0</v>
      </c>
      <c r="J87" s="94">
        <f t="shared" si="15"/>
        <v>0</v>
      </c>
      <c r="K87" s="94">
        <f t="shared" si="15"/>
        <v>0</v>
      </c>
    </row>
    <row r="88" spans="2:13" x14ac:dyDescent="0.35">
      <c r="B88" s="44" t="s">
        <v>785</v>
      </c>
      <c r="C88" s="44" t="s">
        <v>207</v>
      </c>
      <c r="D88" s="94">
        <f t="shared" ref="D88:K88" si="16">D20-D54</f>
        <v>0</v>
      </c>
      <c r="E88" s="94">
        <f t="shared" si="16"/>
        <v>0</v>
      </c>
      <c r="F88" s="94">
        <f t="shared" si="16"/>
        <v>0</v>
      </c>
      <c r="G88" s="94">
        <f t="shared" si="16"/>
        <v>0</v>
      </c>
      <c r="H88" s="94">
        <f t="shared" si="16"/>
        <v>0</v>
      </c>
      <c r="I88" s="94">
        <f t="shared" si="16"/>
        <v>0</v>
      </c>
      <c r="J88" s="94">
        <f t="shared" si="16"/>
        <v>0</v>
      </c>
      <c r="K88" s="94">
        <f t="shared" si="16"/>
        <v>0</v>
      </c>
    </row>
    <row r="89" spans="2:13" x14ac:dyDescent="0.35">
      <c r="B89" s="44" t="s">
        <v>208</v>
      </c>
      <c r="C89" s="44" t="s">
        <v>209</v>
      </c>
      <c r="D89" s="94">
        <f t="shared" ref="D89:K89" si="17">D21-D55</f>
        <v>-10.720799999999599</v>
      </c>
      <c r="E89" s="94">
        <f t="shared" si="17"/>
        <v>-4.6484821878439107</v>
      </c>
      <c r="F89" s="94">
        <f t="shared" si="17"/>
        <v>-10.615050491631337</v>
      </c>
      <c r="G89" s="94">
        <f t="shared" si="17"/>
        <v>-16.771379638400504</v>
      </c>
      <c r="H89" s="94">
        <f t="shared" si="17"/>
        <v>-23.122129172060795</v>
      </c>
      <c r="I89" s="94">
        <f t="shared" si="17"/>
        <v>-29.701191842627395</v>
      </c>
      <c r="J89" s="94">
        <f t="shared" si="17"/>
        <v>-36.45517818035205</v>
      </c>
      <c r="K89" s="94">
        <f t="shared" si="17"/>
        <v>-43.418195195581575</v>
      </c>
    </row>
    <row r="90" spans="2:13" x14ac:dyDescent="0.35">
      <c r="B90" s="44" t="s">
        <v>210</v>
      </c>
      <c r="C90" s="44" t="s">
        <v>211</v>
      </c>
      <c r="D90" s="94">
        <f t="shared" ref="D90:K90" si="18">D22-D56</f>
        <v>0</v>
      </c>
      <c r="E90" s="94">
        <f t="shared" si="18"/>
        <v>0</v>
      </c>
      <c r="F90" s="94">
        <f t="shared" si="18"/>
        <v>0</v>
      </c>
      <c r="G90" s="94">
        <f t="shared" si="18"/>
        <v>0</v>
      </c>
      <c r="H90" s="94">
        <f t="shared" si="18"/>
        <v>0</v>
      </c>
      <c r="I90" s="94">
        <f t="shared" si="18"/>
        <v>0</v>
      </c>
      <c r="J90" s="94">
        <f t="shared" si="18"/>
        <v>0</v>
      </c>
      <c r="K90" s="94">
        <f t="shared" si="18"/>
        <v>0</v>
      </c>
    </row>
    <row r="91" spans="2:13" x14ac:dyDescent="0.35">
      <c r="B91" s="44" t="s">
        <v>212</v>
      </c>
      <c r="C91" s="44" t="s">
        <v>213</v>
      </c>
      <c r="D91" s="94">
        <f t="shared" ref="D91:K91" si="19">D23-D57</f>
        <v>-16.093542473840898</v>
      </c>
      <c r="E91" s="94">
        <f t="shared" si="19"/>
        <v>-12.966952741004206</v>
      </c>
      <c r="F91" s="94">
        <f t="shared" si="19"/>
        <v>-33.425518586254839</v>
      </c>
      <c r="G91" s="94">
        <f t="shared" si="19"/>
        <v>-36.123210357678545</v>
      </c>
      <c r="H91" s="94">
        <f t="shared" si="19"/>
        <v>-49.42232757101101</v>
      </c>
      <c r="I91" s="94">
        <f t="shared" si="19"/>
        <v>37.468807229206504</v>
      </c>
      <c r="J91" s="94">
        <f t="shared" si="19"/>
        <v>34.82676328506659</v>
      </c>
      <c r="K91" s="94">
        <f t="shared" si="19"/>
        <v>32.22154220781249</v>
      </c>
    </row>
    <row r="92" spans="2:13" x14ac:dyDescent="0.35">
      <c r="B92" s="44" t="s">
        <v>214</v>
      </c>
      <c r="C92" s="44" t="s">
        <v>215</v>
      </c>
      <c r="D92" s="94">
        <f t="shared" ref="D92:K92" si="20">D24-D58</f>
        <v>25.503010281805473</v>
      </c>
      <c r="E92" s="94">
        <f t="shared" si="20"/>
        <v>24.500224753829116</v>
      </c>
      <c r="F92" s="94">
        <f t="shared" si="20"/>
        <v>32.975523862716727</v>
      </c>
      <c r="G92" s="94">
        <f t="shared" si="20"/>
        <v>40.342964679382931</v>
      </c>
      <c r="H92" s="94">
        <f t="shared" si="20"/>
        <v>43.994408624535481</v>
      </c>
      <c r="I92" s="94">
        <f t="shared" si="20"/>
        <v>43.802401695665139</v>
      </c>
      <c r="J92" s="94">
        <f t="shared" si="20"/>
        <v>45.666010765339252</v>
      </c>
      <c r="K92" s="94">
        <f t="shared" si="20"/>
        <v>48.358363244511111</v>
      </c>
    </row>
    <row r="93" spans="2:13" x14ac:dyDescent="0.35">
      <c r="B93" s="44" t="s">
        <v>216</v>
      </c>
      <c r="C93" s="44" t="s">
        <v>217</v>
      </c>
      <c r="D93" s="94">
        <f t="shared" ref="D93:K93" si="21">D25-D59</f>
        <v>124.37921240508433</v>
      </c>
      <c r="E93" s="94">
        <f t="shared" si="21"/>
        <v>113.74312486911049</v>
      </c>
      <c r="F93" s="94">
        <f t="shared" si="21"/>
        <v>103.44645402918377</v>
      </c>
      <c r="G93" s="94">
        <f t="shared" si="21"/>
        <v>93.479511092139717</v>
      </c>
      <c r="H93" s="94">
        <f t="shared" si="21"/>
        <v>113.83287769909282</v>
      </c>
      <c r="I93" s="94">
        <f t="shared" si="21"/>
        <v>109.94601442961812</v>
      </c>
      <c r="J93" s="94">
        <f t="shared" si="21"/>
        <v>116.14688936685258</v>
      </c>
      <c r="K93" s="94">
        <f t="shared" si="21"/>
        <v>122.37376732433484</v>
      </c>
    </row>
    <row r="94" spans="2:13" x14ac:dyDescent="0.35">
      <c r="B94" s="44" t="s">
        <v>218</v>
      </c>
      <c r="C94" s="44" t="s">
        <v>219</v>
      </c>
      <c r="D94" s="94">
        <f t="shared" ref="D94:K94" si="22">D26-D60</f>
        <v>2.5973798857333463</v>
      </c>
      <c r="E94" s="94">
        <f t="shared" si="22"/>
        <v>5.7155151956022792</v>
      </c>
      <c r="F94" s="94">
        <f t="shared" si="22"/>
        <v>5.9145744164062251</v>
      </c>
      <c r="G94" s="94">
        <f t="shared" si="22"/>
        <v>6.6943406170741184</v>
      </c>
      <c r="H94" s="94">
        <f t="shared" si="22"/>
        <v>7.5515376856570811</v>
      </c>
      <c r="I94" s="94">
        <f t="shared" si="22"/>
        <v>7.3430059899762057</v>
      </c>
      <c r="J94" s="94">
        <f t="shared" si="22"/>
        <v>8.0141219868691849</v>
      </c>
      <c r="K94" s="94">
        <f t="shared" si="22"/>
        <v>8.4963506205754697</v>
      </c>
    </row>
    <row r="95" spans="2:13" x14ac:dyDescent="0.35">
      <c r="B95" s="44" t="s">
        <v>1336</v>
      </c>
      <c r="C95" s="44" t="s">
        <v>1335</v>
      </c>
      <c r="D95" s="94">
        <f t="shared" ref="D95:K95" si="23">D27-D61</f>
        <v>0</v>
      </c>
      <c r="E95" s="94">
        <f t="shared" si="23"/>
        <v>0</v>
      </c>
      <c r="F95" s="94">
        <f t="shared" si="23"/>
        <v>0</v>
      </c>
      <c r="G95" s="94">
        <f t="shared" si="23"/>
        <v>0</v>
      </c>
      <c r="H95" s="94">
        <f t="shared" si="23"/>
        <v>0</v>
      </c>
      <c r="I95" s="94">
        <f t="shared" si="23"/>
        <v>0</v>
      </c>
      <c r="J95" s="94">
        <f t="shared" si="23"/>
        <v>0</v>
      </c>
      <c r="K95" s="94">
        <f t="shared" si="23"/>
        <v>0</v>
      </c>
    </row>
    <row r="96" spans="2:13" x14ac:dyDescent="0.35">
      <c r="B96" s="44"/>
      <c r="C96" s="44"/>
      <c r="D96" s="94"/>
      <c r="E96" s="94"/>
      <c r="F96" s="94"/>
      <c r="G96" s="94"/>
      <c r="H96" s="94"/>
      <c r="I96" s="94"/>
      <c r="J96" s="94"/>
    </row>
    <row r="97" spans="2:12" x14ac:dyDescent="0.35">
      <c r="B97" s="44"/>
      <c r="C97" s="44"/>
      <c r="D97" s="94"/>
      <c r="E97" s="94"/>
      <c r="F97" s="94"/>
      <c r="G97" s="94"/>
      <c r="H97" s="94"/>
      <c r="I97" s="94"/>
      <c r="J97" s="94"/>
    </row>
    <row r="98" spans="2:12" x14ac:dyDescent="0.35">
      <c r="B98" s="83" t="s">
        <v>1840</v>
      </c>
      <c r="C98" s="44"/>
      <c r="D98" s="94"/>
      <c r="E98" s="94"/>
      <c r="F98" s="94"/>
      <c r="G98" s="94"/>
      <c r="H98" s="94"/>
    </row>
    <row r="99" spans="2:12" x14ac:dyDescent="0.35">
      <c r="B99" s="44" t="s">
        <v>1657</v>
      </c>
      <c r="C99" s="44" t="s">
        <v>1841</v>
      </c>
      <c r="D99" s="93">
        <f t="shared" ref="D99" si="24">D30-D64</f>
        <v>5.1489961666308925E-3</v>
      </c>
      <c r="E99" s="93">
        <f t="shared" ref="E99:F99" si="25">E30-E64</f>
        <v>7.0628249531540233E-3</v>
      </c>
      <c r="F99" s="93">
        <f t="shared" si="25"/>
        <v>7.4051429987487261E-3</v>
      </c>
      <c r="G99" s="93">
        <f t="shared" ref="G99:H99" si="26">G30-G64</f>
        <v>6.00726997289458E-3</v>
      </c>
      <c r="H99" s="93">
        <f t="shared" si="26"/>
        <v>4.0915474518616879E-3</v>
      </c>
      <c r="I99" s="93">
        <f t="shared" ref="I99:J99" si="27">I30-I64</f>
        <v>3.4330429612126068E-3</v>
      </c>
      <c r="J99" s="93">
        <f t="shared" si="27"/>
        <v>2.9276233424977427E-3</v>
      </c>
      <c r="K99" s="93">
        <f t="shared" ref="K99" si="28">K30-K64</f>
        <v>2.5467115220914049E-3</v>
      </c>
    </row>
    <row r="100" spans="2:12" x14ac:dyDescent="0.35">
      <c r="B100" s="44" t="s">
        <v>1658</v>
      </c>
      <c r="C100" s="44"/>
      <c r="D100" s="93">
        <f t="shared" ref="D100" si="29">D31-D65</f>
        <v>0.12918907905305455</v>
      </c>
      <c r="E100" s="93">
        <f t="shared" ref="E100:F100" si="30">E31-E65</f>
        <v>-0.10773562474309847</v>
      </c>
      <c r="F100" s="93">
        <f t="shared" si="30"/>
        <v>8.8888027363449584E-3</v>
      </c>
      <c r="G100" s="93">
        <f t="shared" ref="G100:H100" si="31">G31-G65</f>
        <v>1.0398888077445489E-2</v>
      </c>
      <c r="H100" s="93">
        <f t="shared" si="31"/>
        <v>-3.294937163591305E-3</v>
      </c>
      <c r="I100" s="93">
        <f t="shared" ref="I100:J100" si="32">I31-I65</f>
        <v>-2.8652793383443509E-3</v>
      </c>
      <c r="J100" s="93">
        <f t="shared" si="32"/>
        <v>-6.827770222364693E-3</v>
      </c>
      <c r="K100" s="93">
        <f t="shared" ref="K100" si="33">K31-K65</f>
        <v>-5.0899178249554922E-3</v>
      </c>
    </row>
    <row r="101" spans="2:12" x14ac:dyDescent="0.35">
      <c r="B101" s="44" t="s">
        <v>1659</v>
      </c>
      <c r="C101" s="44"/>
      <c r="D101" s="93">
        <f t="shared" ref="D101" si="34">D32-D66</f>
        <v>-2.0098570116013667E-2</v>
      </c>
      <c r="E101" s="93">
        <f t="shared" ref="E101:F101" si="35">E32-E66</f>
        <v>-5.7196581365617158E-3</v>
      </c>
      <c r="F101" s="93">
        <f t="shared" si="35"/>
        <v>2.4740651622761067E-3</v>
      </c>
      <c r="G101" s="93">
        <f t="shared" ref="G101:H101" si="36">G32-G66</f>
        <v>2.8191980711462783E-3</v>
      </c>
      <c r="H101" s="93">
        <f t="shared" si="36"/>
        <v>1.6724406641095424E-3</v>
      </c>
      <c r="I101" s="93">
        <f t="shared" ref="I101:J101" si="37">I32-I66</f>
        <v>2.2036901577493495E-3</v>
      </c>
      <c r="J101" s="93">
        <f t="shared" si="37"/>
        <v>1.6308348915543558E-3</v>
      </c>
      <c r="K101" s="93">
        <f t="shared" ref="K101" si="38">K32-K66</f>
        <v>1.1994693016446067E-3</v>
      </c>
    </row>
    <row r="102" spans="2:12" x14ac:dyDescent="0.35">
      <c r="B102" s="44" t="s">
        <v>1660</v>
      </c>
      <c r="C102" s="44"/>
      <c r="D102" s="93">
        <f t="shared" ref="D102" si="39">D33-D67</f>
        <v>-2.541275542443476E-2</v>
      </c>
      <c r="E102" s="93">
        <f t="shared" ref="E102:F102" si="40">E33-E67</f>
        <v>-5.7196581365617158E-3</v>
      </c>
      <c r="F102" s="93">
        <f t="shared" si="40"/>
        <v>2.4740651622761067E-3</v>
      </c>
      <c r="G102" s="93">
        <f t="shared" ref="G102:H102" si="41">G33-G67</f>
        <v>2.8191980711462783E-3</v>
      </c>
      <c r="H102" s="93">
        <f t="shared" si="41"/>
        <v>1.6724406641095424E-3</v>
      </c>
      <c r="I102" s="93">
        <f t="shared" ref="I102:J102" si="42">I33-I67</f>
        <v>2.2036901577493495E-3</v>
      </c>
      <c r="J102" s="93">
        <f t="shared" si="42"/>
        <v>1.6308348915543558E-3</v>
      </c>
      <c r="K102" s="93">
        <f t="shared" ref="K102" si="43">K33-K67</f>
        <v>1.1994693016446067E-3</v>
      </c>
    </row>
    <row r="103" spans="2:12" x14ac:dyDescent="0.35">
      <c r="B103" s="44" t="s">
        <v>1661</v>
      </c>
      <c r="C103" s="44"/>
      <c r="D103" s="93">
        <f t="shared" ref="D103" si="44">D34-D68</f>
        <v>2.2146257697588517E-3</v>
      </c>
      <c r="E103" s="93">
        <f t="shared" ref="E103:F103" si="45">E34-E68</f>
        <v>-5.7196581365617158E-3</v>
      </c>
      <c r="F103" s="93">
        <f t="shared" si="45"/>
        <v>2.4740651622761067E-3</v>
      </c>
      <c r="G103" s="93">
        <f t="shared" ref="G103:H103" si="46">G34-G68</f>
        <v>2.8191980711462783E-3</v>
      </c>
      <c r="H103" s="93">
        <f t="shared" si="46"/>
        <v>1.6724406641095424E-3</v>
      </c>
      <c r="I103" s="93">
        <f t="shared" ref="I103:J103" si="47">I34-I68</f>
        <v>2.2036901577493495E-3</v>
      </c>
      <c r="J103" s="93">
        <f t="shared" si="47"/>
        <v>1.6308348915543558E-3</v>
      </c>
      <c r="K103" s="93">
        <f t="shared" ref="K103" si="48">K34-K68</f>
        <v>1.1994693016446067E-3</v>
      </c>
    </row>
    <row r="105" spans="2:12" x14ac:dyDescent="0.35">
      <c r="B105" s="1364" t="s">
        <v>221</v>
      </c>
      <c r="C105" s="1364"/>
      <c r="D105" s="1364"/>
      <c r="E105" s="1364"/>
      <c r="F105" s="1364"/>
      <c r="G105" s="1364"/>
      <c r="H105" s="1364"/>
      <c r="I105" s="1364"/>
      <c r="J105" s="1364"/>
      <c r="K105" s="1364"/>
      <c r="L105" s="1364"/>
    </row>
    <row r="106" spans="2:12" x14ac:dyDescent="0.35">
      <c r="B106" t="s">
        <v>166</v>
      </c>
      <c r="C106" t="s">
        <v>167</v>
      </c>
      <c r="D106" t="s">
        <v>730</v>
      </c>
      <c r="E106" t="s">
        <v>1108</v>
      </c>
      <c r="F106" t="s">
        <v>1109</v>
      </c>
      <c r="G106" t="s">
        <v>1110</v>
      </c>
      <c r="H106" t="s">
        <v>1111</v>
      </c>
      <c r="I106" t="s">
        <v>1112</v>
      </c>
      <c r="J106" t="s">
        <v>1113</v>
      </c>
      <c r="K106" t="s">
        <v>1114</v>
      </c>
      <c r="L106" t="s">
        <v>1115</v>
      </c>
    </row>
    <row r="107" spans="2:12" x14ac:dyDescent="0.35">
      <c r="B107" t="s">
        <v>180</v>
      </c>
      <c r="C107" t="s">
        <v>181</v>
      </c>
      <c r="D107" s="96">
        <f t="shared" ref="D107:K107" si="49">(D4/D38-1)</f>
        <v>-6.0899504266182847E-2</v>
      </c>
      <c r="E107" s="96">
        <f t="shared" si="49"/>
        <v>-6.1077668223101234E-2</v>
      </c>
      <c r="F107" s="96">
        <f t="shared" si="49"/>
        <v>-6.1645760150686457E-2</v>
      </c>
      <c r="G107" s="96">
        <f t="shared" si="49"/>
        <v>-6.1681551012192304E-2</v>
      </c>
      <c r="H107" s="96">
        <f t="shared" si="49"/>
        <v>-6.1995335066671209E-2</v>
      </c>
      <c r="I107" s="96">
        <f t="shared" si="49"/>
        <v>-6.2169030510816237E-2</v>
      </c>
      <c r="J107" s="96">
        <f t="shared" si="49"/>
        <v>-6.2341992934642154E-2</v>
      </c>
      <c r="K107" s="96">
        <f t="shared" si="49"/>
        <v>-6.2514218706901437E-2</v>
      </c>
    </row>
    <row r="108" spans="2:12" x14ac:dyDescent="0.35">
      <c r="B108" t="s">
        <v>122</v>
      </c>
      <c r="C108" t="s">
        <v>182</v>
      </c>
      <c r="D108" s="96">
        <f t="shared" ref="D108:K108" si="50">(D5/D39-1)</f>
        <v>0</v>
      </c>
      <c r="E108" s="96">
        <f t="shared" si="50"/>
        <v>0</v>
      </c>
      <c r="F108" s="96">
        <f t="shared" si="50"/>
        <v>0</v>
      </c>
      <c r="G108" s="96">
        <f t="shared" si="50"/>
        <v>0</v>
      </c>
      <c r="H108" s="96">
        <f t="shared" si="50"/>
        <v>0</v>
      </c>
      <c r="I108" s="96">
        <f t="shared" si="50"/>
        <v>0</v>
      </c>
      <c r="J108" s="96">
        <f t="shared" si="50"/>
        <v>0</v>
      </c>
      <c r="K108" s="96">
        <f t="shared" si="50"/>
        <v>0</v>
      </c>
    </row>
    <row r="109" spans="2:12" x14ac:dyDescent="0.35">
      <c r="B109" t="s">
        <v>183</v>
      </c>
      <c r="C109" t="s">
        <v>184</v>
      </c>
      <c r="D109" s="96">
        <f t="shared" ref="D109:K109" si="51">(D6/D40-1)</f>
        <v>-2.2351766059747535E-2</v>
      </c>
      <c r="E109" s="96">
        <f t="shared" si="51"/>
        <v>9.6258449810371349E-3</v>
      </c>
      <c r="F109" s="96">
        <f t="shared" si="51"/>
        <v>-1.0897239897902367E-3</v>
      </c>
      <c r="G109" s="96">
        <f t="shared" si="51"/>
        <v>-6.9238456839718632E-3</v>
      </c>
      <c r="H109" s="96">
        <f t="shared" si="51"/>
        <v>-7.118240304095802E-3</v>
      </c>
      <c r="I109" s="96">
        <f t="shared" si="51"/>
        <v>-1.0139914253391558E-2</v>
      </c>
      <c r="J109" s="96">
        <f t="shared" si="51"/>
        <v>-1.169769712073343E-2</v>
      </c>
      <c r="K109" s="96">
        <f t="shared" si="51"/>
        <v>-1.320964799608737E-2</v>
      </c>
    </row>
    <row r="110" spans="2:12" x14ac:dyDescent="0.35">
      <c r="B110" t="s">
        <v>2060</v>
      </c>
      <c r="D110" s="96" t="e">
        <f t="shared" ref="D110:K110" si="52">(D7/D41-1)</f>
        <v>#DIV/0!</v>
      </c>
      <c r="E110" s="96" t="e">
        <f t="shared" si="52"/>
        <v>#DIV/0!</v>
      </c>
      <c r="F110" s="96" t="e">
        <f t="shared" si="52"/>
        <v>#DIV/0!</v>
      </c>
      <c r="G110" s="96" t="e">
        <f t="shared" si="52"/>
        <v>#DIV/0!</v>
      </c>
      <c r="H110" s="96" t="e">
        <f t="shared" si="52"/>
        <v>#DIV/0!</v>
      </c>
      <c r="I110" s="96" t="e">
        <f t="shared" si="52"/>
        <v>#DIV/0!</v>
      </c>
      <c r="J110" s="96" t="e">
        <f t="shared" si="52"/>
        <v>#DIV/0!</v>
      </c>
      <c r="K110" s="96" t="e">
        <f t="shared" si="52"/>
        <v>#DIV/0!</v>
      </c>
    </row>
    <row r="111" spans="2:12" x14ac:dyDescent="0.35">
      <c r="B111" t="s">
        <v>185</v>
      </c>
      <c r="C111" t="s">
        <v>186</v>
      </c>
      <c r="D111" s="96">
        <f t="shared" ref="D111:K111" si="53">(D8/D42-1)</f>
        <v>2.4874610153167165E-3</v>
      </c>
      <c r="E111" s="96">
        <f t="shared" si="53"/>
        <v>2.4464457175734644E-3</v>
      </c>
      <c r="F111" s="96">
        <f t="shared" si="53"/>
        <v>3.1473444073022439E-3</v>
      </c>
      <c r="G111" s="96">
        <f t="shared" si="53"/>
        <v>3.8895457932626165E-3</v>
      </c>
      <c r="H111" s="96">
        <f t="shared" si="53"/>
        <v>4.0810562999584743E-3</v>
      </c>
      <c r="I111" s="96">
        <f t="shared" si="53"/>
        <v>4.8401121706120875E-3</v>
      </c>
      <c r="J111" s="96">
        <f t="shared" si="53"/>
        <v>5.3350859354956981E-3</v>
      </c>
      <c r="K111" s="96">
        <f t="shared" si="53"/>
        <v>5.4419636069238386E-3</v>
      </c>
    </row>
    <row r="112" spans="2:12" x14ac:dyDescent="0.35">
      <c r="B112" t="s">
        <v>2061</v>
      </c>
      <c r="D112" s="96" t="e">
        <f t="shared" ref="D112:K112" si="54">(D9/D43-1)</f>
        <v>#DIV/0!</v>
      </c>
      <c r="E112" s="96" t="e">
        <f t="shared" si="54"/>
        <v>#DIV/0!</v>
      </c>
      <c r="F112" s="96" t="e">
        <f t="shared" si="54"/>
        <v>#DIV/0!</v>
      </c>
      <c r="G112" s="96" t="e">
        <f t="shared" si="54"/>
        <v>#DIV/0!</v>
      </c>
      <c r="H112" s="96" t="e">
        <f t="shared" si="54"/>
        <v>#DIV/0!</v>
      </c>
      <c r="I112" s="96" t="e">
        <f t="shared" si="54"/>
        <v>#DIV/0!</v>
      </c>
      <c r="J112" s="96" t="e">
        <f t="shared" si="54"/>
        <v>#DIV/0!</v>
      </c>
      <c r="K112" s="96" t="e">
        <f t="shared" si="54"/>
        <v>#DIV/0!</v>
      </c>
    </row>
    <row r="113" spans="2:11" x14ac:dyDescent="0.35">
      <c r="B113" t="s">
        <v>187</v>
      </c>
      <c r="C113" t="s">
        <v>188</v>
      </c>
      <c r="D113" s="96">
        <f t="shared" ref="D113:K113" si="55">(D10/D44-1)</f>
        <v>-0.22691231343283569</v>
      </c>
      <c r="E113" s="96">
        <f t="shared" si="55"/>
        <v>-0.15171159775476317</v>
      </c>
      <c r="F113" s="96">
        <f t="shared" si="55"/>
        <v>-0.15171159775476317</v>
      </c>
      <c r="G113" s="96">
        <f t="shared" si="55"/>
        <v>-0.15171159775476317</v>
      </c>
      <c r="H113" s="96">
        <f t="shared" si="55"/>
        <v>-0.15171159775476317</v>
      </c>
      <c r="I113" s="96">
        <f t="shared" si="55"/>
        <v>-0.15171159775476317</v>
      </c>
      <c r="J113" s="96">
        <f t="shared" si="55"/>
        <v>-0.15171159775476317</v>
      </c>
      <c r="K113" s="96">
        <f t="shared" si="55"/>
        <v>-0.15171159775476317</v>
      </c>
    </row>
    <row r="114" spans="2:11" x14ac:dyDescent="0.35">
      <c r="B114" t="s">
        <v>189</v>
      </c>
      <c r="C114" t="s">
        <v>190</v>
      </c>
      <c r="D114" s="96">
        <f t="shared" ref="D114:K114" si="56">(D11/D45-1)</f>
        <v>0</v>
      </c>
      <c r="E114" s="96" t="e">
        <f t="shared" si="56"/>
        <v>#DIV/0!</v>
      </c>
      <c r="F114" s="96" t="e">
        <f t="shared" si="56"/>
        <v>#DIV/0!</v>
      </c>
      <c r="G114" s="96" t="e">
        <f t="shared" si="56"/>
        <v>#DIV/0!</v>
      </c>
      <c r="H114" s="96" t="e">
        <f t="shared" si="56"/>
        <v>#DIV/0!</v>
      </c>
      <c r="I114" s="96" t="e">
        <f t="shared" si="56"/>
        <v>#DIV/0!</v>
      </c>
      <c r="J114" s="96" t="e">
        <f t="shared" si="56"/>
        <v>#DIV/0!</v>
      </c>
      <c r="K114" s="96" t="e">
        <f t="shared" si="56"/>
        <v>#DIV/0!</v>
      </c>
    </row>
    <row r="115" spans="2:11" x14ac:dyDescent="0.35">
      <c r="B115" t="s">
        <v>191</v>
      </c>
      <c r="C115" t="s">
        <v>192</v>
      </c>
      <c r="D115" s="96" t="e">
        <f t="shared" ref="D115:K115" si="57">(D12/D46-1)</f>
        <v>#DIV/0!</v>
      </c>
      <c r="E115" s="96" t="e">
        <f t="shared" si="57"/>
        <v>#DIV/0!</v>
      </c>
      <c r="F115" s="96" t="e">
        <f t="shared" si="57"/>
        <v>#DIV/0!</v>
      </c>
      <c r="G115" s="96" t="e">
        <f t="shared" si="57"/>
        <v>#DIV/0!</v>
      </c>
      <c r="H115" s="96" t="e">
        <f t="shared" si="57"/>
        <v>#DIV/0!</v>
      </c>
      <c r="I115" s="96" t="e">
        <f t="shared" si="57"/>
        <v>#DIV/0!</v>
      </c>
      <c r="J115" s="96" t="e">
        <f t="shared" si="57"/>
        <v>#DIV/0!</v>
      </c>
      <c r="K115" s="96" t="e">
        <f t="shared" si="57"/>
        <v>#DIV/0!</v>
      </c>
    </row>
    <row r="116" spans="2:11" x14ac:dyDescent="0.35">
      <c r="B116" t="s">
        <v>193</v>
      </c>
      <c r="C116" t="s">
        <v>194</v>
      </c>
      <c r="D116" s="96">
        <f t="shared" ref="D116:K116" si="58">(D13/D47-1)</f>
        <v>0</v>
      </c>
      <c r="E116" s="96">
        <f t="shared" si="58"/>
        <v>0</v>
      </c>
      <c r="F116" s="96">
        <f t="shared" si="58"/>
        <v>0</v>
      </c>
      <c r="G116" s="96">
        <f t="shared" si="58"/>
        <v>0</v>
      </c>
      <c r="H116" s="96">
        <f t="shared" si="58"/>
        <v>0</v>
      </c>
      <c r="I116" s="96">
        <f t="shared" si="58"/>
        <v>0</v>
      </c>
      <c r="J116" s="96">
        <f t="shared" si="58"/>
        <v>0</v>
      </c>
      <c r="K116" s="96">
        <f t="shared" si="58"/>
        <v>0</v>
      </c>
    </row>
    <row r="117" spans="2:11" x14ac:dyDescent="0.35">
      <c r="B117" t="s">
        <v>195</v>
      </c>
      <c r="C117" t="s">
        <v>196</v>
      </c>
      <c r="D117" s="96">
        <f t="shared" ref="D117:K117" si="59">(D14/D48-1)</f>
        <v>-1.5848249817183357E-2</v>
      </c>
      <c r="E117" s="96">
        <f t="shared" si="59"/>
        <v>-2.3617774915699608E-2</v>
      </c>
      <c r="F117" s="96">
        <f t="shared" si="59"/>
        <v>-1.812141424748781E-2</v>
      </c>
      <c r="G117" s="96">
        <f t="shared" si="59"/>
        <v>-9.8431937603093989E-3</v>
      </c>
      <c r="H117" s="96">
        <f t="shared" si="59"/>
        <v>-2.0933839763259354E-2</v>
      </c>
      <c r="I117" s="96">
        <f t="shared" si="59"/>
        <v>-3.1075752457309203E-2</v>
      </c>
      <c r="J117" s="96">
        <f t="shared" si="59"/>
        <v>-3.9427581423583935E-2</v>
      </c>
      <c r="K117" s="96">
        <f t="shared" si="59"/>
        <v>-4.6967696377985146E-2</v>
      </c>
    </row>
    <row r="118" spans="2:11" x14ac:dyDescent="0.35">
      <c r="B118" t="s">
        <v>197</v>
      </c>
      <c r="C118" t="s">
        <v>198</v>
      </c>
      <c r="D118" s="96">
        <f t="shared" ref="D118:K118" si="60">(D15/D49-1)</f>
        <v>1.1071373376018823E-2</v>
      </c>
      <c r="E118" s="96">
        <f t="shared" si="60"/>
        <v>1.1336199751859954E-2</v>
      </c>
      <c r="F118" s="96">
        <f t="shared" si="60"/>
        <v>1.6290527059515947E-2</v>
      </c>
      <c r="G118" s="96">
        <f t="shared" si="60"/>
        <v>2.405434582773669E-2</v>
      </c>
      <c r="H118" s="96">
        <f t="shared" si="60"/>
        <v>2.7262016986870696E-2</v>
      </c>
      <c r="I118" s="96">
        <f t="shared" si="60"/>
        <v>1.8066731551226622E-2</v>
      </c>
      <c r="J118" s="96">
        <f t="shared" si="60"/>
        <v>8.9802107837626544E-3</v>
      </c>
      <c r="K118" s="96">
        <f t="shared" si="60"/>
        <v>8.6336630254058022E-4</v>
      </c>
    </row>
    <row r="119" spans="2:11" x14ac:dyDescent="0.35">
      <c r="B119" t="s">
        <v>46</v>
      </c>
      <c r="C119" t="s">
        <v>199</v>
      </c>
      <c r="D119" s="96">
        <f t="shared" ref="D119:K119" si="61">(D16/D50-1)</f>
        <v>4.7852259788376816E-3</v>
      </c>
      <c r="E119" s="96">
        <f t="shared" si="61"/>
        <v>1.1530054352738128E-2</v>
      </c>
      <c r="F119" s="96">
        <f t="shared" si="61"/>
        <v>1.832015878028348E-2</v>
      </c>
      <c r="G119" s="96">
        <f t="shared" si="61"/>
        <v>2.515584318633679E-2</v>
      </c>
      <c r="H119" s="96">
        <f t="shared" si="61"/>
        <v>2.6563079196121775E-2</v>
      </c>
      <c r="I119" s="96">
        <f t="shared" si="61"/>
        <v>2.797224692506961E-2</v>
      </c>
      <c r="J119" s="96">
        <f t="shared" si="61"/>
        <v>2.9383349024859839E-2</v>
      </c>
      <c r="K119" s="96">
        <f t="shared" si="61"/>
        <v>3.0796388150812204E-2</v>
      </c>
    </row>
    <row r="120" spans="2:11" x14ac:dyDescent="0.35">
      <c r="B120" t="s">
        <v>200</v>
      </c>
      <c r="C120" t="s">
        <v>201</v>
      </c>
      <c r="D120" s="96" t="e">
        <f t="shared" ref="D120:K120" si="62">(D17/D51-1)</f>
        <v>#DIV/0!</v>
      </c>
      <c r="E120" s="96" t="e">
        <f t="shared" si="62"/>
        <v>#DIV/0!</v>
      </c>
      <c r="F120" s="96" t="e">
        <f t="shared" si="62"/>
        <v>#DIV/0!</v>
      </c>
      <c r="G120" s="96" t="e">
        <f t="shared" si="62"/>
        <v>#DIV/0!</v>
      </c>
      <c r="H120" s="96" t="e">
        <f t="shared" si="62"/>
        <v>#DIV/0!</v>
      </c>
      <c r="I120" s="96" t="e">
        <f t="shared" si="62"/>
        <v>#DIV/0!</v>
      </c>
      <c r="J120" s="96" t="e">
        <f t="shared" si="62"/>
        <v>#DIV/0!</v>
      </c>
      <c r="K120" s="96" t="e">
        <f t="shared" si="62"/>
        <v>#DIV/0!</v>
      </c>
    </row>
    <row r="121" spans="2:11" x14ac:dyDescent="0.35">
      <c r="B121" t="s">
        <v>202</v>
      </c>
      <c r="C121" t="s">
        <v>203</v>
      </c>
      <c r="D121" s="96" t="e">
        <f t="shared" ref="D121:K121" si="63">(D18/D52-1)</f>
        <v>#DIV/0!</v>
      </c>
      <c r="E121" s="96" t="e">
        <f t="shared" si="63"/>
        <v>#DIV/0!</v>
      </c>
      <c r="F121" s="96" t="e">
        <f t="shared" si="63"/>
        <v>#DIV/0!</v>
      </c>
      <c r="G121" s="96" t="e">
        <f t="shared" si="63"/>
        <v>#DIV/0!</v>
      </c>
      <c r="H121" s="96" t="e">
        <f t="shared" si="63"/>
        <v>#DIV/0!</v>
      </c>
      <c r="I121" s="96" t="e">
        <f t="shared" si="63"/>
        <v>#DIV/0!</v>
      </c>
      <c r="J121" s="96" t="e">
        <f t="shared" si="63"/>
        <v>#DIV/0!</v>
      </c>
      <c r="K121" s="96" t="e">
        <f t="shared" si="63"/>
        <v>#DIV/0!</v>
      </c>
    </row>
    <row r="122" spans="2:11" x14ac:dyDescent="0.35">
      <c r="B122" t="s">
        <v>204</v>
      </c>
      <c r="C122" t="s">
        <v>205</v>
      </c>
      <c r="D122" s="96">
        <f t="shared" ref="D122:K122" si="64">(D19/D53-1)</f>
        <v>0</v>
      </c>
      <c r="E122" s="96" t="e">
        <f t="shared" si="64"/>
        <v>#DIV/0!</v>
      </c>
      <c r="F122" s="96" t="e">
        <f t="shared" si="64"/>
        <v>#DIV/0!</v>
      </c>
      <c r="G122" s="96" t="e">
        <f t="shared" si="64"/>
        <v>#DIV/0!</v>
      </c>
      <c r="H122" s="96" t="e">
        <f t="shared" si="64"/>
        <v>#DIV/0!</v>
      </c>
      <c r="I122" s="96" t="e">
        <f t="shared" si="64"/>
        <v>#DIV/0!</v>
      </c>
      <c r="J122" s="96" t="e">
        <f t="shared" si="64"/>
        <v>#DIV/0!</v>
      </c>
      <c r="K122" s="96" t="e">
        <f t="shared" si="64"/>
        <v>#DIV/0!</v>
      </c>
    </row>
    <row r="123" spans="2:11" x14ac:dyDescent="0.35">
      <c r="B123" t="s">
        <v>206</v>
      </c>
      <c r="C123" t="s">
        <v>207</v>
      </c>
      <c r="D123" s="96">
        <f t="shared" ref="D123:K123" si="65">(D20/D54-1)</f>
        <v>0</v>
      </c>
      <c r="E123" s="96" t="e">
        <f t="shared" si="65"/>
        <v>#DIV/0!</v>
      </c>
      <c r="F123" s="96" t="e">
        <f t="shared" si="65"/>
        <v>#DIV/0!</v>
      </c>
      <c r="G123" s="96" t="e">
        <f t="shared" si="65"/>
        <v>#DIV/0!</v>
      </c>
      <c r="H123" s="96" t="e">
        <f t="shared" si="65"/>
        <v>#DIV/0!</v>
      </c>
      <c r="I123" s="96" t="e">
        <f t="shared" si="65"/>
        <v>#DIV/0!</v>
      </c>
      <c r="J123" s="96" t="e">
        <f t="shared" si="65"/>
        <v>#DIV/0!</v>
      </c>
      <c r="K123" s="96" t="e">
        <f t="shared" si="65"/>
        <v>#DIV/0!</v>
      </c>
    </row>
    <row r="124" spans="2:11" x14ac:dyDescent="0.35">
      <c r="B124" t="s">
        <v>208</v>
      </c>
      <c r="C124" t="s">
        <v>209</v>
      </c>
      <c r="D124" s="96">
        <f t="shared" ref="D124:K124" si="66">(D21/D55-1)</f>
        <v>-4.498565308125646E-3</v>
      </c>
      <c r="E124" s="96">
        <f t="shared" si="66"/>
        <v>-1.8933452602379885E-3</v>
      </c>
      <c r="F124" s="96">
        <f t="shared" si="66"/>
        <v>-4.2759153823312968E-3</v>
      </c>
      <c r="G124" s="96">
        <f t="shared" si="66"/>
        <v>-6.6767619871088701E-3</v>
      </c>
      <c r="H124" s="96">
        <f t="shared" si="66"/>
        <v>-9.1267798445940906E-3</v>
      </c>
      <c r="I124" s="96">
        <f t="shared" si="66"/>
        <v>-1.1414835904431597E-2</v>
      </c>
      <c r="J124" s="96">
        <f t="shared" si="66"/>
        <v>-1.3849146736905515E-2</v>
      </c>
      <c r="K124" s="96">
        <f t="shared" si="66"/>
        <v>-1.6304517246975569E-2</v>
      </c>
    </row>
    <row r="125" spans="2:11" x14ac:dyDescent="0.35">
      <c r="B125" t="s">
        <v>210</v>
      </c>
      <c r="C125" t="s">
        <v>211</v>
      </c>
      <c r="D125" s="96">
        <f t="shared" ref="D125:K125" si="67">(D22/D56-1)</f>
        <v>0</v>
      </c>
      <c r="E125" s="96">
        <f t="shared" si="67"/>
        <v>0</v>
      </c>
      <c r="F125" s="96">
        <f t="shared" si="67"/>
        <v>0</v>
      </c>
      <c r="G125" s="96">
        <f t="shared" si="67"/>
        <v>0</v>
      </c>
      <c r="H125" s="96">
        <f t="shared" si="67"/>
        <v>0</v>
      </c>
      <c r="I125" s="96">
        <f t="shared" si="67"/>
        <v>0</v>
      </c>
      <c r="J125" s="96">
        <f t="shared" si="67"/>
        <v>0</v>
      </c>
      <c r="K125" s="96">
        <f t="shared" si="67"/>
        <v>0</v>
      </c>
    </row>
    <row r="126" spans="2:11" x14ac:dyDescent="0.35">
      <c r="B126" t="s">
        <v>212</v>
      </c>
      <c r="C126" t="s">
        <v>213</v>
      </c>
      <c r="D126" s="96">
        <f t="shared" ref="D126:K126" si="68">(D23/D57-1)</f>
        <v>-3.1231443123669322E-3</v>
      </c>
      <c r="E126" s="96">
        <f t="shared" si="68"/>
        <v>-2.54435048639301E-3</v>
      </c>
      <c r="F126" s="96">
        <f t="shared" si="68"/>
        <v>-6.5057935818159107E-3</v>
      </c>
      <c r="G126" s="96">
        <f t="shared" si="68"/>
        <v>-6.9740768891628502E-3</v>
      </c>
      <c r="H126" s="96">
        <f t="shared" si="68"/>
        <v>-9.4644850840985839E-3</v>
      </c>
      <c r="I126" s="96">
        <f t="shared" si="68"/>
        <v>6.968453174788225E-3</v>
      </c>
      <c r="J126" s="96">
        <f t="shared" si="68"/>
        <v>6.4376846647957731E-3</v>
      </c>
      <c r="K126" s="96">
        <f t="shared" si="68"/>
        <v>5.9198677000726896E-3</v>
      </c>
    </row>
    <row r="127" spans="2:11" x14ac:dyDescent="0.35">
      <c r="B127" t="s">
        <v>214</v>
      </c>
      <c r="C127" t="s">
        <v>215</v>
      </c>
      <c r="D127" s="96">
        <f t="shared" ref="D127:K127" si="69">(D24/D58-1)</f>
        <v>1.0044917294827371E-2</v>
      </c>
      <c r="E127" s="96">
        <f t="shared" si="69"/>
        <v>9.5607073714329971E-3</v>
      </c>
      <c r="F127" s="96">
        <f t="shared" si="69"/>
        <v>1.274526559337219E-2</v>
      </c>
      <c r="G127" s="96">
        <f t="shared" si="69"/>
        <v>1.5458385179506706E-2</v>
      </c>
      <c r="H127" s="96">
        <f t="shared" si="69"/>
        <v>1.6701353622455395E-2</v>
      </c>
      <c r="I127" s="96">
        <f t="shared" si="69"/>
        <v>1.6467223486395399E-2</v>
      </c>
      <c r="J127" s="96">
        <f t="shared" si="69"/>
        <v>1.7015620195296899E-2</v>
      </c>
      <c r="K127" s="96">
        <f t="shared" si="69"/>
        <v>1.7858972473790979E-2</v>
      </c>
    </row>
    <row r="128" spans="2:11" x14ac:dyDescent="0.35">
      <c r="B128" t="s">
        <v>216</v>
      </c>
      <c r="C128" t="s">
        <v>217</v>
      </c>
      <c r="D128" s="96">
        <f t="shared" ref="D128:K128" si="70">(D25/D59-1)</f>
        <v>0.3731328594710499</v>
      </c>
      <c r="E128" s="96">
        <f t="shared" si="70"/>
        <v>0.343346500361424</v>
      </c>
      <c r="F128" s="96">
        <f t="shared" si="70"/>
        <v>0.31420627478715724</v>
      </c>
      <c r="G128" s="96">
        <f t="shared" si="70"/>
        <v>0.28569816664967274</v>
      </c>
      <c r="H128" s="96">
        <f t="shared" si="70"/>
        <v>0.35006646730255175</v>
      </c>
      <c r="I128" s="96">
        <f t="shared" si="70"/>
        <v>0.33000387870670878</v>
      </c>
      <c r="J128" s="96">
        <f t="shared" si="70"/>
        <v>0.35078330251935608</v>
      </c>
      <c r="K128" s="96">
        <f t="shared" si="70"/>
        <v>0.37188737535062533</v>
      </c>
    </row>
    <row r="129" spans="2:11" x14ac:dyDescent="0.35">
      <c r="B129" t="s">
        <v>218</v>
      </c>
      <c r="C129" t="s">
        <v>219</v>
      </c>
      <c r="D129" s="96">
        <f t="shared" ref="D129:K129" si="71">(D26/D60-1)</f>
        <v>1.6181456984983855E-2</v>
      </c>
      <c r="E129" s="96">
        <f t="shared" si="71"/>
        <v>3.5564152099820445E-2</v>
      </c>
      <c r="F129" s="96">
        <f t="shared" si="71"/>
        <v>3.6730250519422025E-2</v>
      </c>
      <c r="G129" s="96">
        <f t="shared" si="71"/>
        <v>4.1614312169310441E-2</v>
      </c>
      <c r="H129" s="96">
        <f t="shared" si="71"/>
        <v>4.6886344813890535E-2</v>
      </c>
      <c r="I129" s="96">
        <f t="shared" si="71"/>
        <v>4.5678915275992216E-2</v>
      </c>
      <c r="J129" s="96">
        <f t="shared" si="71"/>
        <v>5.0038035107734746E-2</v>
      </c>
      <c r="K129" s="96">
        <f t="shared" si="71"/>
        <v>5.3280555258024442E-2</v>
      </c>
    </row>
    <row r="130" spans="2:11" x14ac:dyDescent="0.35">
      <c r="B130" s="44" t="s">
        <v>1336</v>
      </c>
      <c r="C130" s="44" t="s">
        <v>1335</v>
      </c>
      <c r="D130" s="96">
        <f t="shared" ref="D130:K130" si="72">(D27/D61-1)</f>
        <v>0</v>
      </c>
      <c r="E130" s="96">
        <f t="shared" si="72"/>
        <v>0</v>
      </c>
      <c r="F130" s="96">
        <f t="shared" si="72"/>
        <v>0</v>
      </c>
      <c r="G130" s="96">
        <f t="shared" si="72"/>
        <v>0</v>
      </c>
      <c r="H130" s="96">
        <f t="shared" si="72"/>
        <v>0</v>
      </c>
      <c r="I130" s="96">
        <f t="shared" si="72"/>
        <v>0</v>
      </c>
      <c r="J130" s="96">
        <f t="shared" si="72"/>
        <v>0</v>
      </c>
      <c r="K130" s="96" t="e">
        <f t="shared" si="72"/>
        <v>#DIV/0!</v>
      </c>
    </row>
    <row r="131" spans="2:11" x14ac:dyDescent="0.35">
      <c r="B131" s="44"/>
      <c r="D131" s="96"/>
      <c r="E131" s="96"/>
      <c r="F131" s="96"/>
      <c r="G131" s="96"/>
      <c r="H131" s="96"/>
      <c r="I131" s="96"/>
      <c r="J131" s="96"/>
      <c r="K131" s="96"/>
    </row>
    <row r="132" spans="2:11" x14ac:dyDescent="0.35">
      <c r="B132" s="83" t="s">
        <v>1840</v>
      </c>
      <c r="D132" s="96"/>
      <c r="E132" s="96"/>
      <c r="F132" s="96"/>
      <c r="G132" s="96"/>
      <c r="H132" s="96"/>
      <c r="I132" s="96"/>
      <c r="J132" s="96"/>
      <c r="K132" s="96"/>
    </row>
    <row r="133" spans="2:11" x14ac:dyDescent="0.35">
      <c r="B133" s="44" t="s">
        <v>1657</v>
      </c>
      <c r="D133" s="96">
        <f t="shared" ref="D133:K133" si="73">(D30/D64-1)</f>
        <v>0.21443971117280092</v>
      </c>
      <c r="E133" s="96">
        <f t="shared" si="73"/>
        <v>0.31433457111543306</v>
      </c>
      <c r="F133" s="96">
        <f t="shared" si="73"/>
        <v>0.36338984886614289</v>
      </c>
      <c r="G133" s="96">
        <f t="shared" si="73"/>
        <v>0.2957323931323268</v>
      </c>
      <c r="H133" s="96">
        <f t="shared" si="73"/>
        <v>0.20045625108245235</v>
      </c>
      <c r="I133" s="96">
        <f t="shared" si="73"/>
        <v>0.16929345215485347</v>
      </c>
      <c r="J133" s="96">
        <f t="shared" si="73"/>
        <v>0.14506232203562797</v>
      </c>
      <c r="K133" s="96">
        <f t="shared" si="73"/>
        <v>0.1267809787482046</v>
      </c>
    </row>
    <row r="134" spans="2:11" x14ac:dyDescent="0.35">
      <c r="B134" s="44" t="s">
        <v>1658</v>
      </c>
      <c r="D134" s="96">
        <f t="shared" ref="D134:K134" si="74">(D31/D65-1)</f>
        <v>4.7636787354103163</v>
      </c>
      <c r="E134" s="96">
        <f t="shared" si="74"/>
        <v>-3.9154375879592158</v>
      </c>
      <c r="F134" s="96">
        <f t="shared" si="74"/>
        <v>0.39001628870963345</v>
      </c>
      <c r="G134" s="96">
        <f t="shared" si="74"/>
        <v>0.44700838745518578</v>
      </c>
      <c r="H134" s="96">
        <f t="shared" si="74"/>
        <v>-0.13792300078246933</v>
      </c>
      <c r="I134" s="96">
        <f t="shared" si="74"/>
        <v>-0.12784259810890719</v>
      </c>
      <c r="J134" s="96">
        <f t="shared" si="74"/>
        <v>-0.3082887766530894</v>
      </c>
      <c r="K134" s="96">
        <f t="shared" si="74"/>
        <v>-0.22351353357659431</v>
      </c>
    </row>
    <row r="135" spans="2:11" x14ac:dyDescent="0.35">
      <c r="B135" s="44" t="s">
        <v>1659</v>
      </c>
      <c r="D135" s="96">
        <f t="shared" ref="D135:K135" si="75">(D32/D66-1)</f>
        <v>-0.45272805977677477</v>
      </c>
      <c r="E135" s="96">
        <f t="shared" si="75"/>
        <v>-0.14604139046615983</v>
      </c>
      <c r="F135" s="96">
        <f t="shared" si="75"/>
        <v>7.8727413170624594E-2</v>
      </c>
      <c r="G135" s="96">
        <f t="shared" si="75"/>
        <v>9.0903595755201128E-2</v>
      </c>
      <c r="H135" s="96">
        <f t="shared" si="75"/>
        <v>5.3922913493460678E-2</v>
      </c>
      <c r="I135" s="96">
        <f t="shared" si="75"/>
        <v>7.2152141906814293E-2</v>
      </c>
      <c r="J135" s="96">
        <f t="shared" si="75"/>
        <v>5.3761401078503246E-2</v>
      </c>
      <c r="K135" s="96">
        <f t="shared" si="75"/>
        <v>3.9989564084843332E-2</v>
      </c>
    </row>
    <row r="136" spans="2:11" x14ac:dyDescent="0.35">
      <c r="B136" s="44" t="s">
        <v>1660</v>
      </c>
      <c r="D136" s="96">
        <f t="shared" ref="D136:K136" si="76">(D33/D67-1)</f>
        <v>-0.57243213773298818</v>
      </c>
      <c r="E136" s="96">
        <f t="shared" si="76"/>
        <v>-0.14604139046615983</v>
      </c>
      <c r="F136" s="96">
        <f t="shared" si="76"/>
        <v>7.8727413170624594E-2</v>
      </c>
      <c r="G136" s="96">
        <f t="shared" si="76"/>
        <v>9.0903595755201128E-2</v>
      </c>
      <c r="H136" s="96">
        <f t="shared" si="76"/>
        <v>5.3922913493460678E-2</v>
      </c>
      <c r="I136" s="96">
        <f t="shared" si="76"/>
        <v>7.2152141906814293E-2</v>
      </c>
      <c r="J136" s="96">
        <f t="shared" si="76"/>
        <v>5.3761401078503246E-2</v>
      </c>
      <c r="K136" s="96">
        <f t="shared" si="76"/>
        <v>3.9989564084843332E-2</v>
      </c>
    </row>
    <row r="137" spans="2:11" x14ac:dyDescent="0.35">
      <c r="B137" s="44" t="s">
        <v>1661</v>
      </c>
      <c r="D137" s="96">
        <f t="shared" ref="D137:K137" si="77">(D34/D68-1)</f>
        <v>4.9885301396427328E-2</v>
      </c>
      <c r="E137" s="96">
        <f t="shared" si="77"/>
        <v>-0.14604139046615983</v>
      </c>
      <c r="F137" s="96">
        <f t="shared" si="77"/>
        <v>7.8727413170624594E-2</v>
      </c>
      <c r="G137" s="96">
        <f t="shared" si="77"/>
        <v>9.0903595755201128E-2</v>
      </c>
      <c r="H137" s="96">
        <f t="shared" si="77"/>
        <v>5.3922913493460678E-2</v>
      </c>
      <c r="I137" s="96">
        <f t="shared" si="77"/>
        <v>7.2152141906814293E-2</v>
      </c>
      <c r="J137" s="96">
        <f t="shared" si="77"/>
        <v>5.3761401078503246E-2</v>
      </c>
      <c r="K137" s="96">
        <f t="shared" si="77"/>
        <v>3.9989564084843332E-2</v>
      </c>
    </row>
  </sheetData>
  <mergeCells count="4">
    <mergeCell ref="B2:L2"/>
    <mergeCell ref="B36:L36"/>
    <mergeCell ref="B70:L70"/>
    <mergeCell ref="B105:L105"/>
  </mergeCells>
  <conditionalFormatting sqref="D72:K95 D96:J97 D98:H103 I99:K103 D107:K137">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S95"/>
  <sheetViews>
    <sheetView zoomScaleNormal="100" workbookViewId="0">
      <pane xSplit="2" ySplit="7" topLeftCell="AG80" activePane="bottomRight" state="frozen"/>
      <selection activeCell="C1" sqref="C1"/>
      <selection pane="topRight" activeCell="C1" sqref="C1"/>
      <selection pane="bottomLeft" activeCell="C1" sqref="C1"/>
      <selection pane="bottomRight" activeCell="AQ85" sqref="AQ85"/>
    </sheetView>
  </sheetViews>
  <sheetFormatPr defaultColWidth="10.90625" defaultRowHeight="14.5" x14ac:dyDescent="0.35"/>
  <cols>
    <col min="1" max="1" width="9" customWidth="1"/>
    <col min="2" max="2" width="65" customWidth="1"/>
    <col min="3" max="31" width="11.54296875" customWidth="1"/>
    <col min="36" max="44" width="11.81640625" customWidth="1"/>
    <col min="45" max="45" width="17.7265625" customWidth="1"/>
  </cols>
  <sheetData>
    <row r="2" spans="1:45" ht="21" customHeight="1" x14ac:dyDescent="0.5">
      <c r="A2" s="1373" t="s">
        <v>1758</v>
      </c>
      <c r="B2" s="1373"/>
      <c r="C2" s="1373"/>
      <c r="D2" s="1373"/>
      <c r="E2" s="1373"/>
      <c r="F2" s="1373"/>
      <c r="G2" s="1373"/>
      <c r="H2" s="1373"/>
      <c r="I2" s="1373"/>
      <c r="J2" s="1373"/>
      <c r="K2" s="124"/>
      <c r="L2" s="167"/>
      <c r="M2" s="178"/>
      <c r="N2" s="156"/>
      <c r="O2" s="167"/>
      <c r="P2" s="178"/>
      <c r="Q2" s="156"/>
      <c r="R2" s="167"/>
      <c r="S2" s="178"/>
      <c r="T2" s="156"/>
      <c r="U2" s="167"/>
      <c r="V2" s="178"/>
      <c r="W2" s="156"/>
      <c r="X2" s="167"/>
      <c r="Y2" s="178"/>
      <c r="Z2" s="156"/>
      <c r="AA2" s="167"/>
      <c r="AB2" s="178"/>
      <c r="AC2" s="156"/>
      <c r="AD2" s="167"/>
      <c r="AE2" s="178"/>
      <c r="AF2" s="186"/>
      <c r="AG2" s="236"/>
      <c r="AH2" s="98"/>
      <c r="AI2" s="185"/>
      <c r="AJ2" s="236"/>
      <c r="AK2" s="98"/>
      <c r="AL2" s="238"/>
      <c r="AM2" s="236"/>
      <c r="AN2" s="98"/>
      <c r="AO2" s="238"/>
      <c r="AP2" s="236"/>
      <c r="AQ2" s="98"/>
      <c r="AR2" s="238"/>
    </row>
    <row r="3" spans="1:45" x14ac:dyDescent="0.35">
      <c r="A3" s="83" t="s">
        <v>838</v>
      </c>
      <c r="B3" s="83"/>
      <c r="C3" s="83"/>
      <c r="D3" s="83"/>
      <c r="E3" s="83"/>
      <c r="F3" s="83"/>
      <c r="G3" s="83"/>
      <c r="H3" s="83"/>
      <c r="I3" s="83"/>
      <c r="J3" s="83"/>
      <c r="K3" s="83"/>
      <c r="L3" s="168"/>
      <c r="M3" s="179"/>
      <c r="N3" s="186"/>
      <c r="O3" s="168"/>
      <c r="P3" s="179"/>
      <c r="Q3" s="186"/>
      <c r="R3" s="168"/>
      <c r="S3" s="179"/>
      <c r="T3" s="186"/>
      <c r="U3" s="168"/>
      <c r="V3" s="179"/>
      <c r="W3" s="186"/>
      <c r="X3" s="168"/>
      <c r="Y3" s="179"/>
      <c r="Z3" s="186"/>
      <c r="AA3" s="168"/>
      <c r="AB3" s="179"/>
      <c r="AC3" s="186"/>
      <c r="AD3" s="168"/>
      <c r="AE3" s="179"/>
      <c r="AF3" s="186"/>
      <c r="AG3" s="236"/>
      <c r="AH3" s="98"/>
      <c r="AI3" s="185"/>
      <c r="AJ3" s="236"/>
      <c r="AK3" s="98"/>
      <c r="AL3" s="238"/>
      <c r="AM3" s="236"/>
      <c r="AN3" s="98"/>
      <c r="AO3" s="238"/>
      <c r="AP3" s="236"/>
      <c r="AQ3" s="98"/>
      <c r="AR3" s="238"/>
    </row>
    <row r="4" spans="1:45" ht="15" customHeight="1" thickBot="1" x14ac:dyDescent="0.4">
      <c r="A4" s="1374"/>
      <c r="B4" s="1374"/>
      <c r="C4" s="1374"/>
      <c r="D4" s="84"/>
      <c r="E4" s="84"/>
      <c r="F4" s="84"/>
      <c r="G4" s="84"/>
      <c r="H4" s="84"/>
      <c r="I4" s="84"/>
      <c r="J4" s="84"/>
      <c r="K4" s="84"/>
      <c r="L4" s="169"/>
      <c r="M4" s="182"/>
      <c r="N4" s="158"/>
      <c r="O4" s="169"/>
      <c r="P4" s="182"/>
      <c r="Q4" s="158"/>
      <c r="R4" s="169"/>
      <c r="S4" s="182"/>
      <c r="T4" s="158"/>
      <c r="U4" s="169"/>
      <c r="V4" s="182"/>
      <c r="W4" s="158"/>
      <c r="X4" s="169"/>
      <c r="Y4" s="182"/>
      <c r="Z4" s="158"/>
      <c r="AA4" s="169"/>
      <c r="AB4" s="182"/>
      <c r="AC4" s="158"/>
      <c r="AD4" s="169"/>
      <c r="AE4" s="182"/>
      <c r="AF4" s="238"/>
      <c r="AG4" s="236"/>
      <c r="AH4" s="98"/>
      <c r="AI4" s="185"/>
      <c r="AJ4" s="236"/>
      <c r="AK4" s="98"/>
      <c r="AL4" s="238"/>
      <c r="AM4" s="236"/>
      <c r="AN4" s="98"/>
      <c r="AO4" s="238"/>
      <c r="AP4" s="236"/>
      <c r="AQ4" s="98"/>
      <c r="AR4" s="238"/>
    </row>
    <row r="5" spans="1:45" x14ac:dyDescent="0.35">
      <c r="A5" s="1375" t="s">
        <v>778</v>
      </c>
      <c r="B5" s="1378"/>
      <c r="C5" s="1381" t="s">
        <v>849</v>
      </c>
      <c r="D5" s="1381" t="s">
        <v>849</v>
      </c>
      <c r="E5" s="1381" t="s">
        <v>849</v>
      </c>
      <c r="F5" s="1381" t="s">
        <v>849</v>
      </c>
      <c r="G5" s="1381" t="s">
        <v>849</v>
      </c>
      <c r="H5" s="1381" t="s">
        <v>849</v>
      </c>
      <c r="I5" s="1381" t="s">
        <v>849</v>
      </c>
      <c r="J5" s="1382" t="s">
        <v>849</v>
      </c>
      <c r="K5" s="232"/>
      <c r="L5" s="170"/>
      <c r="M5" s="195"/>
      <c r="N5" s="159"/>
      <c r="O5" s="170"/>
      <c r="P5" s="195"/>
      <c r="Q5" s="159"/>
      <c r="R5" s="170"/>
      <c r="S5" s="195"/>
      <c r="T5" s="159"/>
      <c r="U5" s="170"/>
      <c r="V5" s="195"/>
      <c r="W5" s="159"/>
      <c r="X5" s="170"/>
      <c r="Y5" s="195"/>
      <c r="Z5" s="159"/>
      <c r="AA5" s="170"/>
      <c r="AB5" s="195"/>
      <c r="AC5" s="159"/>
      <c r="AD5" s="170"/>
      <c r="AE5" s="195"/>
      <c r="AF5" s="238"/>
      <c r="AG5" s="236"/>
      <c r="AH5" s="98"/>
      <c r="AI5" s="185"/>
      <c r="AJ5" s="236"/>
      <c r="AK5" s="98"/>
      <c r="AL5" s="238"/>
      <c r="AM5" s="236"/>
      <c r="AN5" s="98"/>
      <c r="AO5" s="238"/>
      <c r="AP5" s="236"/>
      <c r="AQ5" s="98"/>
      <c r="AR5" s="238"/>
    </row>
    <row r="6" spans="1:45" x14ac:dyDescent="0.35">
      <c r="A6" s="1376" t="s">
        <v>778</v>
      </c>
      <c r="B6" s="1379"/>
      <c r="C6" s="1383">
        <v>2022</v>
      </c>
      <c r="D6" s="1384"/>
      <c r="E6" s="1384"/>
      <c r="F6" s="1384"/>
      <c r="G6" s="1384"/>
      <c r="H6" s="1385"/>
      <c r="I6" s="1383">
        <v>2023</v>
      </c>
      <c r="J6" s="1384">
        <v>2023</v>
      </c>
      <c r="K6" s="1385">
        <v>2023</v>
      </c>
      <c r="L6" s="171"/>
      <c r="M6" s="199"/>
      <c r="N6" s="160"/>
      <c r="O6" s="171"/>
      <c r="P6" s="199"/>
      <c r="Q6" s="160"/>
      <c r="R6" s="171"/>
      <c r="S6" s="199"/>
      <c r="T6" s="160"/>
      <c r="U6" s="171"/>
      <c r="V6" s="199"/>
      <c r="W6" s="160"/>
      <c r="X6" s="171"/>
      <c r="Y6" s="199"/>
      <c r="Z6" s="160"/>
      <c r="AA6" s="171"/>
      <c r="AB6" s="199"/>
      <c r="AC6" s="160"/>
      <c r="AD6" s="171"/>
      <c r="AE6" s="199"/>
      <c r="AF6" s="238"/>
      <c r="AG6" s="236"/>
      <c r="AH6" s="98"/>
      <c r="AI6" s="185"/>
      <c r="AJ6" s="236"/>
      <c r="AK6" s="98"/>
      <c r="AL6" s="238"/>
      <c r="AM6" s="236"/>
      <c r="AN6" s="98"/>
      <c r="AO6" s="238"/>
      <c r="AP6" s="236"/>
      <c r="AQ6" s="98"/>
      <c r="AR6" s="238"/>
    </row>
    <row r="7" spans="1:45" ht="32.5" customHeight="1" x14ac:dyDescent="0.35">
      <c r="A7" s="1377" t="s">
        <v>778</v>
      </c>
      <c r="B7" s="1380"/>
      <c r="C7" s="235" t="s">
        <v>1700</v>
      </c>
      <c r="D7" s="235" t="s">
        <v>1776</v>
      </c>
      <c r="E7" s="235" t="s">
        <v>1777</v>
      </c>
      <c r="F7" s="235" t="s">
        <v>1781</v>
      </c>
      <c r="G7" s="235" t="s">
        <v>1782</v>
      </c>
      <c r="H7" s="235" t="s">
        <v>1783</v>
      </c>
      <c r="I7" s="235" t="s">
        <v>222</v>
      </c>
      <c r="J7" s="235" t="s">
        <v>223</v>
      </c>
      <c r="K7" s="235" t="s">
        <v>1830</v>
      </c>
      <c r="L7" s="207" t="s">
        <v>1838</v>
      </c>
      <c r="M7" s="213" t="s">
        <v>1839</v>
      </c>
      <c r="N7" s="219" t="s">
        <v>1843</v>
      </c>
      <c r="O7" s="207" t="s">
        <v>1844</v>
      </c>
      <c r="P7" s="213" t="s">
        <v>1776</v>
      </c>
      <c r="Q7" s="219" t="s">
        <v>1777</v>
      </c>
      <c r="R7" s="207" t="s">
        <v>1781</v>
      </c>
      <c r="S7" s="213" t="s">
        <v>1877</v>
      </c>
      <c r="T7" s="219" t="s">
        <v>1871</v>
      </c>
      <c r="U7" s="207" t="s">
        <v>222</v>
      </c>
      <c r="V7" s="213" t="s">
        <v>223</v>
      </c>
      <c r="W7" s="219" t="s">
        <v>1830</v>
      </c>
      <c r="X7" s="207" t="s">
        <v>1906</v>
      </c>
      <c r="Y7" s="213" t="s">
        <v>865</v>
      </c>
      <c r="Z7" s="219" t="s">
        <v>1843</v>
      </c>
      <c r="AA7" s="207" t="s">
        <v>1844</v>
      </c>
      <c r="AB7" s="213" t="s">
        <v>1776</v>
      </c>
      <c r="AC7" s="219" t="s">
        <v>1777</v>
      </c>
      <c r="AD7" s="170" t="s">
        <v>1907</v>
      </c>
      <c r="AE7" s="195" t="s">
        <v>1921</v>
      </c>
      <c r="AF7" s="238" t="s">
        <v>1922</v>
      </c>
      <c r="AG7" s="236" t="s">
        <v>222</v>
      </c>
      <c r="AH7" s="98" t="s">
        <v>223</v>
      </c>
      <c r="AI7" s="238" t="s">
        <v>1830</v>
      </c>
      <c r="AJ7" s="236" t="s">
        <v>1906</v>
      </c>
      <c r="AK7" s="98" t="s">
        <v>865</v>
      </c>
      <c r="AL7" s="238" t="s">
        <v>1843</v>
      </c>
      <c r="AM7" s="236" t="s">
        <v>2021</v>
      </c>
      <c r="AN7" s="98" t="s">
        <v>2022</v>
      </c>
      <c r="AO7" s="238" t="s">
        <v>2025</v>
      </c>
      <c r="AP7" s="236" t="s">
        <v>1907</v>
      </c>
      <c r="AQ7" s="98" t="s">
        <v>1921</v>
      </c>
      <c r="AR7" s="238" t="s">
        <v>2383</v>
      </c>
      <c r="AS7" s="44" t="s">
        <v>2384</v>
      </c>
    </row>
    <row r="8" spans="1:45" x14ac:dyDescent="0.35">
      <c r="A8" s="228">
        <v>1</v>
      </c>
      <c r="B8" s="67" t="s">
        <v>227</v>
      </c>
      <c r="C8" s="237">
        <v>21852.3</v>
      </c>
      <c r="D8" s="237">
        <v>21975.8</v>
      </c>
      <c r="E8" s="99">
        <v>22080.400000000001</v>
      </c>
      <c r="F8" s="99">
        <v>22201.9</v>
      </c>
      <c r="G8" s="99">
        <v>22240.1</v>
      </c>
      <c r="H8" s="99">
        <v>22281.9</v>
      </c>
      <c r="I8" s="237">
        <v>22525.3</v>
      </c>
      <c r="J8" s="99">
        <v>22648.400000000001</v>
      </c>
      <c r="K8" s="237">
        <v>22757.9</v>
      </c>
      <c r="L8" s="208">
        <v>22806.1</v>
      </c>
      <c r="M8" s="214">
        <v>22876.6</v>
      </c>
      <c r="N8" s="135">
        <v>22921.4</v>
      </c>
      <c r="O8" s="196">
        <v>22986.400000000001</v>
      </c>
      <c r="P8" s="214">
        <v>23094.5</v>
      </c>
      <c r="Q8" s="135">
        <v>23176.2</v>
      </c>
      <c r="R8" s="208">
        <v>23189.4</v>
      </c>
      <c r="S8" s="214">
        <v>23241.5</v>
      </c>
      <c r="T8" s="180">
        <v>23311.599999999999</v>
      </c>
      <c r="U8" s="196">
        <v>24226.7</v>
      </c>
      <c r="V8" s="214">
        <v>24330.9</v>
      </c>
      <c r="W8" s="180">
        <v>24474.9</v>
      </c>
      <c r="X8" s="208">
        <v>24511.1</v>
      </c>
      <c r="Y8" s="214">
        <v>24584.2</v>
      </c>
      <c r="Z8" s="180">
        <v>24626.7</v>
      </c>
      <c r="AA8" s="208">
        <v>24669.3</v>
      </c>
      <c r="AB8" s="214">
        <v>24701.3</v>
      </c>
      <c r="AC8" s="220">
        <v>24779.7</v>
      </c>
      <c r="AD8" s="209">
        <v>24950.6</v>
      </c>
      <c r="AE8" s="215">
        <v>25037.1</v>
      </c>
      <c r="AF8" s="186">
        <v>25139.1</v>
      </c>
      <c r="AG8" s="109">
        <v>25570.5</v>
      </c>
      <c r="AH8" s="110">
        <v>25705.4</v>
      </c>
      <c r="AI8" s="111">
        <v>25877.3</v>
      </c>
      <c r="AJ8" s="112">
        <v>26061.1</v>
      </c>
      <c r="AK8" s="113">
        <v>25925.8</v>
      </c>
      <c r="AL8" s="114">
        <v>25975.7</v>
      </c>
      <c r="AM8" s="112">
        <v>26100.2</v>
      </c>
      <c r="AN8" s="113">
        <v>26200.400000000001</v>
      </c>
      <c r="AO8" s="114">
        <v>26292.400000000001</v>
      </c>
      <c r="AP8" s="112">
        <v>26328.5</v>
      </c>
      <c r="AQ8" s="113">
        <v>26426.1</v>
      </c>
      <c r="AR8" s="114">
        <v>26512.3</v>
      </c>
    </row>
    <row r="9" spans="1:45" x14ac:dyDescent="0.35">
      <c r="A9" s="229">
        <v>2</v>
      </c>
      <c r="B9" s="152" t="s">
        <v>1701</v>
      </c>
      <c r="C9" s="100">
        <v>13654.1</v>
      </c>
      <c r="D9" s="100">
        <v>13754.9</v>
      </c>
      <c r="E9" s="101">
        <v>13856.1</v>
      </c>
      <c r="F9" s="101">
        <v>13828.8</v>
      </c>
      <c r="G9" s="101">
        <v>13822.8</v>
      </c>
      <c r="H9" s="101">
        <v>13832.7</v>
      </c>
      <c r="I9" s="100">
        <v>13885.2</v>
      </c>
      <c r="J9" s="101">
        <v>13968.7</v>
      </c>
      <c r="K9" s="100">
        <v>14041.7</v>
      </c>
      <c r="L9" s="209">
        <v>14092.7</v>
      </c>
      <c r="M9" s="215">
        <v>14151.1</v>
      </c>
      <c r="N9" s="140">
        <v>14218.6</v>
      </c>
      <c r="O9" s="197">
        <v>14296.4</v>
      </c>
      <c r="P9" s="215">
        <v>14372.7</v>
      </c>
      <c r="Q9" s="140">
        <v>14437.1</v>
      </c>
      <c r="R9" s="209">
        <v>14416.2</v>
      </c>
      <c r="S9" s="215">
        <v>14436.6</v>
      </c>
      <c r="T9" s="181">
        <v>14491.6</v>
      </c>
      <c r="U9" s="197">
        <v>14686.6</v>
      </c>
      <c r="V9" s="215">
        <v>14836.5</v>
      </c>
      <c r="W9" s="181">
        <v>14948.1</v>
      </c>
      <c r="X9" s="209">
        <v>14914.1</v>
      </c>
      <c r="Y9" s="215">
        <v>14955.1</v>
      </c>
      <c r="Z9" s="181">
        <v>14967.6</v>
      </c>
      <c r="AA9" s="209">
        <v>14987</v>
      </c>
      <c r="AB9" s="215">
        <v>15038.4</v>
      </c>
      <c r="AC9" s="221">
        <v>15082.8</v>
      </c>
      <c r="AD9" s="209">
        <v>15184.8</v>
      </c>
      <c r="AE9" s="215">
        <v>15283.5</v>
      </c>
      <c r="AF9" s="186">
        <v>15354.2</v>
      </c>
      <c r="AG9" s="109">
        <v>15431.6</v>
      </c>
      <c r="AH9" s="110">
        <v>15509.4</v>
      </c>
      <c r="AI9" s="111">
        <v>15591.7</v>
      </c>
      <c r="AJ9" s="112">
        <v>15599.9</v>
      </c>
      <c r="AK9" s="113">
        <v>15615.2</v>
      </c>
      <c r="AL9" s="114">
        <v>15615.8</v>
      </c>
      <c r="AM9" s="112">
        <v>15701.6</v>
      </c>
      <c r="AN9" s="113">
        <v>15752.4</v>
      </c>
      <c r="AO9" s="114">
        <v>15809.7</v>
      </c>
      <c r="AP9" s="112">
        <v>15864</v>
      </c>
      <c r="AQ9" s="113">
        <v>15935.6</v>
      </c>
      <c r="AR9" s="114">
        <v>15966.5</v>
      </c>
    </row>
    <row r="10" spans="1:45" x14ac:dyDescent="0.35">
      <c r="A10" s="229">
        <v>3</v>
      </c>
      <c r="B10" s="153" t="s">
        <v>1702</v>
      </c>
      <c r="C10" s="100">
        <v>11271.8</v>
      </c>
      <c r="D10" s="100">
        <v>11360.7</v>
      </c>
      <c r="E10" s="101">
        <v>11450.6</v>
      </c>
      <c r="F10" s="101">
        <v>11420.4</v>
      </c>
      <c r="G10" s="101">
        <v>11408.7</v>
      </c>
      <c r="H10" s="101">
        <v>11412.7</v>
      </c>
      <c r="I10" s="100">
        <v>11494.7</v>
      </c>
      <c r="J10" s="101">
        <v>11568.5</v>
      </c>
      <c r="K10" s="100">
        <v>11633.1</v>
      </c>
      <c r="L10" s="209">
        <v>11680.1</v>
      </c>
      <c r="M10" s="215">
        <v>11730.8</v>
      </c>
      <c r="N10" s="140">
        <v>11788.9</v>
      </c>
      <c r="O10" s="197">
        <v>11855.6</v>
      </c>
      <c r="P10" s="215">
        <v>11921.2</v>
      </c>
      <c r="Q10" s="140">
        <v>11975.7</v>
      </c>
      <c r="R10" s="209">
        <v>11950.9</v>
      </c>
      <c r="S10" s="215">
        <v>11965.4</v>
      </c>
      <c r="T10" s="181">
        <v>12011.8</v>
      </c>
      <c r="U10" s="197">
        <v>12129</v>
      </c>
      <c r="V10" s="215">
        <v>12263.3</v>
      </c>
      <c r="W10" s="181">
        <v>12360.5</v>
      </c>
      <c r="X10" s="209">
        <v>12321.5</v>
      </c>
      <c r="Y10" s="215">
        <v>12352.2</v>
      </c>
      <c r="Z10" s="181">
        <v>12355.3</v>
      </c>
      <c r="AA10" s="209">
        <v>12365.5</v>
      </c>
      <c r="AB10" s="215">
        <v>12406.1</v>
      </c>
      <c r="AC10" s="221">
        <v>12440.6</v>
      </c>
      <c r="AD10" s="209">
        <v>12528.7</v>
      </c>
      <c r="AE10" s="215">
        <v>12614.8</v>
      </c>
      <c r="AF10" s="186">
        <v>12675.1</v>
      </c>
      <c r="AG10" s="109">
        <v>12721.7</v>
      </c>
      <c r="AH10" s="110">
        <v>12787</v>
      </c>
      <c r="AI10" s="111">
        <v>12857.3</v>
      </c>
      <c r="AJ10" s="112">
        <v>12857.5</v>
      </c>
      <c r="AK10" s="113">
        <v>12865.3</v>
      </c>
      <c r="AL10" s="114">
        <v>12857.3</v>
      </c>
      <c r="AM10" s="112">
        <v>12929.6</v>
      </c>
      <c r="AN10" s="113">
        <v>12970.3</v>
      </c>
      <c r="AO10" s="114">
        <v>13017.2</v>
      </c>
      <c r="AP10" s="112">
        <v>13062</v>
      </c>
      <c r="AQ10" s="113">
        <v>13123.4</v>
      </c>
      <c r="AR10" s="114">
        <v>13147.7</v>
      </c>
    </row>
    <row r="11" spans="1:45" x14ac:dyDescent="0.35">
      <c r="A11" s="229">
        <v>4</v>
      </c>
      <c r="B11" s="157" t="s">
        <v>1703</v>
      </c>
      <c r="C11" s="102">
        <v>9656.4</v>
      </c>
      <c r="D11" s="102">
        <v>9735.9</v>
      </c>
      <c r="E11" s="103">
        <v>9819.5</v>
      </c>
      <c r="F11" s="103">
        <v>9785.7999999999993</v>
      </c>
      <c r="G11" s="103">
        <v>9763.9</v>
      </c>
      <c r="H11" s="103">
        <v>9762.2999999999993</v>
      </c>
      <c r="I11" s="102">
        <v>9818.2999999999993</v>
      </c>
      <c r="J11" s="103">
        <v>9882.7999999999993</v>
      </c>
      <c r="K11" s="102">
        <v>9937.7000000000007</v>
      </c>
      <c r="L11" s="210">
        <v>9976.9</v>
      </c>
      <c r="M11" s="216">
        <v>10019.799999999999</v>
      </c>
      <c r="N11" s="143">
        <v>10070.4</v>
      </c>
      <c r="O11" s="198">
        <v>10117.4</v>
      </c>
      <c r="P11" s="216">
        <v>10167.9</v>
      </c>
      <c r="Q11" s="143">
        <v>10207.1</v>
      </c>
      <c r="R11" s="210">
        <v>10171.700000000001</v>
      </c>
      <c r="S11" s="216">
        <v>10179.4</v>
      </c>
      <c r="T11" s="187">
        <v>10214.799999999999</v>
      </c>
      <c r="U11" s="198">
        <v>10325.4</v>
      </c>
      <c r="V11" s="216">
        <v>10447.5</v>
      </c>
      <c r="W11" s="187">
        <v>10531.2</v>
      </c>
      <c r="X11" s="210">
        <v>10485.8</v>
      </c>
      <c r="Y11" s="216">
        <v>10509.4</v>
      </c>
      <c r="Z11" s="187">
        <v>10504</v>
      </c>
      <c r="AA11" s="210">
        <v>10506.5</v>
      </c>
      <c r="AB11" s="216">
        <v>10539.4</v>
      </c>
      <c r="AC11" s="222">
        <v>10566.5</v>
      </c>
      <c r="AD11" s="210">
        <v>10642.4</v>
      </c>
      <c r="AE11" s="216">
        <v>10721</v>
      </c>
      <c r="AF11" s="238">
        <v>10772.2</v>
      </c>
      <c r="AG11" s="112">
        <v>10817.5</v>
      </c>
      <c r="AH11" s="113">
        <v>10877.7</v>
      </c>
      <c r="AI11" s="114">
        <v>10941.9</v>
      </c>
      <c r="AJ11" s="112">
        <v>10931.6</v>
      </c>
      <c r="AK11" s="113">
        <v>10937.3</v>
      </c>
      <c r="AL11" s="114">
        <v>10922.1</v>
      </c>
      <c r="AM11" s="112">
        <v>10989.1</v>
      </c>
      <c r="AN11" s="113">
        <v>11028.3</v>
      </c>
      <c r="AO11" s="114">
        <v>11069.9</v>
      </c>
      <c r="AP11" s="112">
        <v>11128.6</v>
      </c>
      <c r="AQ11" s="113">
        <v>11185.6</v>
      </c>
      <c r="AR11" s="114">
        <v>11204.6</v>
      </c>
    </row>
    <row r="12" spans="1:45" x14ac:dyDescent="0.35">
      <c r="A12" s="229">
        <v>5</v>
      </c>
      <c r="B12" s="154" t="s">
        <v>1704</v>
      </c>
      <c r="C12" s="102">
        <v>1767.7</v>
      </c>
      <c r="D12" s="102">
        <v>1780.1</v>
      </c>
      <c r="E12" s="103">
        <v>1797.4</v>
      </c>
      <c r="F12" s="103">
        <v>1795.8</v>
      </c>
      <c r="G12" s="103">
        <v>1793.7</v>
      </c>
      <c r="H12" s="103">
        <v>1789.6</v>
      </c>
      <c r="I12" s="102">
        <v>1804.5</v>
      </c>
      <c r="J12" s="103">
        <v>1806.7</v>
      </c>
      <c r="K12" s="102">
        <v>1818.5</v>
      </c>
      <c r="L12" s="210">
        <v>1828.4</v>
      </c>
      <c r="M12" s="216">
        <v>1836.7</v>
      </c>
      <c r="N12" s="143">
        <v>1847.2</v>
      </c>
      <c r="O12" s="198">
        <v>1859</v>
      </c>
      <c r="P12" s="216">
        <v>1867.1</v>
      </c>
      <c r="Q12" s="143">
        <v>1876.1</v>
      </c>
      <c r="R12" s="210">
        <v>1875.9</v>
      </c>
      <c r="S12" s="216">
        <v>1879.8</v>
      </c>
      <c r="T12" s="187">
        <v>1881.1</v>
      </c>
      <c r="U12" s="198">
        <v>1904</v>
      </c>
      <c r="V12" s="216">
        <v>1929.1</v>
      </c>
      <c r="W12" s="187">
        <v>1951.7</v>
      </c>
      <c r="X12" s="210">
        <v>1920.1</v>
      </c>
      <c r="Y12" s="216">
        <v>1907.4</v>
      </c>
      <c r="Z12" s="187">
        <v>1904.4</v>
      </c>
      <c r="AA12" s="210">
        <v>1910.1</v>
      </c>
      <c r="AB12" s="216">
        <v>1920.6</v>
      </c>
      <c r="AC12" s="222">
        <v>1929.1</v>
      </c>
      <c r="AD12" s="210">
        <v>1926.8</v>
      </c>
      <c r="AE12" s="216">
        <v>1937.7</v>
      </c>
      <c r="AF12" s="238">
        <v>1945.4</v>
      </c>
      <c r="AG12" s="112">
        <v>1959.3</v>
      </c>
      <c r="AH12" s="113">
        <v>1972.9</v>
      </c>
      <c r="AI12" s="114">
        <v>1986.5</v>
      </c>
      <c r="AJ12" s="112">
        <v>1985.1</v>
      </c>
      <c r="AK12" s="113">
        <v>1991.7</v>
      </c>
      <c r="AL12" s="114">
        <v>1995.6</v>
      </c>
      <c r="AM12" s="112">
        <v>2004.3</v>
      </c>
      <c r="AN12" s="113">
        <v>2006.2</v>
      </c>
      <c r="AO12" s="114">
        <v>2014.5</v>
      </c>
      <c r="AP12" s="112">
        <v>2021.5</v>
      </c>
      <c r="AQ12" s="113">
        <v>2034.2</v>
      </c>
      <c r="AR12" s="114">
        <v>2033</v>
      </c>
    </row>
    <row r="13" spans="1:45" x14ac:dyDescent="0.35">
      <c r="A13" s="229">
        <v>6</v>
      </c>
      <c r="B13" s="166" t="s">
        <v>1705</v>
      </c>
      <c r="C13" s="102">
        <v>1046.3</v>
      </c>
      <c r="D13" s="102">
        <v>1054.4000000000001</v>
      </c>
      <c r="E13" s="103">
        <v>1064.8</v>
      </c>
      <c r="F13" s="103">
        <v>1061.4000000000001</v>
      </c>
      <c r="G13" s="103">
        <v>1055.5</v>
      </c>
      <c r="H13" s="103">
        <v>1046.9000000000001</v>
      </c>
      <c r="I13" s="102">
        <v>1066</v>
      </c>
      <c r="J13" s="103">
        <v>1064.3</v>
      </c>
      <c r="K13" s="102">
        <v>1071.2</v>
      </c>
      <c r="L13" s="210">
        <v>1077.3</v>
      </c>
      <c r="M13" s="216">
        <v>1079.5</v>
      </c>
      <c r="N13" s="143">
        <v>1088.5999999999999</v>
      </c>
      <c r="O13" s="198">
        <v>1096.9000000000001</v>
      </c>
      <c r="P13" s="216">
        <v>1102.2</v>
      </c>
      <c r="Q13" s="143">
        <v>1108.5999999999999</v>
      </c>
      <c r="R13" s="210">
        <v>1103.3</v>
      </c>
      <c r="S13" s="216">
        <v>1103.3</v>
      </c>
      <c r="T13" s="187">
        <v>1101</v>
      </c>
      <c r="U13" s="198">
        <v>1108.9000000000001</v>
      </c>
      <c r="V13" s="216">
        <v>1124</v>
      </c>
      <c r="W13" s="187">
        <v>1136.7</v>
      </c>
      <c r="X13" s="210">
        <v>1112.5</v>
      </c>
      <c r="Y13" s="216">
        <v>1106.2</v>
      </c>
      <c r="Z13" s="187">
        <v>1102.7</v>
      </c>
      <c r="AA13" s="210">
        <v>1108.0999999999999</v>
      </c>
      <c r="AB13" s="216">
        <v>1112.9000000000001</v>
      </c>
      <c r="AC13" s="222">
        <v>1115.4000000000001</v>
      </c>
      <c r="AD13" s="210">
        <v>1107.2</v>
      </c>
      <c r="AE13" s="216">
        <v>1113.0999999999999</v>
      </c>
      <c r="AF13" s="238">
        <v>1117</v>
      </c>
      <c r="AG13" s="112">
        <v>1115</v>
      </c>
      <c r="AH13" s="113">
        <v>1122.8</v>
      </c>
      <c r="AI13" s="114">
        <v>1133.5999999999999</v>
      </c>
      <c r="AJ13" s="112">
        <v>1129.0999999999999</v>
      </c>
      <c r="AK13" s="113">
        <v>1136.5999999999999</v>
      </c>
      <c r="AL13" s="114">
        <v>1138.4000000000001</v>
      </c>
      <c r="AM13" s="112">
        <v>1145.5999999999999</v>
      </c>
      <c r="AN13" s="113">
        <v>1145.9000000000001</v>
      </c>
      <c r="AO13" s="114">
        <v>1150.0999999999999</v>
      </c>
      <c r="AP13" s="112">
        <v>1156</v>
      </c>
      <c r="AQ13" s="113">
        <v>1162.8</v>
      </c>
      <c r="AR13" s="114">
        <v>1159.3</v>
      </c>
    </row>
    <row r="14" spans="1:45" x14ac:dyDescent="0.35">
      <c r="A14" s="229">
        <v>7</v>
      </c>
      <c r="B14" s="154" t="s">
        <v>1706</v>
      </c>
      <c r="C14" s="102">
        <v>7888.7</v>
      </c>
      <c r="D14" s="102">
        <v>7955.8</v>
      </c>
      <c r="E14" s="103">
        <v>8022.1</v>
      </c>
      <c r="F14" s="103">
        <v>7990</v>
      </c>
      <c r="G14" s="103">
        <v>7970.1</v>
      </c>
      <c r="H14" s="103">
        <v>7972.7</v>
      </c>
      <c r="I14" s="102">
        <v>8013.8</v>
      </c>
      <c r="J14" s="103">
        <v>8076.2</v>
      </c>
      <c r="K14" s="102">
        <v>8119.2</v>
      </c>
      <c r="L14" s="210">
        <v>8148.5</v>
      </c>
      <c r="M14" s="216">
        <v>8183.1</v>
      </c>
      <c r="N14" s="143">
        <v>8223.2000000000007</v>
      </c>
      <c r="O14" s="198">
        <v>8258.4</v>
      </c>
      <c r="P14" s="216">
        <v>8300.7999999999993</v>
      </c>
      <c r="Q14" s="143">
        <v>8331</v>
      </c>
      <c r="R14" s="210">
        <v>8295.7000000000007</v>
      </c>
      <c r="S14" s="216">
        <v>8299.6</v>
      </c>
      <c r="T14" s="187">
        <v>8333.7000000000007</v>
      </c>
      <c r="U14" s="198">
        <v>8421.4</v>
      </c>
      <c r="V14" s="216">
        <v>8518.5</v>
      </c>
      <c r="W14" s="187">
        <v>8579.5</v>
      </c>
      <c r="X14" s="210">
        <v>8565.7000000000007</v>
      </c>
      <c r="Y14" s="216">
        <v>8601.9</v>
      </c>
      <c r="Z14" s="187">
        <v>8599.6</v>
      </c>
      <c r="AA14" s="210">
        <v>8596.5</v>
      </c>
      <c r="AB14" s="216">
        <v>8618.7999999999993</v>
      </c>
      <c r="AC14" s="222">
        <v>8637.4</v>
      </c>
      <c r="AD14" s="210">
        <v>8715.5</v>
      </c>
      <c r="AE14" s="216">
        <v>8783.2999999999993</v>
      </c>
      <c r="AF14" s="238">
        <v>8826.7999999999993</v>
      </c>
      <c r="AG14" s="112">
        <v>8858.2000000000007</v>
      </c>
      <c r="AH14" s="113">
        <v>8904.7999999999993</v>
      </c>
      <c r="AI14" s="114">
        <v>8955.4</v>
      </c>
      <c r="AJ14" s="112">
        <v>8946.5</v>
      </c>
      <c r="AK14" s="113">
        <v>8945.6</v>
      </c>
      <c r="AL14" s="114">
        <v>8926.5</v>
      </c>
      <c r="AM14" s="112">
        <v>8984.7999999999993</v>
      </c>
      <c r="AN14" s="113">
        <v>9022.1</v>
      </c>
      <c r="AO14" s="114">
        <v>9055.4</v>
      </c>
      <c r="AP14" s="112">
        <v>9107</v>
      </c>
      <c r="AQ14" s="113">
        <v>9151.4</v>
      </c>
      <c r="AR14" s="114">
        <v>9171.6</v>
      </c>
    </row>
    <row r="15" spans="1:45" x14ac:dyDescent="0.35">
      <c r="A15" s="229">
        <v>8</v>
      </c>
      <c r="B15" s="172" t="s">
        <v>1707</v>
      </c>
      <c r="C15" s="102">
        <v>1734</v>
      </c>
      <c r="D15" s="102">
        <v>1748.4</v>
      </c>
      <c r="E15" s="103">
        <v>1762.3</v>
      </c>
      <c r="F15" s="103">
        <v>1757.7</v>
      </c>
      <c r="G15" s="103">
        <v>1749.7</v>
      </c>
      <c r="H15" s="103">
        <v>1745.6</v>
      </c>
      <c r="I15" s="102">
        <v>1778.8</v>
      </c>
      <c r="J15" s="103">
        <v>1795.8</v>
      </c>
      <c r="K15" s="102">
        <v>1796</v>
      </c>
      <c r="L15" s="210">
        <v>1797.8</v>
      </c>
      <c r="M15" s="216">
        <v>1793.1</v>
      </c>
      <c r="N15" s="143">
        <v>1804.5</v>
      </c>
      <c r="O15" s="198">
        <v>1816.7</v>
      </c>
      <c r="P15" s="216">
        <v>1828</v>
      </c>
      <c r="Q15" s="143">
        <v>1837.3</v>
      </c>
      <c r="R15" s="210">
        <v>1825.7</v>
      </c>
      <c r="S15" s="216">
        <v>1822.5</v>
      </c>
      <c r="T15" s="187">
        <v>1833.5</v>
      </c>
      <c r="U15" s="198">
        <v>1842.8</v>
      </c>
      <c r="V15" s="216">
        <v>1865</v>
      </c>
      <c r="W15" s="187">
        <v>1867.7</v>
      </c>
      <c r="X15" s="210">
        <v>1863.4</v>
      </c>
      <c r="Y15" s="216">
        <v>1873.4</v>
      </c>
      <c r="Z15" s="187">
        <v>1874.4</v>
      </c>
      <c r="AA15" s="210">
        <v>1866</v>
      </c>
      <c r="AB15" s="216">
        <v>1870.2</v>
      </c>
      <c r="AC15" s="222">
        <v>1867.4</v>
      </c>
      <c r="AD15" s="210">
        <v>1882.5</v>
      </c>
      <c r="AE15" s="216">
        <v>1880.7</v>
      </c>
      <c r="AF15" s="238">
        <v>1892.2</v>
      </c>
      <c r="AG15" s="112">
        <v>1907.7</v>
      </c>
      <c r="AH15" s="113">
        <v>1925.9</v>
      </c>
      <c r="AI15" s="114">
        <v>1932.5</v>
      </c>
      <c r="AJ15" s="112">
        <v>1935.6</v>
      </c>
      <c r="AK15" s="113">
        <v>1933.8</v>
      </c>
      <c r="AL15" s="114">
        <v>1931.3</v>
      </c>
      <c r="AM15" s="112">
        <v>1945.1</v>
      </c>
      <c r="AN15" s="113">
        <v>1950.7</v>
      </c>
      <c r="AO15" s="114">
        <v>1955.1</v>
      </c>
      <c r="AP15" s="112">
        <v>1959.3</v>
      </c>
      <c r="AQ15" s="113">
        <v>1969.8</v>
      </c>
      <c r="AR15" s="114">
        <v>1971.9</v>
      </c>
    </row>
    <row r="16" spans="1:45" x14ac:dyDescent="0.35">
      <c r="A16" s="229">
        <v>9</v>
      </c>
      <c r="B16" s="172" t="s">
        <v>1708</v>
      </c>
      <c r="C16" s="102">
        <v>6154.8</v>
      </c>
      <c r="D16" s="102">
        <v>6207.4</v>
      </c>
      <c r="E16" s="103">
        <v>6259.8</v>
      </c>
      <c r="F16" s="103">
        <v>6232.2</v>
      </c>
      <c r="G16" s="103">
        <v>6220.4</v>
      </c>
      <c r="H16" s="103">
        <v>6227.2</v>
      </c>
      <c r="I16" s="102">
        <v>6235</v>
      </c>
      <c r="J16" s="103">
        <v>6280.4</v>
      </c>
      <c r="K16" s="102">
        <v>6323.1</v>
      </c>
      <c r="L16" s="210">
        <v>6350.7</v>
      </c>
      <c r="M16" s="216">
        <v>6390</v>
      </c>
      <c r="N16" s="143">
        <v>6418.7</v>
      </c>
      <c r="O16" s="198">
        <v>6441.7</v>
      </c>
      <c r="P16" s="216">
        <v>6472.8</v>
      </c>
      <c r="Q16" s="143">
        <v>6493.8</v>
      </c>
      <c r="R16" s="210">
        <v>6470.1</v>
      </c>
      <c r="S16" s="216">
        <v>6477.1</v>
      </c>
      <c r="T16" s="187">
        <v>6500.2</v>
      </c>
      <c r="U16" s="198">
        <v>6578.6</v>
      </c>
      <c r="V16" s="216">
        <v>6653.4</v>
      </c>
      <c r="W16" s="187">
        <v>6711.8</v>
      </c>
      <c r="X16" s="210">
        <v>6702.3</v>
      </c>
      <c r="Y16" s="216">
        <v>6728.5</v>
      </c>
      <c r="Z16" s="187">
        <v>6725.2</v>
      </c>
      <c r="AA16" s="210">
        <v>6730.5</v>
      </c>
      <c r="AB16" s="216">
        <v>6748.6</v>
      </c>
      <c r="AC16" s="222">
        <v>6770.1</v>
      </c>
      <c r="AD16" s="210">
        <v>6833.1</v>
      </c>
      <c r="AE16" s="216">
        <v>6902.6</v>
      </c>
      <c r="AF16" s="238">
        <v>6934.6</v>
      </c>
      <c r="AG16" s="112">
        <v>6950.5</v>
      </c>
      <c r="AH16" s="113">
        <v>6978.9</v>
      </c>
      <c r="AI16" s="114">
        <v>7022.8</v>
      </c>
      <c r="AJ16" s="112">
        <v>7010.9</v>
      </c>
      <c r="AK16" s="113">
        <v>7011.8</v>
      </c>
      <c r="AL16" s="114">
        <v>6995.2</v>
      </c>
      <c r="AM16" s="112">
        <v>7039.7</v>
      </c>
      <c r="AN16" s="113">
        <v>7071.3</v>
      </c>
      <c r="AO16" s="114">
        <v>7100.3</v>
      </c>
      <c r="AP16" s="112">
        <v>7147.8</v>
      </c>
      <c r="AQ16" s="113">
        <v>7181.6</v>
      </c>
      <c r="AR16" s="114">
        <v>7199.7</v>
      </c>
    </row>
    <row r="17" spans="1:45" ht="16.399999999999999" customHeight="1" x14ac:dyDescent="0.35">
      <c r="A17" s="229">
        <v>10</v>
      </c>
      <c r="B17" s="157" t="s">
        <v>1709</v>
      </c>
      <c r="C17" s="102">
        <v>1615.4</v>
      </c>
      <c r="D17" s="102">
        <v>1624.8</v>
      </c>
      <c r="E17" s="103">
        <v>1631.1</v>
      </c>
      <c r="F17" s="103">
        <v>1634.6</v>
      </c>
      <c r="G17" s="103">
        <v>1644.8</v>
      </c>
      <c r="H17" s="103">
        <v>1650.4</v>
      </c>
      <c r="I17" s="102">
        <v>1676.4</v>
      </c>
      <c r="J17" s="103">
        <v>1685.7</v>
      </c>
      <c r="K17" s="102">
        <v>1695.5</v>
      </c>
      <c r="L17" s="210">
        <v>1703.2</v>
      </c>
      <c r="M17" s="216">
        <v>1711</v>
      </c>
      <c r="N17" s="143">
        <v>1718.6</v>
      </c>
      <c r="O17" s="198">
        <v>1738.2</v>
      </c>
      <c r="P17" s="216">
        <v>1753.3</v>
      </c>
      <c r="Q17" s="143">
        <v>1768.6</v>
      </c>
      <c r="R17" s="210">
        <v>1779.3</v>
      </c>
      <c r="S17" s="216">
        <v>1786</v>
      </c>
      <c r="T17" s="187">
        <v>1797</v>
      </c>
      <c r="U17" s="198">
        <v>1803.6</v>
      </c>
      <c r="V17" s="216">
        <v>1815.8</v>
      </c>
      <c r="W17" s="187">
        <v>1829.3</v>
      </c>
      <c r="X17" s="210">
        <v>1835.7</v>
      </c>
      <c r="Y17" s="216">
        <v>1842.9</v>
      </c>
      <c r="Z17" s="187">
        <v>1851.3</v>
      </c>
      <c r="AA17" s="210">
        <v>1859</v>
      </c>
      <c r="AB17" s="216">
        <v>1866.6</v>
      </c>
      <c r="AC17" s="222">
        <v>1874.1</v>
      </c>
      <c r="AD17" s="210">
        <v>1886.3</v>
      </c>
      <c r="AE17" s="216">
        <v>1893.8</v>
      </c>
      <c r="AF17" s="238">
        <v>1902.9</v>
      </c>
      <c r="AG17" s="112">
        <v>1904.2</v>
      </c>
      <c r="AH17" s="113">
        <v>1909.4</v>
      </c>
      <c r="AI17" s="114">
        <v>1915.4</v>
      </c>
      <c r="AJ17" s="112">
        <v>1926</v>
      </c>
      <c r="AK17" s="113">
        <v>1928</v>
      </c>
      <c r="AL17" s="114">
        <v>1935.1</v>
      </c>
      <c r="AM17" s="112">
        <v>1940.5</v>
      </c>
      <c r="AN17" s="113">
        <v>1942</v>
      </c>
      <c r="AO17" s="114">
        <v>1947.4</v>
      </c>
      <c r="AP17" s="112">
        <v>1933.5</v>
      </c>
      <c r="AQ17" s="113">
        <v>1937.8</v>
      </c>
      <c r="AR17" s="114">
        <v>1943</v>
      </c>
    </row>
    <row r="18" spans="1:45" ht="16.399999999999999" customHeight="1" x14ac:dyDescent="0.35">
      <c r="A18" s="229">
        <v>11</v>
      </c>
      <c r="B18" s="153" t="s">
        <v>1710</v>
      </c>
      <c r="C18" s="100">
        <v>2382.3000000000002</v>
      </c>
      <c r="D18" s="100">
        <v>2394.1</v>
      </c>
      <c r="E18" s="101">
        <v>2405.5</v>
      </c>
      <c r="F18" s="101">
        <v>2408.5</v>
      </c>
      <c r="G18" s="101">
        <v>2414.1</v>
      </c>
      <c r="H18" s="101">
        <v>2420</v>
      </c>
      <c r="I18" s="100">
        <v>2390.6</v>
      </c>
      <c r="J18" s="101">
        <v>2400.1999999999998</v>
      </c>
      <c r="K18" s="100">
        <v>2408.6</v>
      </c>
      <c r="L18" s="209">
        <v>2412.6</v>
      </c>
      <c r="M18" s="215">
        <v>2420.3000000000002</v>
      </c>
      <c r="N18" s="140">
        <v>2429.6</v>
      </c>
      <c r="O18" s="197">
        <v>2440.8000000000002</v>
      </c>
      <c r="P18" s="215">
        <v>2451.5</v>
      </c>
      <c r="Q18" s="140">
        <v>2461.4</v>
      </c>
      <c r="R18" s="209">
        <v>2465.3000000000002</v>
      </c>
      <c r="S18" s="215">
        <v>2471.1999999999998</v>
      </c>
      <c r="T18" s="181">
        <v>2479.8000000000002</v>
      </c>
      <c r="U18" s="197">
        <v>2557.6</v>
      </c>
      <c r="V18" s="215">
        <v>2573.1999999999998</v>
      </c>
      <c r="W18" s="181">
        <v>2587.6</v>
      </c>
      <c r="X18" s="209">
        <v>2592.6</v>
      </c>
      <c r="Y18" s="215">
        <v>2602.9</v>
      </c>
      <c r="Z18" s="181">
        <v>2612.3000000000002</v>
      </c>
      <c r="AA18" s="209">
        <v>2621.5</v>
      </c>
      <c r="AB18" s="215">
        <v>2632.3</v>
      </c>
      <c r="AC18" s="221">
        <v>2642.2</v>
      </c>
      <c r="AD18" s="209">
        <v>2656.1</v>
      </c>
      <c r="AE18" s="215">
        <v>2668.7</v>
      </c>
      <c r="AF18" s="186">
        <v>2679.1</v>
      </c>
      <c r="AG18" s="109">
        <v>2709.9</v>
      </c>
      <c r="AH18" s="110">
        <v>2722.4</v>
      </c>
      <c r="AI18" s="111">
        <v>2734.4</v>
      </c>
      <c r="AJ18" s="112">
        <v>2742.4</v>
      </c>
      <c r="AK18" s="113">
        <v>2749.9</v>
      </c>
      <c r="AL18" s="114">
        <v>2758.6</v>
      </c>
      <c r="AM18" s="112">
        <v>2772</v>
      </c>
      <c r="AN18" s="113">
        <v>2782.2</v>
      </c>
      <c r="AO18" s="114">
        <v>2792.5</v>
      </c>
      <c r="AP18" s="112">
        <v>2801.9</v>
      </c>
      <c r="AQ18" s="113">
        <v>2812.2</v>
      </c>
      <c r="AR18" s="114">
        <v>2818.9</v>
      </c>
    </row>
    <row r="19" spans="1:45" ht="16.5" customHeight="1" x14ac:dyDescent="0.35">
      <c r="A19" s="230">
        <v>12</v>
      </c>
      <c r="B19" s="205" t="s">
        <v>1711</v>
      </c>
      <c r="C19" s="102">
        <v>1614.2</v>
      </c>
      <c r="D19" s="102">
        <v>1620.2</v>
      </c>
      <c r="E19" s="103">
        <v>1625.6</v>
      </c>
      <c r="F19" s="103">
        <v>1630.6</v>
      </c>
      <c r="G19" s="103">
        <v>1637.1</v>
      </c>
      <c r="H19" s="103">
        <v>1642.9</v>
      </c>
      <c r="I19" s="102">
        <v>1594</v>
      </c>
      <c r="J19" s="103">
        <v>1599</v>
      </c>
      <c r="K19" s="102">
        <v>1603.5</v>
      </c>
      <c r="L19" s="210">
        <v>1604.7</v>
      </c>
      <c r="M19" s="216">
        <v>1609.4</v>
      </c>
      <c r="N19" s="143">
        <v>1615</v>
      </c>
      <c r="O19" s="198">
        <v>1622</v>
      </c>
      <c r="P19" s="216">
        <v>1628.6</v>
      </c>
      <c r="Q19" s="143">
        <v>1635</v>
      </c>
      <c r="R19" s="210">
        <v>1640.6</v>
      </c>
      <c r="S19" s="216">
        <v>1645.5</v>
      </c>
      <c r="T19" s="187">
        <v>1650.9</v>
      </c>
      <c r="U19" s="198">
        <v>1712.3</v>
      </c>
      <c r="V19" s="216">
        <v>1722.8</v>
      </c>
      <c r="W19" s="187">
        <v>1733</v>
      </c>
      <c r="X19" s="210">
        <v>1741.4</v>
      </c>
      <c r="Y19" s="216">
        <v>1749.9</v>
      </c>
      <c r="Z19" s="187">
        <v>1759.5</v>
      </c>
      <c r="AA19" s="210">
        <v>1768.4</v>
      </c>
      <c r="AB19" s="216">
        <v>1776.8</v>
      </c>
      <c r="AC19" s="222">
        <v>1784.6</v>
      </c>
      <c r="AD19" s="210">
        <v>1792.7</v>
      </c>
      <c r="AE19" s="216">
        <v>1799.5</v>
      </c>
      <c r="AF19" s="238">
        <v>1805.8</v>
      </c>
      <c r="AG19" s="112">
        <v>1815.7</v>
      </c>
      <c r="AH19" s="113">
        <v>1824.1</v>
      </c>
      <c r="AI19" s="114">
        <v>1831.6</v>
      </c>
      <c r="AJ19" s="112">
        <v>1840.1</v>
      </c>
      <c r="AK19" s="113">
        <v>1847.3</v>
      </c>
      <c r="AL19" s="114">
        <v>1856.7</v>
      </c>
      <c r="AM19" s="112">
        <v>1865.3</v>
      </c>
      <c r="AN19" s="113">
        <v>1872.8</v>
      </c>
      <c r="AO19" s="114">
        <v>1880.1</v>
      </c>
      <c r="AP19" s="112">
        <v>1886.7</v>
      </c>
      <c r="AQ19" s="113">
        <v>1892.7</v>
      </c>
      <c r="AR19" s="114">
        <v>1898.2</v>
      </c>
    </row>
    <row r="20" spans="1:45" x14ac:dyDescent="0.35">
      <c r="A20" s="230">
        <v>13</v>
      </c>
      <c r="B20" s="205" t="s">
        <v>1712</v>
      </c>
      <c r="C20" s="102">
        <v>768.1</v>
      </c>
      <c r="D20" s="102">
        <v>774</v>
      </c>
      <c r="E20" s="103">
        <v>779.9</v>
      </c>
      <c r="F20" s="103">
        <v>777.9</v>
      </c>
      <c r="G20" s="103">
        <v>777</v>
      </c>
      <c r="H20" s="103">
        <v>777.1</v>
      </c>
      <c r="I20" s="102">
        <v>796.6</v>
      </c>
      <c r="J20" s="103">
        <v>801.1</v>
      </c>
      <c r="K20" s="102">
        <v>805.1</v>
      </c>
      <c r="L20" s="210">
        <v>807.9</v>
      </c>
      <c r="M20" s="216">
        <v>811</v>
      </c>
      <c r="N20" s="143">
        <v>814.6</v>
      </c>
      <c r="O20" s="198">
        <v>818.7</v>
      </c>
      <c r="P20" s="216">
        <v>822.9</v>
      </c>
      <c r="Q20" s="143">
        <v>826.4</v>
      </c>
      <c r="R20" s="210">
        <v>824.7</v>
      </c>
      <c r="S20" s="216">
        <v>825.7</v>
      </c>
      <c r="T20" s="187">
        <v>828.9</v>
      </c>
      <c r="U20" s="198">
        <v>845.2</v>
      </c>
      <c r="V20" s="216">
        <v>850.4</v>
      </c>
      <c r="W20" s="187">
        <v>854.6</v>
      </c>
      <c r="X20" s="210">
        <v>851.3</v>
      </c>
      <c r="Y20" s="216">
        <v>853</v>
      </c>
      <c r="Z20" s="187">
        <v>852.7</v>
      </c>
      <c r="AA20" s="210">
        <v>853</v>
      </c>
      <c r="AB20" s="216">
        <v>855.5</v>
      </c>
      <c r="AC20" s="222">
        <v>857.6</v>
      </c>
      <c r="AD20" s="210">
        <v>863.4</v>
      </c>
      <c r="AE20" s="216">
        <v>869.3</v>
      </c>
      <c r="AF20" s="238">
        <v>873.3</v>
      </c>
      <c r="AG20" s="236">
        <v>894.1</v>
      </c>
      <c r="AH20" s="98">
        <v>898.3</v>
      </c>
      <c r="AI20" s="238">
        <v>902.8</v>
      </c>
      <c r="AJ20" s="112">
        <v>902.3</v>
      </c>
      <c r="AK20" s="113">
        <v>902.7</v>
      </c>
      <c r="AL20" s="114">
        <v>901.9</v>
      </c>
      <c r="AM20" s="112">
        <v>906.7</v>
      </c>
      <c r="AN20" s="113">
        <v>909.3</v>
      </c>
      <c r="AO20" s="114">
        <v>912.4</v>
      </c>
      <c r="AP20" s="112">
        <v>915.2</v>
      </c>
      <c r="AQ20" s="113">
        <v>919.5</v>
      </c>
      <c r="AR20" s="114">
        <v>920.7</v>
      </c>
    </row>
    <row r="21" spans="1:45" ht="16.399999999999999" customHeight="1" x14ac:dyDescent="0.35">
      <c r="A21" s="230">
        <v>14</v>
      </c>
      <c r="B21" s="194" t="s">
        <v>1713</v>
      </c>
      <c r="C21" s="100">
        <v>1846.5</v>
      </c>
      <c r="D21" s="100">
        <v>1869.7</v>
      </c>
      <c r="E21" s="101">
        <v>1874.4</v>
      </c>
      <c r="F21" s="101">
        <v>1877.2</v>
      </c>
      <c r="G21" s="101">
        <v>1882.7</v>
      </c>
      <c r="H21" s="101">
        <v>1888.6</v>
      </c>
      <c r="I21" s="100">
        <v>1832.2</v>
      </c>
      <c r="J21" s="101">
        <v>1828.6</v>
      </c>
      <c r="K21" s="100">
        <v>1821.5</v>
      </c>
      <c r="L21" s="209">
        <v>1821.1</v>
      </c>
      <c r="M21" s="215">
        <v>1821.3</v>
      </c>
      <c r="N21" s="140">
        <v>1829.9</v>
      </c>
      <c r="O21" s="197">
        <v>1839.7</v>
      </c>
      <c r="P21" s="215">
        <v>1861.1</v>
      </c>
      <c r="Q21" s="140">
        <v>1877.8</v>
      </c>
      <c r="R21" s="209">
        <v>1880.2</v>
      </c>
      <c r="S21" s="215">
        <v>1886.2</v>
      </c>
      <c r="T21" s="181">
        <v>1881.5</v>
      </c>
      <c r="U21" s="197">
        <v>1969.7</v>
      </c>
      <c r="V21" s="215">
        <v>1971.2</v>
      </c>
      <c r="W21" s="181">
        <v>1975.6</v>
      </c>
      <c r="X21" s="209">
        <v>1995.2</v>
      </c>
      <c r="Y21" s="215">
        <v>2003</v>
      </c>
      <c r="Z21" s="181">
        <v>2008.7</v>
      </c>
      <c r="AA21" s="209">
        <v>2014.2</v>
      </c>
      <c r="AB21" s="215">
        <v>2014.9</v>
      </c>
      <c r="AC21" s="221">
        <v>2011.4</v>
      </c>
      <c r="AD21" s="209">
        <v>2024.2</v>
      </c>
      <c r="AE21" s="215">
        <v>2033.9</v>
      </c>
      <c r="AF21" s="186">
        <v>2048.4</v>
      </c>
      <c r="AG21" s="109">
        <v>2085.5</v>
      </c>
      <c r="AH21" s="110">
        <v>2095.5</v>
      </c>
      <c r="AI21" s="111">
        <v>2128.8000000000002</v>
      </c>
      <c r="AJ21" s="112">
        <v>2145.1999999999998</v>
      </c>
      <c r="AK21" s="113">
        <v>2086.5</v>
      </c>
      <c r="AL21" s="114">
        <v>2083.6999999999998</v>
      </c>
      <c r="AM21" s="112">
        <v>2107</v>
      </c>
      <c r="AN21" s="113">
        <v>2123.4</v>
      </c>
      <c r="AO21" s="114">
        <v>2122.6999999999998</v>
      </c>
      <c r="AP21" s="112">
        <v>2108</v>
      </c>
      <c r="AQ21" s="113">
        <v>2106.3000000000002</v>
      </c>
      <c r="AR21" s="114">
        <v>2122.1</v>
      </c>
    </row>
    <row r="22" spans="1:45" x14ac:dyDescent="0.35">
      <c r="A22" s="229">
        <v>15</v>
      </c>
      <c r="B22" s="65" t="s">
        <v>1714</v>
      </c>
      <c r="C22" s="102">
        <v>94.8</v>
      </c>
      <c r="D22" s="102">
        <v>95.9</v>
      </c>
      <c r="E22" s="103">
        <v>97.1</v>
      </c>
      <c r="F22" s="103">
        <v>99</v>
      </c>
      <c r="G22" s="103">
        <v>100.9</v>
      </c>
      <c r="H22" s="103">
        <v>102.8</v>
      </c>
      <c r="I22" s="102">
        <v>78.7</v>
      </c>
      <c r="J22" s="103">
        <v>71.2</v>
      </c>
      <c r="K22" s="102">
        <v>63.8</v>
      </c>
      <c r="L22" s="210">
        <v>61</v>
      </c>
      <c r="M22" s="216">
        <v>58.2</v>
      </c>
      <c r="N22" s="143">
        <v>55.5</v>
      </c>
      <c r="O22" s="198">
        <v>52.7</v>
      </c>
      <c r="P22" s="216">
        <v>49.9</v>
      </c>
      <c r="Q22" s="143">
        <v>47.2</v>
      </c>
      <c r="R22" s="210">
        <v>42.6</v>
      </c>
      <c r="S22" s="216">
        <v>38</v>
      </c>
      <c r="T22" s="187">
        <v>33.4</v>
      </c>
      <c r="U22" s="198">
        <v>39.5</v>
      </c>
      <c r="V22" s="216">
        <v>38.1</v>
      </c>
      <c r="W22" s="187">
        <v>37.9</v>
      </c>
      <c r="X22" s="210">
        <v>39.5</v>
      </c>
      <c r="Y22" s="216">
        <v>41.1</v>
      </c>
      <c r="Z22" s="187">
        <v>42.6</v>
      </c>
      <c r="AA22" s="210">
        <v>45.9</v>
      </c>
      <c r="AB22" s="216">
        <v>49.2</v>
      </c>
      <c r="AC22" s="222">
        <v>44.1</v>
      </c>
      <c r="AD22" s="210">
        <v>49.4</v>
      </c>
      <c r="AE22" s="216">
        <v>54.7</v>
      </c>
      <c r="AF22" s="238">
        <v>60.1</v>
      </c>
      <c r="AG22" s="236">
        <v>78.3</v>
      </c>
      <c r="AH22" s="98">
        <v>74.7</v>
      </c>
      <c r="AI22" s="238">
        <v>99.6</v>
      </c>
      <c r="AJ22" s="112">
        <v>107.8</v>
      </c>
      <c r="AK22" s="113">
        <v>62.4</v>
      </c>
      <c r="AL22" s="114">
        <v>64.3</v>
      </c>
      <c r="AM22" s="112">
        <v>74.5</v>
      </c>
      <c r="AN22" s="113">
        <v>88.5</v>
      </c>
      <c r="AO22" s="114">
        <v>80.599999999999994</v>
      </c>
      <c r="AP22" s="112">
        <v>61.8</v>
      </c>
      <c r="AQ22" s="113">
        <v>60.6</v>
      </c>
      <c r="AR22" s="114">
        <v>61.8</v>
      </c>
    </row>
    <row r="23" spans="1:45" x14ac:dyDescent="0.35">
      <c r="A23" s="229">
        <v>16</v>
      </c>
      <c r="B23" s="65" t="s">
        <v>1715</v>
      </c>
      <c r="C23" s="102">
        <v>1751.7</v>
      </c>
      <c r="D23" s="102">
        <v>1773.7</v>
      </c>
      <c r="E23" s="103">
        <v>1777.4</v>
      </c>
      <c r="F23" s="103">
        <v>1778.3</v>
      </c>
      <c r="G23" s="103">
        <v>1781.9</v>
      </c>
      <c r="H23" s="103">
        <v>1785.8</v>
      </c>
      <c r="I23" s="102">
        <v>1753.5</v>
      </c>
      <c r="J23" s="103">
        <v>1757.4</v>
      </c>
      <c r="K23" s="102">
        <v>1757.7</v>
      </c>
      <c r="L23" s="210">
        <v>1760.1</v>
      </c>
      <c r="M23" s="216">
        <v>1763.1</v>
      </c>
      <c r="N23" s="143">
        <v>1774.4</v>
      </c>
      <c r="O23" s="198">
        <v>1787</v>
      </c>
      <c r="P23" s="216">
        <v>1811.2</v>
      </c>
      <c r="Q23" s="143">
        <v>1830.6</v>
      </c>
      <c r="R23" s="210">
        <v>1837.6</v>
      </c>
      <c r="S23" s="216">
        <v>1848.2</v>
      </c>
      <c r="T23" s="187">
        <v>1848.1</v>
      </c>
      <c r="U23" s="198">
        <v>1930.1</v>
      </c>
      <c r="V23" s="216">
        <v>1933</v>
      </c>
      <c r="W23" s="187">
        <v>1937.7</v>
      </c>
      <c r="X23" s="210">
        <v>1955.7</v>
      </c>
      <c r="Y23" s="216">
        <v>1961.9</v>
      </c>
      <c r="Z23" s="187">
        <v>1966.1</v>
      </c>
      <c r="AA23" s="210">
        <v>1968.3</v>
      </c>
      <c r="AB23" s="216">
        <v>1965.7</v>
      </c>
      <c r="AC23" s="222">
        <v>1967.3</v>
      </c>
      <c r="AD23" s="210">
        <v>1974.8</v>
      </c>
      <c r="AE23" s="216">
        <v>1979.1</v>
      </c>
      <c r="AF23" s="238">
        <v>1988.4</v>
      </c>
      <c r="AG23" s="112">
        <v>2007.2</v>
      </c>
      <c r="AH23" s="113">
        <v>2020.8</v>
      </c>
      <c r="AI23" s="114">
        <v>2029.2</v>
      </c>
      <c r="AJ23" s="112">
        <v>2037.4</v>
      </c>
      <c r="AK23" s="113">
        <v>2024.1</v>
      </c>
      <c r="AL23" s="114">
        <v>2019.4</v>
      </c>
      <c r="AM23" s="112">
        <v>2032.5</v>
      </c>
      <c r="AN23" s="113">
        <v>2035</v>
      </c>
      <c r="AO23" s="114">
        <v>2042.1</v>
      </c>
      <c r="AP23" s="112">
        <v>2046.2</v>
      </c>
      <c r="AQ23" s="113">
        <v>2045.7</v>
      </c>
      <c r="AR23" s="114">
        <v>2060.3000000000002</v>
      </c>
    </row>
    <row r="24" spans="1:45" x14ac:dyDescent="0.35">
      <c r="A24" s="230">
        <v>17</v>
      </c>
      <c r="B24" s="194" t="s">
        <v>1716</v>
      </c>
      <c r="C24" s="100">
        <v>792.9</v>
      </c>
      <c r="D24" s="100">
        <v>794.9</v>
      </c>
      <c r="E24" s="101">
        <v>797</v>
      </c>
      <c r="F24" s="101">
        <v>804.7</v>
      </c>
      <c r="G24" s="101">
        <v>810.6</v>
      </c>
      <c r="H24" s="101">
        <v>820</v>
      </c>
      <c r="I24" s="100">
        <v>930.9</v>
      </c>
      <c r="J24" s="101">
        <v>945.7</v>
      </c>
      <c r="K24" s="100">
        <v>960.7</v>
      </c>
      <c r="L24" s="209">
        <v>960.6</v>
      </c>
      <c r="M24" s="215">
        <v>960.8</v>
      </c>
      <c r="N24" s="140">
        <v>961.8</v>
      </c>
      <c r="O24" s="197">
        <v>967.2</v>
      </c>
      <c r="P24" s="215">
        <v>974.5</v>
      </c>
      <c r="Q24" s="140">
        <v>981.5</v>
      </c>
      <c r="R24" s="209">
        <v>985.3</v>
      </c>
      <c r="S24" s="215">
        <v>988.1</v>
      </c>
      <c r="T24" s="181">
        <v>991</v>
      </c>
      <c r="U24" s="197">
        <v>1032</v>
      </c>
      <c r="V24" s="215">
        <v>1046.4000000000001</v>
      </c>
      <c r="W24" s="181">
        <v>1059.9000000000001</v>
      </c>
      <c r="X24" s="209">
        <v>1060.7</v>
      </c>
      <c r="Y24" s="215">
        <v>1053.5</v>
      </c>
      <c r="Z24" s="181">
        <v>1046</v>
      </c>
      <c r="AA24" s="209">
        <v>1051</v>
      </c>
      <c r="AB24" s="215">
        <v>1055.7</v>
      </c>
      <c r="AC24" s="221">
        <v>1060.3</v>
      </c>
      <c r="AD24" s="209">
        <v>1069.2</v>
      </c>
      <c r="AE24" s="215">
        <v>1071</v>
      </c>
      <c r="AF24" s="186">
        <v>1076.5</v>
      </c>
      <c r="AG24" s="109">
        <v>1106.9000000000001</v>
      </c>
      <c r="AH24" s="110">
        <v>1115.8</v>
      </c>
      <c r="AI24" s="111">
        <v>1124.0999999999999</v>
      </c>
      <c r="AJ24" s="112">
        <v>1123</v>
      </c>
      <c r="AK24" s="113">
        <v>1118.8</v>
      </c>
      <c r="AL24" s="114">
        <v>1115.9000000000001</v>
      </c>
      <c r="AM24" s="112">
        <v>1113.4000000000001</v>
      </c>
      <c r="AN24" s="113">
        <v>1112.5</v>
      </c>
      <c r="AO24" s="114">
        <v>1110.8</v>
      </c>
      <c r="AP24" s="112">
        <v>1111.0999999999999</v>
      </c>
      <c r="AQ24" s="113">
        <v>1112.0999999999999</v>
      </c>
      <c r="AR24" s="114">
        <v>1112.5999999999999</v>
      </c>
    </row>
    <row r="25" spans="1:45" x14ac:dyDescent="0.35">
      <c r="A25" s="229">
        <v>18</v>
      </c>
      <c r="B25" s="152" t="s">
        <v>1717</v>
      </c>
      <c r="C25" s="100">
        <v>3350.6</v>
      </c>
      <c r="D25" s="100">
        <v>3358.1</v>
      </c>
      <c r="E25" s="101">
        <v>3367.7</v>
      </c>
      <c r="F25" s="101">
        <v>3413.8</v>
      </c>
      <c r="G25" s="101">
        <v>3424.7</v>
      </c>
      <c r="H25" s="101">
        <v>3433.5</v>
      </c>
      <c r="I25" s="100">
        <v>3559.3</v>
      </c>
      <c r="J25" s="101">
        <v>3570.9</v>
      </c>
      <c r="K25" s="100">
        <v>3600.9</v>
      </c>
      <c r="L25" s="209">
        <v>3606.8</v>
      </c>
      <c r="M25" s="215">
        <v>3610.2</v>
      </c>
      <c r="N25" s="140">
        <v>3590.7</v>
      </c>
      <c r="O25" s="197">
        <v>3594.4</v>
      </c>
      <c r="P25" s="215">
        <v>3607.3</v>
      </c>
      <c r="Q25" s="140">
        <v>3617.9</v>
      </c>
      <c r="R25" s="209">
        <v>3645.6</v>
      </c>
      <c r="S25" s="215">
        <v>3672.7</v>
      </c>
      <c r="T25" s="181">
        <v>3683.6</v>
      </c>
      <c r="U25" s="197">
        <v>3999.7</v>
      </c>
      <c r="V25" s="215">
        <v>3912.2</v>
      </c>
      <c r="W25" s="181">
        <v>3904.9</v>
      </c>
      <c r="X25" s="209">
        <v>3929.6</v>
      </c>
      <c r="Y25" s="215">
        <v>3953.7</v>
      </c>
      <c r="Z25" s="181">
        <v>3967.4</v>
      </c>
      <c r="AA25" s="209">
        <v>3958.7</v>
      </c>
      <c r="AB25" s="215">
        <v>3929.7</v>
      </c>
      <c r="AC25" s="221">
        <v>3927.9</v>
      </c>
      <c r="AD25" s="209">
        <v>3963.6</v>
      </c>
      <c r="AE25" s="215">
        <v>3952.7</v>
      </c>
      <c r="AF25" s="186">
        <v>3958.6</v>
      </c>
      <c r="AG25" s="109">
        <v>4225.3</v>
      </c>
      <c r="AH25" s="110">
        <v>4177.1000000000004</v>
      </c>
      <c r="AI25" s="111">
        <v>4185.3</v>
      </c>
      <c r="AJ25" s="112">
        <v>4202.2</v>
      </c>
      <c r="AK25" s="113">
        <v>4208.5</v>
      </c>
      <c r="AL25" s="114">
        <v>4206.3999999999996</v>
      </c>
      <c r="AM25" s="112">
        <v>4216.1000000000004</v>
      </c>
      <c r="AN25" s="113">
        <v>4210.5</v>
      </c>
      <c r="AO25" s="114">
        <v>4233.7</v>
      </c>
      <c r="AP25" s="112">
        <v>4223.3999999999996</v>
      </c>
      <c r="AQ25" s="113">
        <v>4244</v>
      </c>
      <c r="AR25" s="114">
        <v>4247.8999999999996</v>
      </c>
    </row>
    <row r="26" spans="1:45" x14ac:dyDescent="0.35">
      <c r="A26" s="229">
        <v>19</v>
      </c>
      <c r="B26" s="65" t="s">
        <v>1718</v>
      </c>
      <c r="C26" s="102">
        <v>1731.1</v>
      </c>
      <c r="D26" s="102">
        <v>1738</v>
      </c>
      <c r="E26" s="103">
        <v>1745.2</v>
      </c>
      <c r="F26" s="103">
        <v>1766.6</v>
      </c>
      <c r="G26" s="103">
        <v>1788.7</v>
      </c>
      <c r="H26" s="103">
        <v>1811.6</v>
      </c>
      <c r="I26" s="102">
        <v>1736.2</v>
      </c>
      <c r="J26" s="103">
        <v>1744.3</v>
      </c>
      <c r="K26" s="102">
        <v>1752.6</v>
      </c>
      <c r="L26" s="210">
        <v>1753.6</v>
      </c>
      <c r="M26" s="216">
        <v>1754.7</v>
      </c>
      <c r="N26" s="143">
        <v>1756.1</v>
      </c>
      <c r="O26" s="198">
        <v>1766.1</v>
      </c>
      <c r="P26" s="216">
        <v>1776.3</v>
      </c>
      <c r="Q26" s="143">
        <v>1786.7</v>
      </c>
      <c r="R26" s="210">
        <v>1801</v>
      </c>
      <c r="S26" s="216">
        <v>1815.5</v>
      </c>
      <c r="T26" s="187">
        <v>1830.2</v>
      </c>
      <c r="U26" s="198">
        <v>1967.6</v>
      </c>
      <c r="V26" s="216">
        <v>1951</v>
      </c>
      <c r="W26" s="187">
        <v>1934.3</v>
      </c>
      <c r="X26" s="210">
        <v>1950.4</v>
      </c>
      <c r="Y26" s="216">
        <v>1966.3</v>
      </c>
      <c r="Z26" s="187">
        <v>1982</v>
      </c>
      <c r="AA26" s="210">
        <v>1974.3</v>
      </c>
      <c r="AB26" s="216">
        <v>1966.4</v>
      </c>
      <c r="AC26" s="222">
        <v>1958.4</v>
      </c>
      <c r="AD26" s="210">
        <v>1966.8</v>
      </c>
      <c r="AE26" s="216">
        <v>1975.1</v>
      </c>
      <c r="AF26" s="238">
        <v>1983.3</v>
      </c>
      <c r="AG26" s="112">
        <v>1952.3</v>
      </c>
      <c r="AH26" s="113">
        <v>1954.5</v>
      </c>
      <c r="AI26" s="114">
        <v>1956.8</v>
      </c>
      <c r="AJ26" s="112">
        <v>1958.7</v>
      </c>
      <c r="AK26" s="113">
        <v>1960.6</v>
      </c>
      <c r="AL26" s="114">
        <v>1962.6</v>
      </c>
      <c r="AM26" s="112">
        <v>1966.8</v>
      </c>
      <c r="AN26" s="113">
        <v>1971.1</v>
      </c>
      <c r="AO26" s="114">
        <v>1975.5</v>
      </c>
      <c r="AP26" s="112">
        <v>1978.6</v>
      </c>
      <c r="AQ26" s="113">
        <v>1981.9</v>
      </c>
      <c r="AR26" s="114">
        <v>1985.2</v>
      </c>
    </row>
    <row r="27" spans="1:45" x14ac:dyDescent="0.35">
      <c r="A27" s="229">
        <v>20</v>
      </c>
      <c r="B27" s="65" t="s">
        <v>1719</v>
      </c>
      <c r="C27" s="102">
        <v>1619.5</v>
      </c>
      <c r="D27" s="102">
        <v>1620.1</v>
      </c>
      <c r="E27" s="103">
        <v>1622.6</v>
      </c>
      <c r="F27" s="103">
        <v>1647.2</v>
      </c>
      <c r="G27" s="103">
        <v>1636</v>
      </c>
      <c r="H27" s="103">
        <v>1622</v>
      </c>
      <c r="I27" s="102">
        <v>1823.1</v>
      </c>
      <c r="J27" s="103">
        <v>1826.6</v>
      </c>
      <c r="K27" s="102">
        <v>1848.3</v>
      </c>
      <c r="L27" s="210">
        <v>1853.3</v>
      </c>
      <c r="M27" s="216">
        <v>1855.5</v>
      </c>
      <c r="N27" s="143">
        <v>1834.7</v>
      </c>
      <c r="O27" s="198">
        <v>1828.3</v>
      </c>
      <c r="P27" s="216">
        <v>1831</v>
      </c>
      <c r="Q27" s="143">
        <v>1831.2</v>
      </c>
      <c r="R27" s="210">
        <v>1844.6</v>
      </c>
      <c r="S27" s="216">
        <v>1857.2</v>
      </c>
      <c r="T27" s="187">
        <v>1853.4</v>
      </c>
      <c r="U27" s="198">
        <v>2032.1</v>
      </c>
      <c r="V27" s="216">
        <v>1961.2</v>
      </c>
      <c r="W27" s="187">
        <v>1970.6</v>
      </c>
      <c r="X27" s="210">
        <v>1979.2</v>
      </c>
      <c r="Y27" s="216">
        <v>1987.5</v>
      </c>
      <c r="Z27" s="187">
        <v>1985.3</v>
      </c>
      <c r="AA27" s="210">
        <v>1984.5</v>
      </c>
      <c r="AB27" s="216">
        <v>1963.3</v>
      </c>
      <c r="AC27" s="222">
        <v>1969.5</v>
      </c>
      <c r="AD27" s="210">
        <v>1996.8</v>
      </c>
      <c r="AE27" s="216">
        <v>1977.6</v>
      </c>
      <c r="AF27" s="238">
        <v>1975.3</v>
      </c>
      <c r="AG27" s="112">
        <v>2273</v>
      </c>
      <c r="AH27" s="113">
        <v>2222.6</v>
      </c>
      <c r="AI27" s="114">
        <v>2228.5</v>
      </c>
      <c r="AJ27" s="112">
        <v>2243.5</v>
      </c>
      <c r="AK27" s="113">
        <v>2247.9</v>
      </c>
      <c r="AL27" s="114">
        <v>2243.6999999999998</v>
      </c>
      <c r="AM27" s="112">
        <v>2249.3000000000002</v>
      </c>
      <c r="AN27" s="113">
        <v>2239.4</v>
      </c>
      <c r="AO27" s="114">
        <v>2258.1999999999998</v>
      </c>
      <c r="AP27" s="112">
        <v>2244.8000000000002</v>
      </c>
      <c r="AQ27" s="113">
        <v>2262.1</v>
      </c>
      <c r="AR27" s="114">
        <v>2262.6</v>
      </c>
    </row>
    <row r="28" spans="1:45" x14ac:dyDescent="0.35">
      <c r="A28" s="229">
        <v>21</v>
      </c>
      <c r="B28" s="152" t="s">
        <v>1720</v>
      </c>
      <c r="C28" s="100">
        <v>3891.7</v>
      </c>
      <c r="D28" s="100">
        <v>3893.9</v>
      </c>
      <c r="E28" s="101">
        <v>3892.9</v>
      </c>
      <c r="F28" s="101">
        <v>3981.6</v>
      </c>
      <c r="G28" s="101">
        <v>4002.2</v>
      </c>
      <c r="H28" s="101">
        <v>4010.8</v>
      </c>
      <c r="I28" s="100">
        <v>4083.3</v>
      </c>
      <c r="J28" s="101">
        <v>4108.8</v>
      </c>
      <c r="K28" s="100">
        <v>4115.1000000000004</v>
      </c>
      <c r="L28" s="209">
        <v>4112.3</v>
      </c>
      <c r="M28" s="215">
        <v>4126.8</v>
      </c>
      <c r="N28" s="140">
        <v>4121.3</v>
      </c>
      <c r="O28" s="197">
        <v>4097.8999999999996</v>
      </c>
      <c r="P28" s="215">
        <v>4096.5</v>
      </c>
      <c r="Q28" s="140">
        <v>4086.6</v>
      </c>
      <c r="R28" s="209">
        <v>4083.8</v>
      </c>
      <c r="S28" s="215">
        <v>4082</v>
      </c>
      <c r="T28" s="181">
        <v>4094.6</v>
      </c>
      <c r="U28" s="197">
        <v>4411.3</v>
      </c>
      <c r="V28" s="215">
        <v>4448.1000000000004</v>
      </c>
      <c r="W28" s="181">
        <v>4478.8999999999996</v>
      </c>
      <c r="X28" s="209">
        <v>4498.6000000000004</v>
      </c>
      <c r="Y28" s="215">
        <v>4510.1000000000004</v>
      </c>
      <c r="Z28" s="181">
        <v>4528.3999999999996</v>
      </c>
      <c r="AA28" s="209">
        <v>4551</v>
      </c>
      <c r="AB28" s="215">
        <v>4560.5</v>
      </c>
      <c r="AC28" s="221">
        <v>4599.7</v>
      </c>
      <c r="AD28" s="209">
        <v>4622.8999999999996</v>
      </c>
      <c r="AE28" s="215">
        <v>4621.7</v>
      </c>
      <c r="AF28" s="186">
        <v>4635.2</v>
      </c>
      <c r="AG28" s="109">
        <v>4708.3</v>
      </c>
      <c r="AH28" s="110">
        <v>4803.3</v>
      </c>
      <c r="AI28" s="111">
        <v>4852.3999999999996</v>
      </c>
      <c r="AJ28" s="112">
        <v>4995.5</v>
      </c>
      <c r="AK28" s="113">
        <v>4902.6000000000004</v>
      </c>
      <c r="AL28" s="114">
        <v>4958.7</v>
      </c>
      <c r="AM28" s="112">
        <v>4976.8999999999996</v>
      </c>
      <c r="AN28" s="113">
        <v>5022.1000000000004</v>
      </c>
      <c r="AO28" s="114">
        <v>5042.8</v>
      </c>
      <c r="AP28" s="112">
        <v>5055</v>
      </c>
      <c r="AQ28" s="113">
        <v>5070.1000000000004</v>
      </c>
      <c r="AR28" s="114">
        <v>5108.6000000000004</v>
      </c>
    </row>
    <row r="29" spans="1:45" x14ac:dyDescent="0.35">
      <c r="A29" s="229">
        <v>22</v>
      </c>
      <c r="B29" s="65" t="s">
        <v>1721</v>
      </c>
      <c r="C29" s="102">
        <v>3821.1</v>
      </c>
      <c r="D29" s="102">
        <v>3824.5</v>
      </c>
      <c r="E29" s="103">
        <v>3823.5</v>
      </c>
      <c r="F29" s="103">
        <v>3912.2</v>
      </c>
      <c r="G29" s="103">
        <v>3932.8</v>
      </c>
      <c r="H29" s="103">
        <v>3941.2</v>
      </c>
      <c r="I29" s="102">
        <v>3983.1</v>
      </c>
      <c r="J29" s="103">
        <v>4007.9</v>
      </c>
      <c r="K29" s="102">
        <v>4013.6</v>
      </c>
      <c r="L29" s="210">
        <v>4010.1</v>
      </c>
      <c r="M29" s="216">
        <v>4024</v>
      </c>
      <c r="N29" s="143">
        <v>4017.8</v>
      </c>
      <c r="O29" s="198">
        <v>3993.8</v>
      </c>
      <c r="P29" s="216">
        <v>3991.8</v>
      </c>
      <c r="Q29" s="143">
        <v>3977.7</v>
      </c>
      <c r="R29" s="210">
        <v>3977.9</v>
      </c>
      <c r="S29" s="216">
        <v>3972.1</v>
      </c>
      <c r="T29" s="187">
        <v>3987.7</v>
      </c>
      <c r="U29" s="198">
        <v>4271.8</v>
      </c>
      <c r="V29" s="216">
        <v>4321</v>
      </c>
      <c r="W29" s="187">
        <v>4350.8999999999996</v>
      </c>
      <c r="X29" s="210">
        <v>4362.3</v>
      </c>
      <c r="Y29" s="216">
        <v>4380.3</v>
      </c>
      <c r="Z29" s="187">
        <v>4397.6000000000004</v>
      </c>
      <c r="AA29" s="210">
        <v>4419.3</v>
      </c>
      <c r="AB29" s="216">
        <v>4427.8999999999996</v>
      </c>
      <c r="AC29" s="222">
        <v>4466.1000000000004</v>
      </c>
      <c r="AD29" s="210">
        <v>4488.3999999999996</v>
      </c>
      <c r="AE29" s="216">
        <v>4486.2</v>
      </c>
      <c r="AF29" s="142">
        <v>4498.7</v>
      </c>
      <c r="AG29" s="112">
        <v>4613.2</v>
      </c>
      <c r="AH29" s="113">
        <v>4685.7</v>
      </c>
      <c r="AI29" s="114">
        <v>4756.1000000000004</v>
      </c>
      <c r="AJ29" s="112">
        <v>4895.8</v>
      </c>
      <c r="AK29" s="113">
        <v>4802.3</v>
      </c>
      <c r="AL29" s="114">
        <v>4857.8</v>
      </c>
      <c r="AM29" s="112">
        <v>4875.3999999999996</v>
      </c>
      <c r="AN29" s="113">
        <v>4907.6000000000004</v>
      </c>
      <c r="AO29" s="114">
        <v>4921.8999999999996</v>
      </c>
      <c r="AP29" s="112">
        <v>4951.5</v>
      </c>
      <c r="AQ29" s="113">
        <v>4966</v>
      </c>
      <c r="AR29" s="114">
        <v>4981.3999999999996</v>
      </c>
    </row>
    <row r="30" spans="1:45" ht="17.5" customHeight="1" x14ac:dyDescent="0.35">
      <c r="A30" s="115">
        <v>23</v>
      </c>
      <c r="B30" s="121" t="s">
        <v>1722</v>
      </c>
      <c r="C30" s="122">
        <v>1211.0999999999999</v>
      </c>
      <c r="D30" s="122">
        <v>1215.9000000000001</v>
      </c>
      <c r="E30" s="125">
        <v>1216.9000000000001</v>
      </c>
      <c r="F30" s="103">
        <v>1229.0999999999999</v>
      </c>
      <c r="G30" s="103">
        <v>1224.3</v>
      </c>
      <c r="H30" s="103">
        <v>1223.5999999999999</v>
      </c>
      <c r="I30" s="102">
        <v>1335.4</v>
      </c>
      <c r="J30" s="103">
        <v>1340.1</v>
      </c>
      <c r="K30" s="102">
        <v>1344.5</v>
      </c>
      <c r="L30" s="210">
        <v>1349.9</v>
      </c>
      <c r="M30" s="216">
        <v>1354.7</v>
      </c>
      <c r="N30" s="143">
        <v>1356.7</v>
      </c>
      <c r="O30" s="198">
        <v>1358.3</v>
      </c>
      <c r="P30" s="216">
        <v>1362.1</v>
      </c>
      <c r="Q30" s="143">
        <v>1363.4</v>
      </c>
      <c r="R30" s="210">
        <v>1378.6</v>
      </c>
      <c r="S30" s="216">
        <v>1370.3</v>
      </c>
      <c r="T30" s="187">
        <v>1373.8</v>
      </c>
      <c r="U30" s="198">
        <v>1421.9</v>
      </c>
      <c r="V30" s="216">
        <v>1425</v>
      </c>
      <c r="W30" s="187">
        <v>1432.7</v>
      </c>
      <c r="X30" s="210">
        <v>1435.9</v>
      </c>
      <c r="Y30" s="216">
        <v>1438.7</v>
      </c>
      <c r="Z30" s="187">
        <v>1444.6</v>
      </c>
      <c r="AA30" s="210">
        <v>1448.8</v>
      </c>
      <c r="AB30" s="216">
        <v>1452.8</v>
      </c>
      <c r="AC30" s="222">
        <v>1457.8</v>
      </c>
      <c r="AD30" s="210">
        <v>1470.6</v>
      </c>
      <c r="AE30" s="216">
        <v>1466.8</v>
      </c>
      <c r="AF30" s="142">
        <v>1466.3</v>
      </c>
      <c r="AG30" s="189">
        <v>1504.4</v>
      </c>
      <c r="AH30" s="206">
        <v>1514.7</v>
      </c>
      <c r="AI30" s="142">
        <v>1570.5</v>
      </c>
      <c r="AJ30" s="127">
        <v>1678.6</v>
      </c>
      <c r="AK30" s="128">
        <v>1556</v>
      </c>
      <c r="AL30" s="129">
        <v>1587.9</v>
      </c>
      <c r="AM30" s="127">
        <v>1574.8</v>
      </c>
      <c r="AN30" s="128">
        <v>1578.9</v>
      </c>
      <c r="AO30" s="114">
        <v>1572.6</v>
      </c>
      <c r="AP30" s="112">
        <v>1579.7</v>
      </c>
      <c r="AQ30" s="113">
        <v>1579.8</v>
      </c>
      <c r="AR30" s="114">
        <v>1575.2</v>
      </c>
      <c r="AS30" s="108">
        <f>'Social Benefits'!AG66</f>
        <v>1635.396796</v>
      </c>
    </row>
    <row r="31" spans="1:45" ht="16" customHeight="1" x14ac:dyDescent="0.35">
      <c r="A31" s="115">
        <v>24</v>
      </c>
      <c r="B31" s="121" t="s">
        <v>1723</v>
      </c>
      <c r="C31" s="122">
        <v>914.1</v>
      </c>
      <c r="D31" s="122">
        <v>920.1</v>
      </c>
      <c r="E31" s="125">
        <v>926.7</v>
      </c>
      <c r="F31" s="103">
        <v>933.8</v>
      </c>
      <c r="G31" s="103">
        <v>941.5</v>
      </c>
      <c r="H31" s="103">
        <v>949.7</v>
      </c>
      <c r="I31" s="102">
        <v>936.9</v>
      </c>
      <c r="J31" s="103">
        <v>938.1</v>
      </c>
      <c r="K31" s="102">
        <v>939.3</v>
      </c>
      <c r="L31" s="210">
        <v>940.6</v>
      </c>
      <c r="M31" s="216">
        <v>941.9</v>
      </c>
      <c r="N31" s="143">
        <v>943.3</v>
      </c>
      <c r="O31" s="198">
        <v>944.8</v>
      </c>
      <c r="P31" s="216">
        <v>946.3</v>
      </c>
      <c r="Q31" s="143">
        <v>947.9</v>
      </c>
      <c r="R31" s="210">
        <v>949.6</v>
      </c>
      <c r="S31" s="216">
        <v>951.3</v>
      </c>
      <c r="T31" s="187">
        <v>953.1</v>
      </c>
      <c r="U31" s="198">
        <v>1044.2</v>
      </c>
      <c r="V31" s="216">
        <v>1049</v>
      </c>
      <c r="W31" s="187">
        <v>1054.4000000000001</v>
      </c>
      <c r="X31" s="210">
        <v>1060.4000000000001</v>
      </c>
      <c r="Y31" s="216">
        <v>1066.9000000000001</v>
      </c>
      <c r="Z31" s="187">
        <v>1074.0999999999999</v>
      </c>
      <c r="AA31" s="210">
        <v>1081.8</v>
      </c>
      <c r="AB31" s="216">
        <v>1090</v>
      </c>
      <c r="AC31" s="222">
        <v>1098.9000000000001</v>
      </c>
      <c r="AD31" s="210">
        <v>1108.3</v>
      </c>
      <c r="AE31" s="216">
        <v>1118.3</v>
      </c>
      <c r="AF31" s="183">
        <v>1128.9000000000001</v>
      </c>
      <c r="AG31" s="189">
        <v>1161.7</v>
      </c>
      <c r="AH31" s="206">
        <v>1172.5999999999999</v>
      </c>
      <c r="AI31" s="142">
        <v>1183.5999999999999</v>
      </c>
      <c r="AJ31" s="130">
        <v>1194.5</v>
      </c>
      <c r="AK31" s="131">
        <v>1205.3</v>
      </c>
      <c r="AL31" s="132">
        <v>1216.2</v>
      </c>
      <c r="AM31" s="130">
        <v>1226.9000000000001</v>
      </c>
      <c r="AN31" s="113">
        <v>1237.5999999999999</v>
      </c>
      <c r="AO31" s="114">
        <v>1248.3</v>
      </c>
      <c r="AP31" s="112">
        <v>1258.9000000000001</v>
      </c>
      <c r="AQ31" s="113">
        <v>1269.5</v>
      </c>
      <c r="AR31" s="114">
        <v>1280.0999999999999</v>
      </c>
      <c r="AS31" s="76">
        <f>Medicare!AG10</f>
        <v>1304.7202989964987</v>
      </c>
    </row>
    <row r="32" spans="1:45" x14ac:dyDescent="0.35">
      <c r="A32" s="115">
        <v>25</v>
      </c>
      <c r="B32" s="121" t="s">
        <v>45</v>
      </c>
      <c r="C32" s="122">
        <v>790.3</v>
      </c>
      <c r="D32" s="122">
        <v>785.3</v>
      </c>
      <c r="E32" s="125">
        <v>782.8</v>
      </c>
      <c r="F32" s="103">
        <v>791.2</v>
      </c>
      <c r="G32" s="103">
        <v>796.9</v>
      </c>
      <c r="H32" s="103">
        <v>800.6</v>
      </c>
      <c r="I32" s="102">
        <v>856.7</v>
      </c>
      <c r="J32" s="103">
        <v>871.5</v>
      </c>
      <c r="K32" s="102">
        <v>886.1</v>
      </c>
      <c r="L32" s="210">
        <v>908.2</v>
      </c>
      <c r="M32" s="216">
        <v>916.2</v>
      </c>
      <c r="N32" s="143">
        <v>909.8</v>
      </c>
      <c r="O32" s="198">
        <v>893.4</v>
      </c>
      <c r="P32" s="216">
        <v>879.5</v>
      </c>
      <c r="Q32" s="143">
        <v>868.8</v>
      </c>
      <c r="R32" s="210">
        <v>863.5</v>
      </c>
      <c r="S32" s="216">
        <v>865.8</v>
      </c>
      <c r="T32" s="187">
        <v>875.6</v>
      </c>
      <c r="U32" s="198">
        <v>889.7</v>
      </c>
      <c r="V32" s="216">
        <v>906.4</v>
      </c>
      <c r="W32" s="187">
        <v>918.4</v>
      </c>
      <c r="X32" s="210">
        <v>922.3</v>
      </c>
      <c r="Y32" s="216">
        <v>925.2</v>
      </c>
      <c r="Z32" s="187">
        <v>926.4</v>
      </c>
      <c r="AA32" s="210">
        <v>926.2</v>
      </c>
      <c r="AB32" s="216">
        <v>930.8</v>
      </c>
      <c r="AC32" s="222">
        <v>940.2</v>
      </c>
      <c r="AD32" s="210">
        <v>937.7</v>
      </c>
      <c r="AE32" s="216">
        <v>942.3</v>
      </c>
      <c r="AF32" s="183">
        <v>954.3</v>
      </c>
      <c r="AG32" s="189">
        <v>954.9</v>
      </c>
      <c r="AH32" s="206">
        <v>953.4</v>
      </c>
      <c r="AI32" s="142">
        <v>957.3</v>
      </c>
      <c r="AJ32" s="130">
        <v>977.5</v>
      </c>
      <c r="AK32" s="131">
        <v>992.8</v>
      </c>
      <c r="AL32" s="132">
        <v>1004.3</v>
      </c>
      <c r="AM32" s="130">
        <v>1029.4000000000001</v>
      </c>
      <c r="AN32" s="113">
        <v>1047.8</v>
      </c>
      <c r="AO32" s="114">
        <v>1059.5</v>
      </c>
      <c r="AP32" s="112">
        <v>1072.5</v>
      </c>
      <c r="AQ32" s="113">
        <v>1079.3</v>
      </c>
      <c r="AR32" s="114">
        <v>1083.4000000000001</v>
      </c>
      <c r="AS32" s="108">
        <f>forecast!D11</f>
        <v>1093.1629366212339</v>
      </c>
    </row>
    <row r="33" spans="1:45" x14ac:dyDescent="0.35">
      <c r="A33" s="115">
        <v>26</v>
      </c>
      <c r="B33" s="121" t="s">
        <v>243</v>
      </c>
      <c r="C33" s="122">
        <v>18.7</v>
      </c>
      <c r="D33" s="122">
        <v>18.899999999999999</v>
      </c>
      <c r="E33" s="125">
        <v>18</v>
      </c>
      <c r="F33" s="103">
        <v>18.899999999999999</v>
      </c>
      <c r="G33" s="103">
        <v>20.6</v>
      </c>
      <c r="H33" s="103">
        <v>21.6</v>
      </c>
      <c r="I33" s="102">
        <v>21.1</v>
      </c>
      <c r="J33" s="103">
        <v>22</v>
      </c>
      <c r="K33" s="102">
        <v>22.8</v>
      </c>
      <c r="L33" s="210">
        <v>22.8</v>
      </c>
      <c r="M33" s="216">
        <v>22.3</v>
      </c>
      <c r="N33" s="143">
        <v>21.6</v>
      </c>
      <c r="O33" s="198">
        <v>21.1</v>
      </c>
      <c r="P33" s="216">
        <v>21.1</v>
      </c>
      <c r="Q33" s="143">
        <v>20.8</v>
      </c>
      <c r="R33" s="210">
        <v>22.1</v>
      </c>
      <c r="S33" s="216">
        <v>23.1</v>
      </c>
      <c r="T33" s="187">
        <v>22.9</v>
      </c>
      <c r="U33" s="198">
        <v>34.799999999999997</v>
      </c>
      <c r="V33" s="216">
        <v>35</v>
      </c>
      <c r="W33" s="187">
        <v>35</v>
      </c>
      <c r="X33" s="210">
        <v>34.5</v>
      </c>
      <c r="Y33" s="216">
        <v>34.799999999999997</v>
      </c>
      <c r="Z33" s="187">
        <v>35.6</v>
      </c>
      <c r="AA33" s="210">
        <v>35.9</v>
      </c>
      <c r="AB33" s="216">
        <v>35.700000000000003</v>
      </c>
      <c r="AC33" s="222">
        <v>35.4</v>
      </c>
      <c r="AD33" s="210">
        <v>36</v>
      </c>
      <c r="AE33" s="216">
        <v>36.299999999999997</v>
      </c>
      <c r="AF33" s="183">
        <v>35.9</v>
      </c>
      <c r="AG33" s="189">
        <v>37</v>
      </c>
      <c r="AH33" s="206">
        <v>37.1</v>
      </c>
      <c r="AI33" s="142">
        <v>37.200000000000003</v>
      </c>
      <c r="AJ33" s="130">
        <v>37.200000000000003</v>
      </c>
      <c r="AK33" s="131">
        <v>37.9</v>
      </c>
      <c r="AL33" s="132">
        <v>38.799999999999997</v>
      </c>
      <c r="AM33" s="130">
        <v>38.700000000000003</v>
      </c>
      <c r="AN33" s="113">
        <v>38.6</v>
      </c>
      <c r="AO33" s="114">
        <v>38.200000000000003</v>
      </c>
      <c r="AP33" s="112">
        <v>38.9</v>
      </c>
      <c r="AQ33" s="113">
        <v>38.4</v>
      </c>
      <c r="AR33" s="114">
        <v>37.5</v>
      </c>
      <c r="AS33" s="108">
        <f>forecast!D9+forecast!D8</f>
        <v>35.700000000000003</v>
      </c>
    </row>
    <row r="34" spans="1:45" ht="16.399999999999999" customHeight="1" x14ac:dyDescent="0.35">
      <c r="A34" s="229">
        <v>27</v>
      </c>
      <c r="B34" s="157" t="s">
        <v>1724</v>
      </c>
      <c r="C34" s="102">
        <v>161.1</v>
      </c>
      <c r="D34" s="102">
        <v>161.6</v>
      </c>
      <c r="E34" s="103">
        <v>162.5</v>
      </c>
      <c r="F34" s="103">
        <v>163.19999999999999</v>
      </c>
      <c r="G34" s="103">
        <v>164</v>
      </c>
      <c r="H34" s="103">
        <v>164.8</v>
      </c>
      <c r="I34" s="102">
        <v>173.1</v>
      </c>
      <c r="J34" s="103">
        <v>172.9</v>
      </c>
      <c r="K34" s="102">
        <v>172.7</v>
      </c>
      <c r="L34" s="210">
        <v>172.7</v>
      </c>
      <c r="M34" s="216">
        <v>172.4</v>
      </c>
      <c r="N34" s="143">
        <v>172.5</v>
      </c>
      <c r="O34" s="198">
        <v>172.7</v>
      </c>
      <c r="P34" s="216">
        <v>172.9</v>
      </c>
      <c r="Q34" s="143">
        <v>173</v>
      </c>
      <c r="R34" s="210">
        <v>173.3</v>
      </c>
      <c r="S34" s="216">
        <v>173.6</v>
      </c>
      <c r="T34" s="187">
        <v>173.9</v>
      </c>
      <c r="U34" s="198">
        <v>210.1</v>
      </c>
      <c r="V34" s="216">
        <v>211.7</v>
      </c>
      <c r="W34" s="187">
        <v>213.4</v>
      </c>
      <c r="X34" s="210">
        <v>215.1</v>
      </c>
      <c r="Y34" s="216">
        <v>216.8</v>
      </c>
      <c r="Z34" s="187">
        <v>218.4</v>
      </c>
      <c r="AA34" s="210">
        <v>219.9</v>
      </c>
      <c r="AB34" s="216">
        <v>221.6</v>
      </c>
      <c r="AC34" s="222">
        <v>223.1</v>
      </c>
      <c r="AD34" s="210">
        <v>224.7</v>
      </c>
      <c r="AE34" s="216">
        <v>226.3</v>
      </c>
      <c r="AF34" s="238">
        <v>227.8</v>
      </c>
      <c r="AG34" s="236">
        <v>263.7</v>
      </c>
      <c r="AH34" s="98">
        <v>270.10000000000002</v>
      </c>
      <c r="AI34" s="238">
        <v>275.89999999999998</v>
      </c>
      <c r="AJ34" s="112">
        <v>281.3</v>
      </c>
      <c r="AK34" s="113">
        <v>286.3</v>
      </c>
      <c r="AL34" s="114">
        <v>290.89999999999998</v>
      </c>
      <c r="AM34" s="112">
        <v>295.2</v>
      </c>
      <c r="AN34" s="113">
        <v>299</v>
      </c>
      <c r="AO34" s="114">
        <v>302.39999999999998</v>
      </c>
      <c r="AP34" s="112">
        <v>305.3</v>
      </c>
      <c r="AQ34" s="113">
        <v>308</v>
      </c>
      <c r="AR34" s="114">
        <v>310.10000000000002</v>
      </c>
    </row>
    <row r="35" spans="1:45" x14ac:dyDescent="0.35">
      <c r="A35" s="229">
        <v>28</v>
      </c>
      <c r="B35" s="157" t="s">
        <v>495</v>
      </c>
      <c r="C35" s="102">
        <v>725.8</v>
      </c>
      <c r="D35" s="102">
        <v>722.7</v>
      </c>
      <c r="E35" s="103">
        <v>716.6</v>
      </c>
      <c r="F35" s="103">
        <v>776</v>
      </c>
      <c r="G35" s="103">
        <v>785.4</v>
      </c>
      <c r="H35" s="103">
        <v>780.9</v>
      </c>
      <c r="I35" s="102">
        <v>659.8</v>
      </c>
      <c r="J35" s="103">
        <v>663.3</v>
      </c>
      <c r="K35" s="102">
        <v>648.20000000000005</v>
      </c>
      <c r="L35" s="210">
        <v>615.9</v>
      </c>
      <c r="M35" s="216">
        <v>616.4</v>
      </c>
      <c r="N35" s="143">
        <v>613.79999999999995</v>
      </c>
      <c r="O35" s="198">
        <v>603.5</v>
      </c>
      <c r="P35" s="216">
        <v>610</v>
      </c>
      <c r="Q35" s="143">
        <v>603.79999999999995</v>
      </c>
      <c r="R35" s="210">
        <v>590.79999999999995</v>
      </c>
      <c r="S35" s="216">
        <v>588.1</v>
      </c>
      <c r="T35" s="187">
        <v>588.29999999999995</v>
      </c>
      <c r="U35" s="198">
        <v>671.2</v>
      </c>
      <c r="V35" s="216">
        <v>693.9</v>
      </c>
      <c r="W35" s="187">
        <v>697.1</v>
      </c>
      <c r="X35" s="210">
        <v>694.1</v>
      </c>
      <c r="Y35" s="216">
        <v>697.8</v>
      </c>
      <c r="Z35" s="187">
        <v>698.6</v>
      </c>
      <c r="AA35" s="210">
        <v>706.7</v>
      </c>
      <c r="AB35" s="216">
        <v>696.9</v>
      </c>
      <c r="AC35" s="222">
        <v>710.7</v>
      </c>
      <c r="AD35" s="210">
        <v>711</v>
      </c>
      <c r="AE35" s="216">
        <v>696.3</v>
      </c>
      <c r="AF35" s="238">
        <v>685.5</v>
      </c>
      <c r="AG35" s="236">
        <v>691.5</v>
      </c>
      <c r="AH35" s="98">
        <v>737.8</v>
      </c>
      <c r="AI35" s="238">
        <v>731.7</v>
      </c>
      <c r="AJ35" s="112">
        <v>726.8</v>
      </c>
      <c r="AK35" s="113">
        <v>723.9</v>
      </c>
      <c r="AL35" s="114">
        <v>719.7</v>
      </c>
      <c r="AM35" s="112">
        <v>710.3</v>
      </c>
      <c r="AN35" s="113">
        <v>705.7</v>
      </c>
      <c r="AO35" s="114">
        <v>700.9</v>
      </c>
      <c r="AP35" s="112">
        <v>696.1</v>
      </c>
      <c r="AQ35" s="113">
        <v>691</v>
      </c>
      <c r="AR35" s="114">
        <v>695.1</v>
      </c>
    </row>
    <row r="36" spans="1:45" ht="20.5" customHeight="1" x14ac:dyDescent="0.35">
      <c r="A36" s="229">
        <v>29</v>
      </c>
      <c r="B36" s="155" t="s">
        <v>1725</v>
      </c>
      <c r="C36" s="102">
        <v>70.7</v>
      </c>
      <c r="D36" s="102">
        <v>69.400000000000006</v>
      </c>
      <c r="E36" s="103">
        <v>69.400000000000006</v>
      </c>
      <c r="F36" s="103">
        <v>69.400000000000006</v>
      </c>
      <c r="G36" s="103">
        <v>69.5</v>
      </c>
      <c r="H36" s="103">
        <v>69.599999999999994</v>
      </c>
      <c r="I36" s="102">
        <v>100.2</v>
      </c>
      <c r="J36" s="103">
        <v>100.9</v>
      </c>
      <c r="K36" s="102">
        <v>101.6</v>
      </c>
      <c r="L36" s="210">
        <v>102.2</v>
      </c>
      <c r="M36" s="216">
        <v>102.8</v>
      </c>
      <c r="N36" s="143">
        <v>103.5</v>
      </c>
      <c r="O36" s="198">
        <v>104.1</v>
      </c>
      <c r="P36" s="216">
        <v>104.7</v>
      </c>
      <c r="Q36" s="143">
        <v>108.9</v>
      </c>
      <c r="R36" s="210">
        <v>105.8</v>
      </c>
      <c r="S36" s="216">
        <v>109.9</v>
      </c>
      <c r="T36" s="187">
        <v>106.9</v>
      </c>
      <c r="U36" s="198">
        <v>139.5</v>
      </c>
      <c r="V36" s="216">
        <v>127.1</v>
      </c>
      <c r="W36" s="187">
        <v>128</v>
      </c>
      <c r="X36" s="210">
        <v>136.30000000000001</v>
      </c>
      <c r="Y36" s="216">
        <v>129.80000000000001</v>
      </c>
      <c r="Z36" s="187">
        <v>130.80000000000001</v>
      </c>
      <c r="AA36" s="210">
        <v>131.69999999999999</v>
      </c>
      <c r="AB36" s="216">
        <v>132.6</v>
      </c>
      <c r="AC36" s="222">
        <v>133.6</v>
      </c>
      <c r="AD36" s="210">
        <v>134.5</v>
      </c>
      <c r="AE36" s="216">
        <v>135.5</v>
      </c>
      <c r="AF36" s="238">
        <v>136.5</v>
      </c>
      <c r="AG36" s="236">
        <v>95.1</v>
      </c>
      <c r="AH36" s="98">
        <v>117.6</v>
      </c>
      <c r="AI36" s="238">
        <v>96.3</v>
      </c>
      <c r="AJ36" s="112">
        <v>99.7</v>
      </c>
      <c r="AK36" s="113">
        <v>100.3</v>
      </c>
      <c r="AL36" s="114">
        <v>100.9</v>
      </c>
      <c r="AM36" s="112">
        <v>101.6</v>
      </c>
      <c r="AN36" s="113">
        <v>114.5</v>
      </c>
      <c r="AO36" s="114">
        <v>120.9</v>
      </c>
      <c r="AP36" s="112">
        <v>103.5</v>
      </c>
      <c r="AQ36" s="113">
        <v>104.2</v>
      </c>
      <c r="AR36" s="114">
        <v>127.2</v>
      </c>
    </row>
    <row r="37" spans="1:45" ht="42" customHeight="1" x14ac:dyDescent="0.35">
      <c r="A37" s="115">
        <v>30</v>
      </c>
      <c r="B37" s="146" t="s">
        <v>1726</v>
      </c>
      <c r="C37" s="147">
        <v>1683.6</v>
      </c>
      <c r="D37" s="147">
        <v>1695.6</v>
      </c>
      <c r="E37" s="149">
        <v>1707.7</v>
      </c>
      <c r="F37" s="101">
        <v>1704.3</v>
      </c>
      <c r="G37" s="101">
        <v>1703.1</v>
      </c>
      <c r="H37" s="101">
        <v>1703.8</v>
      </c>
      <c r="I37" s="100">
        <v>1765.5</v>
      </c>
      <c r="J37" s="101">
        <v>1774.3</v>
      </c>
      <c r="K37" s="100">
        <v>1782</v>
      </c>
      <c r="L37" s="209">
        <v>1787.4</v>
      </c>
      <c r="M37" s="215">
        <v>1793.6</v>
      </c>
      <c r="N37" s="140">
        <v>1800.9</v>
      </c>
      <c r="O37" s="197">
        <v>1809.2</v>
      </c>
      <c r="P37" s="215">
        <v>1817.6</v>
      </c>
      <c r="Q37" s="140">
        <v>1824.6</v>
      </c>
      <c r="R37" s="209">
        <v>1821.7</v>
      </c>
      <c r="S37" s="215">
        <v>1824.1</v>
      </c>
      <c r="T37" s="181">
        <v>1830.7</v>
      </c>
      <c r="U37" s="197">
        <v>1872.5</v>
      </c>
      <c r="V37" s="215">
        <v>1883.5</v>
      </c>
      <c r="W37" s="181">
        <v>1892.5</v>
      </c>
      <c r="X37" s="209">
        <v>1887</v>
      </c>
      <c r="Y37" s="215">
        <v>1891.2</v>
      </c>
      <c r="Z37" s="181">
        <v>1891.4</v>
      </c>
      <c r="AA37" s="209">
        <v>1892.6</v>
      </c>
      <c r="AB37" s="215">
        <v>1897.9</v>
      </c>
      <c r="AC37" s="221">
        <v>1902.5</v>
      </c>
      <c r="AD37" s="209">
        <v>1914.2</v>
      </c>
      <c r="AE37" s="215">
        <v>1925.8</v>
      </c>
      <c r="AF37" s="184">
        <v>1933.7</v>
      </c>
      <c r="AG37" s="190">
        <v>1987.1</v>
      </c>
      <c r="AH37" s="191">
        <v>1995.7</v>
      </c>
      <c r="AI37" s="184">
        <v>2005</v>
      </c>
      <c r="AJ37" s="127">
        <v>2004.6</v>
      </c>
      <c r="AK37" s="128">
        <v>2005.8</v>
      </c>
      <c r="AL37" s="129">
        <v>2004.8</v>
      </c>
      <c r="AM37" s="127">
        <v>2014.8</v>
      </c>
      <c r="AN37" s="113">
        <v>2020.6</v>
      </c>
      <c r="AO37" s="114">
        <v>2027.3</v>
      </c>
      <c r="AP37" s="112">
        <v>2033</v>
      </c>
      <c r="AQ37" s="113">
        <v>2042</v>
      </c>
      <c r="AR37" s="114">
        <v>2045.4</v>
      </c>
      <c r="AS37" s="108">
        <f>Taxes!AG13+Taxes!AG28</f>
        <v>2056.6363938170575</v>
      </c>
    </row>
    <row r="38" spans="1:45" x14ac:dyDescent="0.35">
      <c r="A38" s="115">
        <v>31</v>
      </c>
      <c r="B38" s="150" t="s">
        <v>230</v>
      </c>
      <c r="C38" s="147">
        <v>3224.2</v>
      </c>
      <c r="D38" s="147">
        <v>3236.7</v>
      </c>
      <c r="E38" s="149">
        <v>3248.6</v>
      </c>
      <c r="F38" s="101">
        <v>3232.7</v>
      </c>
      <c r="G38" s="101">
        <v>3213.6</v>
      </c>
      <c r="H38" s="101">
        <v>3202.1</v>
      </c>
      <c r="I38" s="100">
        <v>2767.2</v>
      </c>
      <c r="J38" s="101">
        <v>2763.4</v>
      </c>
      <c r="K38" s="100">
        <v>2760.4</v>
      </c>
      <c r="L38" s="209">
        <v>2707.4</v>
      </c>
      <c r="M38" s="215">
        <v>2691.2</v>
      </c>
      <c r="N38" s="140">
        <v>2712.9</v>
      </c>
      <c r="O38" s="197">
        <v>2744.1</v>
      </c>
      <c r="P38" s="215">
        <v>2768.2</v>
      </c>
      <c r="Q38" s="140">
        <v>2783.7</v>
      </c>
      <c r="R38" s="209">
        <v>2785.6</v>
      </c>
      <c r="S38" s="215">
        <v>2791.7</v>
      </c>
      <c r="T38" s="181">
        <v>2800.1</v>
      </c>
      <c r="U38" s="197">
        <v>2947.9</v>
      </c>
      <c r="V38" s="215">
        <v>2966.4</v>
      </c>
      <c r="W38" s="181">
        <v>2982.6</v>
      </c>
      <c r="X38" s="209">
        <v>2989.7</v>
      </c>
      <c r="Y38" s="215">
        <v>3007.5</v>
      </c>
      <c r="Z38" s="181">
        <v>3019</v>
      </c>
      <c r="AA38" s="209">
        <v>3038.6</v>
      </c>
      <c r="AB38" s="215">
        <v>3056.8</v>
      </c>
      <c r="AC38" s="221">
        <v>3067.2</v>
      </c>
      <c r="AD38" s="209">
        <v>3098.3</v>
      </c>
      <c r="AE38" s="215">
        <v>3121.7</v>
      </c>
      <c r="AF38" s="184">
        <v>3132.9</v>
      </c>
      <c r="AG38" s="190">
        <v>3135.2</v>
      </c>
      <c r="AH38" s="191">
        <v>3153.9</v>
      </c>
      <c r="AI38" s="184">
        <v>3172.9</v>
      </c>
      <c r="AJ38" s="127">
        <v>3188</v>
      </c>
      <c r="AK38" s="128">
        <v>3203.2</v>
      </c>
      <c r="AL38" s="129">
        <v>3211.5</v>
      </c>
      <c r="AM38" s="127">
        <v>3236.9</v>
      </c>
      <c r="AN38" s="113">
        <v>3254.3</v>
      </c>
      <c r="AO38" s="114">
        <v>3273.1</v>
      </c>
      <c r="AP38" s="112">
        <v>3292.9</v>
      </c>
      <c r="AQ38" s="113">
        <v>3313.2</v>
      </c>
      <c r="AR38" s="114">
        <v>3323.7</v>
      </c>
      <c r="AS38" s="108">
        <f>Taxes!AG10+Taxes!AG26</f>
        <v>3250.3610918606828</v>
      </c>
    </row>
    <row r="39" spans="1:45" x14ac:dyDescent="0.35">
      <c r="A39" s="229">
        <v>32</v>
      </c>
      <c r="B39" s="67" t="s">
        <v>1727</v>
      </c>
      <c r="C39" s="100">
        <v>18628.099999999999</v>
      </c>
      <c r="D39" s="100">
        <v>18739.099999999999</v>
      </c>
      <c r="E39" s="101">
        <v>18831.7</v>
      </c>
      <c r="F39" s="101">
        <v>18969.2</v>
      </c>
      <c r="G39" s="101">
        <v>19026.5</v>
      </c>
      <c r="H39" s="101">
        <v>19079.7</v>
      </c>
      <c r="I39" s="100">
        <v>19758.099999999999</v>
      </c>
      <c r="J39" s="101">
        <v>19885</v>
      </c>
      <c r="K39" s="100">
        <v>19997.5</v>
      </c>
      <c r="L39" s="209">
        <v>20098.7</v>
      </c>
      <c r="M39" s="215">
        <v>20185.400000000001</v>
      </c>
      <c r="N39" s="140">
        <v>20208.400000000001</v>
      </c>
      <c r="O39" s="197">
        <v>20242.2</v>
      </c>
      <c r="P39" s="215">
        <v>20326.400000000001</v>
      </c>
      <c r="Q39" s="140">
        <v>20392.5</v>
      </c>
      <c r="R39" s="209">
        <v>20403.8</v>
      </c>
      <c r="S39" s="215">
        <v>20449.8</v>
      </c>
      <c r="T39" s="181">
        <v>20511.5</v>
      </c>
      <c r="U39" s="197">
        <v>21278.799999999999</v>
      </c>
      <c r="V39" s="215">
        <v>21364.6</v>
      </c>
      <c r="W39" s="181">
        <v>21492.3</v>
      </c>
      <c r="X39" s="209">
        <v>21521.4</v>
      </c>
      <c r="Y39" s="215">
        <v>21576.7</v>
      </c>
      <c r="Z39" s="181">
        <v>21607.7</v>
      </c>
      <c r="AA39" s="209">
        <v>21630.7</v>
      </c>
      <c r="AB39" s="215">
        <v>21644.400000000001</v>
      </c>
      <c r="AC39" s="221">
        <v>21712.5</v>
      </c>
      <c r="AD39" s="209">
        <v>21852.3</v>
      </c>
      <c r="AE39" s="215">
        <v>21915.4</v>
      </c>
      <c r="AF39" s="186">
        <v>22006.2</v>
      </c>
      <c r="AG39" s="109">
        <v>22435.3</v>
      </c>
      <c r="AH39" s="110">
        <v>22551.4</v>
      </c>
      <c r="AI39" s="111">
        <v>22704.400000000001</v>
      </c>
      <c r="AJ39" s="112">
        <v>22873.1</v>
      </c>
      <c r="AK39" s="113">
        <v>22722.6</v>
      </c>
      <c r="AL39" s="114">
        <v>22764.1</v>
      </c>
      <c r="AM39" s="112">
        <v>22863.3</v>
      </c>
      <c r="AN39" s="113">
        <v>22946.1</v>
      </c>
      <c r="AO39" s="114">
        <v>23019.200000000001</v>
      </c>
      <c r="AP39" s="112">
        <v>23035.599999999999</v>
      </c>
      <c r="AQ39" s="113">
        <v>23112.9</v>
      </c>
      <c r="AR39" s="114">
        <v>23188.6</v>
      </c>
    </row>
    <row r="40" spans="1:45" x14ac:dyDescent="0.35">
      <c r="A40" s="229">
        <v>33</v>
      </c>
      <c r="B40" s="67" t="s">
        <v>231</v>
      </c>
      <c r="C40" s="100">
        <v>17983.400000000001</v>
      </c>
      <c r="D40" s="100">
        <v>18132.7</v>
      </c>
      <c r="E40" s="101">
        <v>18257.400000000001</v>
      </c>
      <c r="F40" s="101">
        <v>18391.8</v>
      </c>
      <c r="G40" s="101">
        <v>18362.3</v>
      </c>
      <c r="H40" s="101">
        <v>18377.400000000001</v>
      </c>
      <c r="I40" s="100">
        <v>18887</v>
      </c>
      <c r="J40" s="101">
        <v>18959</v>
      </c>
      <c r="K40" s="100">
        <v>18950</v>
      </c>
      <c r="L40" s="209">
        <v>19056.2</v>
      </c>
      <c r="M40" s="215">
        <v>19125.400000000001</v>
      </c>
      <c r="N40" s="140">
        <v>19228.3</v>
      </c>
      <c r="O40" s="197">
        <v>19351.5</v>
      </c>
      <c r="P40" s="215">
        <v>19417</v>
      </c>
      <c r="Q40" s="140">
        <v>19600.900000000001</v>
      </c>
      <c r="R40" s="209">
        <v>19622.8</v>
      </c>
      <c r="S40" s="215">
        <v>19683.8</v>
      </c>
      <c r="T40" s="181">
        <v>19779.3</v>
      </c>
      <c r="U40" s="197">
        <v>20105.3</v>
      </c>
      <c r="V40" s="215">
        <v>20218.400000000001</v>
      </c>
      <c r="W40" s="181">
        <v>20367.8</v>
      </c>
      <c r="X40" s="209">
        <v>20423.3</v>
      </c>
      <c r="Y40" s="215">
        <v>20522.099999999999</v>
      </c>
      <c r="Z40" s="181">
        <v>20577.099999999999</v>
      </c>
      <c r="AA40" s="209">
        <v>20698.8</v>
      </c>
      <c r="AB40" s="215">
        <v>20740.099999999999</v>
      </c>
      <c r="AC40" s="221">
        <v>20881.8</v>
      </c>
      <c r="AD40" s="209">
        <v>20959.599999999999</v>
      </c>
      <c r="AE40" s="215">
        <v>21069.8</v>
      </c>
      <c r="AF40" s="186">
        <v>21241.1</v>
      </c>
      <c r="AG40" s="109">
        <v>21286.1</v>
      </c>
      <c r="AH40" s="110">
        <v>21374</v>
      </c>
      <c r="AI40" s="111">
        <v>21541.1</v>
      </c>
      <c r="AJ40" s="112">
        <v>21604.2</v>
      </c>
      <c r="AK40" s="113">
        <v>21611.4</v>
      </c>
      <c r="AL40" s="114">
        <v>21723.3</v>
      </c>
      <c r="AM40" s="112">
        <v>21873</v>
      </c>
      <c r="AN40" s="113">
        <v>22001.8</v>
      </c>
      <c r="AO40" s="114">
        <v>22089.5</v>
      </c>
      <c r="AP40" s="112">
        <v>22187.5</v>
      </c>
      <c r="AQ40" s="113">
        <v>22267.599999999999</v>
      </c>
      <c r="AR40" s="114">
        <v>22357.8</v>
      </c>
    </row>
    <row r="41" spans="1:45" x14ac:dyDescent="0.35">
      <c r="A41" s="229">
        <v>34</v>
      </c>
      <c r="B41" s="139" t="s">
        <v>1662</v>
      </c>
      <c r="C41" s="102">
        <v>17420.3</v>
      </c>
      <c r="D41" s="102">
        <v>17550.900000000001</v>
      </c>
      <c r="E41" s="103">
        <v>17656.8</v>
      </c>
      <c r="F41" s="103">
        <v>17778.2</v>
      </c>
      <c r="G41" s="103">
        <v>17735</v>
      </c>
      <c r="H41" s="103">
        <v>17736.5</v>
      </c>
      <c r="I41" s="102">
        <v>18229.599999999999</v>
      </c>
      <c r="J41" s="103">
        <v>18296.5</v>
      </c>
      <c r="K41" s="102">
        <v>18282.599999999999</v>
      </c>
      <c r="L41" s="210">
        <v>18363.8</v>
      </c>
      <c r="M41" s="216">
        <v>18407.8</v>
      </c>
      <c r="N41" s="143">
        <v>18485.400000000001</v>
      </c>
      <c r="O41" s="198">
        <v>18595.400000000001</v>
      </c>
      <c r="P41" s="216">
        <v>18651.599999999999</v>
      </c>
      <c r="Q41" s="143">
        <v>18791.5</v>
      </c>
      <c r="R41" s="210">
        <v>18826.8</v>
      </c>
      <c r="S41" s="216">
        <v>18903</v>
      </c>
      <c r="T41" s="187">
        <v>19013.7</v>
      </c>
      <c r="U41" s="198">
        <v>19308.5</v>
      </c>
      <c r="V41" s="216">
        <v>19412.7</v>
      </c>
      <c r="W41" s="187">
        <v>19553.2</v>
      </c>
      <c r="X41" s="210">
        <v>19603.3</v>
      </c>
      <c r="Y41" s="216">
        <v>19697.3</v>
      </c>
      <c r="Z41" s="187">
        <v>19747.5</v>
      </c>
      <c r="AA41" s="210">
        <v>19866.3</v>
      </c>
      <c r="AB41" s="216">
        <v>19905</v>
      </c>
      <c r="AC41" s="222">
        <v>20044.099999999999</v>
      </c>
      <c r="AD41" s="210">
        <v>20123.2</v>
      </c>
      <c r="AE41" s="216">
        <v>20235.099999999999</v>
      </c>
      <c r="AF41" s="238">
        <v>20408.099999999999</v>
      </c>
      <c r="AG41" s="112">
        <v>20462.2</v>
      </c>
      <c r="AH41" s="113">
        <v>20519.8</v>
      </c>
      <c r="AI41" s="114">
        <v>20683</v>
      </c>
      <c r="AJ41" s="112">
        <v>20746.400000000001</v>
      </c>
      <c r="AK41" s="113">
        <v>20755</v>
      </c>
      <c r="AL41" s="114">
        <v>20868.400000000001</v>
      </c>
      <c r="AM41" s="112">
        <v>21007.3</v>
      </c>
      <c r="AN41" s="113">
        <v>21123.8</v>
      </c>
      <c r="AO41" s="114">
        <v>21202.400000000001</v>
      </c>
      <c r="AP41" s="112">
        <v>21303</v>
      </c>
      <c r="AQ41" s="113">
        <v>21383.9</v>
      </c>
      <c r="AR41" s="114">
        <v>21474.9</v>
      </c>
    </row>
    <row r="42" spans="1:45" ht="16.399999999999999" customHeight="1" x14ac:dyDescent="0.35">
      <c r="A42" s="229">
        <v>35</v>
      </c>
      <c r="B42" s="65" t="s">
        <v>1684</v>
      </c>
      <c r="C42" s="102">
        <v>5988.2</v>
      </c>
      <c r="D42" s="102">
        <v>5981.9</v>
      </c>
      <c r="E42" s="103">
        <v>5995.6</v>
      </c>
      <c r="F42" s="103">
        <v>6064.4</v>
      </c>
      <c r="G42" s="103">
        <v>5974.1</v>
      </c>
      <c r="H42" s="103">
        <v>5901.5</v>
      </c>
      <c r="I42" s="102">
        <v>6148.2</v>
      </c>
      <c r="J42" s="103">
        <v>6164.2</v>
      </c>
      <c r="K42" s="102">
        <v>6089.2</v>
      </c>
      <c r="L42" s="210">
        <v>6139.1</v>
      </c>
      <c r="M42" s="216">
        <v>6144.7</v>
      </c>
      <c r="N42" s="143">
        <v>6150.1</v>
      </c>
      <c r="O42" s="198">
        <v>6188.2</v>
      </c>
      <c r="P42" s="216">
        <v>6228.7</v>
      </c>
      <c r="Q42" s="143">
        <v>6278.4</v>
      </c>
      <c r="R42" s="210">
        <v>6250.7</v>
      </c>
      <c r="S42" s="216">
        <v>6242.4</v>
      </c>
      <c r="T42" s="187">
        <v>6273.8</v>
      </c>
      <c r="U42" s="198">
        <v>6115.8</v>
      </c>
      <c r="V42" s="216">
        <v>6134.2</v>
      </c>
      <c r="W42" s="187">
        <v>6196.5</v>
      </c>
      <c r="X42" s="210">
        <v>6186</v>
      </c>
      <c r="Y42" s="216">
        <v>6218.9</v>
      </c>
      <c r="Z42" s="187">
        <v>6209</v>
      </c>
      <c r="AA42" s="210">
        <v>6267.2</v>
      </c>
      <c r="AB42" s="216">
        <v>6229.2</v>
      </c>
      <c r="AC42" s="222">
        <v>6298.9</v>
      </c>
      <c r="AD42" s="210">
        <v>6292.9</v>
      </c>
      <c r="AE42" s="216">
        <v>6343.5</v>
      </c>
      <c r="AF42" s="238">
        <v>6428</v>
      </c>
      <c r="AG42" s="112">
        <v>6383.1</v>
      </c>
      <c r="AH42" s="113">
        <v>6418.4</v>
      </c>
      <c r="AI42" s="114">
        <v>6495.4</v>
      </c>
      <c r="AJ42" s="112">
        <v>6487.8</v>
      </c>
      <c r="AK42" s="113">
        <v>6437.2</v>
      </c>
      <c r="AL42" s="114">
        <v>6488.3</v>
      </c>
      <c r="AM42" s="112">
        <v>6521.6</v>
      </c>
      <c r="AN42" s="113">
        <v>6555.6</v>
      </c>
      <c r="AO42" s="114">
        <v>6559.7</v>
      </c>
      <c r="AP42" s="112">
        <v>6560.9</v>
      </c>
      <c r="AQ42" s="113">
        <v>6588.8</v>
      </c>
      <c r="AR42" s="114">
        <v>6581.3</v>
      </c>
    </row>
    <row r="43" spans="1:45" ht="16.399999999999999" customHeight="1" x14ac:dyDescent="0.35">
      <c r="A43" s="229">
        <v>36</v>
      </c>
      <c r="B43" s="157" t="s">
        <v>1728</v>
      </c>
      <c r="C43" s="102">
        <v>2189.5</v>
      </c>
      <c r="D43" s="102">
        <v>2197.8000000000002</v>
      </c>
      <c r="E43" s="103">
        <v>2200.1999999999998</v>
      </c>
      <c r="F43" s="103">
        <v>2238.9</v>
      </c>
      <c r="G43" s="103">
        <v>2167.3000000000002</v>
      </c>
      <c r="H43" s="103">
        <v>2134.9</v>
      </c>
      <c r="I43" s="102">
        <v>2213.6999999999998</v>
      </c>
      <c r="J43" s="103">
        <v>2203.6</v>
      </c>
      <c r="K43" s="102">
        <v>2167.3000000000002</v>
      </c>
      <c r="L43" s="210">
        <v>2183.6999999999998</v>
      </c>
      <c r="M43" s="216">
        <v>2202.8000000000002</v>
      </c>
      <c r="N43" s="143">
        <v>2194.1999999999998</v>
      </c>
      <c r="O43" s="198">
        <v>2206.9</v>
      </c>
      <c r="P43" s="216">
        <v>2193.1</v>
      </c>
      <c r="Q43" s="143">
        <v>2213.4</v>
      </c>
      <c r="R43" s="210">
        <v>2191.1</v>
      </c>
      <c r="S43" s="216">
        <v>2195.6999999999998</v>
      </c>
      <c r="T43" s="187">
        <v>2219.8000000000002</v>
      </c>
      <c r="U43" s="198">
        <v>2113</v>
      </c>
      <c r="V43" s="216">
        <v>2128.6</v>
      </c>
      <c r="W43" s="187">
        <v>2140.3000000000002</v>
      </c>
      <c r="X43" s="210">
        <v>2129.3000000000002</v>
      </c>
      <c r="Y43" s="216">
        <v>2151.6999999999998</v>
      </c>
      <c r="Z43" s="187">
        <v>2144.5</v>
      </c>
      <c r="AA43" s="210">
        <v>2170.9</v>
      </c>
      <c r="AB43" s="216">
        <v>2148.8000000000002</v>
      </c>
      <c r="AC43" s="222">
        <v>2185.6</v>
      </c>
      <c r="AD43" s="210">
        <v>2188.1</v>
      </c>
      <c r="AE43" s="216">
        <v>2237.4</v>
      </c>
      <c r="AF43" s="238">
        <v>2271</v>
      </c>
      <c r="AG43" s="112">
        <v>2198</v>
      </c>
      <c r="AH43" s="113">
        <v>2209.1999999999998</v>
      </c>
      <c r="AI43" s="114">
        <v>2300.1999999999998</v>
      </c>
      <c r="AJ43" s="112">
        <v>2296.6</v>
      </c>
      <c r="AK43" s="113">
        <v>2247</v>
      </c>
      <c r="AL43" s="114">
        <v>2253.6</v>
      </c>
      <c r="AM43" s="112">
        <v>2280.3000000000002</v>
      </c>
      <c r="AN43" s="113">
        <v>2281.8000000000002</v>
      </c>
      <c r="AO43" s="114">
        <v>2269.8000000000002</v>
      </c>
      <c r="AP43" s="112">
        <v>2271.3000000000002</v>
      </c>
      <c r="AQ43" s="113">
        <v>2283.8000000000002</v>
      </c>
      <c r="AR43" s="114">
        <v>2275.9</v>
      </c>
    </row>
    <row r="44" spans="1:45" ht="16.399999999999999" customHeight="1" x14ac:dyDescent="0.35">
      <c r="A44" s="229">
        <v>37</v>
      </c>
      <c r="B44" s="157" t="s">
        <v>1729</v>
      </c>
      <c r="C44" s="102">
        <v>3798.7</v>
      </c>
      <c r="D44" s="102">
        <v>3784.1</v>
      </c>
      <c r="E44" s="103">
        <v>3795.4</v>
      </c>
      <c r="F44" s="103">
        <v>3825.6</v>
      </c>
      <c r="G44" s="103">
        <v>3806.8</v>
      </c>
      <c r="H44" s="103">
        <v>3766.5</v>
      </c>
      <c r="I44" s="102">
        <v>3934.5</v>
      </c>
      <c r="J44" s="103">
        <v>3960.6</v>
      </c>
      <c r="K44" s="102">
        <v>3921.9</v>
      </c>
      <c r="L44" s="210">
        <v>3955.4</v>
      </c>
      <c r="M44" s="216">
        <v>3941.9</v>
      </c>
      <c r="N44" s="143">
        <v>3955.9</v>
      </c>
      <c r="O44" s="198">
        <v>3981.3</v>
      </c>
      <c r="P44" s="216">
        <v>4035.5</v>
      </c>
      <c r="Q44" s="143">
        <v>4065</v>
      </c>
      <c r="R44" s="210">
        <v>4059.7</v>
      </c>
      <c r="S44" s="216">
        <v>4046.7</v>
      </c>
      <c r="T44" s="187">
        <v>4054</v>
      </c>
      <c r="U44" s="198">
        <v>4002.8</v>
      </c>
      <c r="V44" s="216">
        <v>4005.6</v>
      </c>
      <c r="W44" s="187">
        <v>4056.2</v>
      </c>
      <c r="X44" s="210">
        <v>4056.7</v>
      </c>
      <c r="Y44" s="216">
        <v>4067.2</v>
      </c>
      <c r="Z44" s="187">
        <v>4064.5</v>
      </c>
      <c r="AA44" s="210">
        <v>4096.3</v>
      </c>
      <c r="AB44" s="216">
        <v>4080.4</v>
      </c>
      <c r="AC44" s="222">
        <v>4113.3</v>
      </c>
      <c r="AD44" s="210">
        <v>4104.8</v>
      </c>
      <c r="AE44" s="216">
        <v>4106.1000000000004</v>
      </c>
      <c r="AF44" s="142">
        <v>4157</v>
      </c>
      <c r="AG44" s="112">
        <v>4185.1000000000004</v>
      </c>
      <c r="AH44" s="113">
        <v>4209.2</v>
      </c>
      <c r="AI44" s="114">
        <v>4195.2</v>
      </c>
      <c r="AJ44" s="112">
        <v>4191.1000000000004</v>
      </c>
      <c r="AK44" s="113">
        <v>4190.3</v>
      </c>
      <c r="AL44" s="114">
        <v>4234.8</v>
      </c>
      <c r="AM44" s="112">
        <v>4241.3</v>
      </c>
      <c r="AN44" s="113">
        <v>4273.8</v>
      </c>
      <c r="AO44" s="114">
        <v>4289.8999999999996</v>
      </c>
      <c r="AP44" s="112">
        <v>4289.6000000000004</v>
      </c>
      <c r="AQ44" s="113">
        <v>4305</v>
      </c>
      <c r="AR44" s="114">
        <v>4305.3999999999996</v>
      </c>
    </row>
    <row r="45" spans="1:45" ht="16.399999999999999" customHeight="1" x14ac:dyDescent="0.35">
      <c r="A45" s="229">
        <v>38</v>
      </c>
      <c r="B45" s="65" t="s">
        <v>1685</v>
      </c>
      <c r="C45" s="102">
        <v>11432.1</v>
      </c>
      <c r="D45" s="102">
        <v>11568.9</v>
      </c>
      <c r="E45" s="103">
        <v>11661.2</v>
      </c>
      <c r="F45" s="103">
        <v>11713.7</v>
      </c>
      <c r="G45" s="103">
        <v>11760.9</v>
      </c>
      <c r="H45" s="103">
        <v>11835</v>
      </c>
      <c r="I45" s="102">
        <v>12081.4</v>
      </c>
      <c r="J45" s="103">
        <v>12132.4</v>
      </c>
      <c r="K45" s="102">
        <v>12193.4</v>
      </c>
      <c r="L45" s="210">
        <v>12224.7</v>
      </c>
      <c r="M45" s="216">
        <v>12263</v>
      </c>
      <c r="N45" s="143">
        <v>12335.3</v>
      </c>
      <c r="O45" s="198">
        <v>12407.2</v>
      </c>
      <c r="P45" s="216">
        <v>12422.9</v>
      </c>
      <c r="Q45" s="143">
        <v>12513</v>
      </c>
      <c r="R45" s="210">
        <v>12576.1</v>
      </c>
      <c r="S45" s="216">
        <v>12660.5</v>
      </c>
      <c r="T45" s="187">
        <v>12739.9</v>
      </c>
      <c r="U45" s="198">
        <v>13192.6</v>
      </c>
      <c r="V45" s="216">
        <v>13278.5</v>
      </c>
      <c r="W45" s="187">
        <v>13356.7</v>
      </c>
      <c r="X45" s="210">
        <v>13417.3</v>
      </c>
      <c r="Y45" s="216">
        <v>13478.5</v>
      </c>
      <c r="Z45" s="187">
        <v>13538.5</v>
      </c>
      <c r="AA45" s="210">
        <v>13599</v>
      </c>
      <c r="AB45" s="216">
        <v>13675.7</v>
      </c>
      <c r="AC45" s="222">
        <v>13745.2</v>
      </c>
      <c r="AD45" s="210">
        <v>13830.3</v>
      </c>
      <c r="AE45" s="216">
        <v>13891.6</v>
      </c>
      <c r="AF45" s="142">
        <v>13980.1</v>
      </c>
      <c r="AG45" s="112">
        <v>14079.1</v>
      </c>
      <c r="AH45" s="113">
        <v>14101.4</v>
      </c>
      <c r="AI45" s="114">
        <v>14187.5</v>
      </c>
      <c r="AJ45" s="112">
        <v>14258.6</v>
      </c>
      <c r="AK45" s="113">
        <v>14317.8</v>
      </c>
      <c r="AL45" s="114">
        <v>14380</v>
      </c>
      <c r="AM45" s="112">
        <v>14485.7</v>
      </c>
      <c r="AN45" s="113">
        <v>14568.2</v>
      </c>
      <c r="AO45" s="114">
        <v>14642.7</v>
      </c>
      <c r="AP45" s="112">
        <v>14742.2</v>
      </c>
      <c r="AQ45" s="113">
        <v>14795.2</v>
      </c>
      <c r="AR45" s="114">
        <v>14893.6</v>
      </c>
    </row>
    <row r="46" spans="1:45" ht="16.399999999999999" customHeight="1" x14ac:dyDescent="0.35">
      <c r="A46" s="229">
        <v>39</v>
      </c>
      <c r="B46" s="139" t="s">
        <v>1730</v>
      </c>
      <c r="C46" s="102">
        <v>338.7</v>
      </c>
      <c r="D46" s="102">
        <v>357.1</v>
      </c>
      <c r="E46" s="103">
        <v>375.6</v>
      </c>
      <c r="F46" s="103">
        <v>389.1</v>
      </c>
      <c r="G46" s="103">
        <v>402.6</v>
      </c>
      <c r="H46" s="103">
        <v>416.1</v>
      </c>
      <c r="I46" s="102">
        <v>415</v>
      </c>
      <c r="J46" s="103">
        <v>419.8</v>
      </c>
      <c r="K46" s="102">
        <v>424.7</v>
      </c>
      <c r="L46" s="210">
        <v>449.7</v>
      </c>
      <c r="M46" s="216">
        <v>474.7</v>
      </c>
      <c r="N46" s="143">
        <v>499.8</v>
      </c>
      <c r="O46" s="198">
        <v>510</v>
      </c>
      <c r="P46" s="216">
        <v>519</v>
      </c>
      <c r="Q46" s="143">
        <v>562.79999999999995</v>
      </c>
      <c r="R46" s="210">
        <v>547.29999999999995</v>
      </c>
      <c r="S46" s="216">
        <v>531.70000000000005</v>
      </c>
      <c r="T46" s="187">
        <v>516.1</v>
      </c>
      <c r="U46" s="198">
        <v>525.79999999999995</v>
      </c>
      <c r="V46" s="216">
        <v>534.4</v>
      </c>
      <c r="W46" s="187">
        <v>542.9</v>
      </c>
      <c r="X46" s="210">
        <v>547.29999999999995</v>
      </c>
      <c r="Y46" s="216">
        <v>551.70000000000005</v>
      </c>
      <c r="Z46" s="187">
        <v>556.1</v>
      </c>
      <c r="AA46" s="210">
        <v>558.29999999999995</v>
      </c>
      <c r="AB46" s="216">
        <v>560.5</v>
      </c>
      <c r="AC46" s="222">
        <v>562.70000000000005</v>
      </c>
      <c r="AD46" s="210">
        <v>560.4</v>
      </c>
      <c r="AE46" s="216">
        <v>558.20000000000005</v>
      </c>
      <c r="AF46" s="142">
        <v>556</v>
      </c>
      <c r="AG46" s="236">
        <v>564.6</v>
      </c>
      <c r="AH46" s="98">
        <v>568</v>
      </c>
      <c r="AI46" s="238">
        <v>571.4</v>
      </c>
      <c r="AJ46" s="112">
        <v>569.4</v>
      </c>
      <c r="AK46" s="113">
        <v>567.5</v>
      </c>
      <c r="AL46" s="114">
        <v>565.5</v>
      </c>
      <c r="AM46" s="112">
        <v>575.70000000000005</v>
      </c>
      <c r="AN46" s="113">
        <v>585.9</v>
      </c>
      <c r="AO46" s="114">
        <v>596.1</v>
      </c>
      <c r="AP46" s="112">
        <v>594.9</v>
      </c>
      <c r="AQ46" s="113">
        <v>593.6</v>
      </c>
      <c r="AR46" s="114">
        <v>592.4</v>
      </c>
    </row>
    <row r="47" spans="1:45" x14ac:dyDescent="0.35">
      <c r="A47" s="229">
        <v>40</v>
      </c>
      <c r="B47" s="139" t="s">
        <v>1731</v>
      </c>
      <c r="C47" s="102">
        <v>224.4</v>
      </c>
      <c r="D47" s="102">
        <v>224.7</v>
      </c>
      <c r="E47" s="103">
        <v>225</v>
      </c>
      <c r="F47" s="103">
        <v>224.5</v>
      </c>
      <c r="G47" s="103">
        <v>224.7</v>
      </c>
      <c r="H47" s="103">
        <v>224.8</v>
      </c>
      <c r="I47" s="102">
        <v>242.4</v>
      </c>
      <c r="J47" s="103">
        <v>242.6</v>
      </c>
      <c r="K47" s="102">
        <v>242.8</v>
      </c>
      <c r="L47" s="210">
        <v>242.6</v>
      </c>
      <c r="M47" s="216">
        <v>242.9</v>
      </c>
      <c r="N47" s="143">
        <v>243.1</v>
      </c>
      <c r="O47" s="198">
        <v>246.1</v>
      </c>
      <c r="P47" s="216">
        <v>246.4</v>
      </c>
      <c r="Q47" s="143">
        <v>246.7</v>
      </c>
      <c r="R47" s="210">
        <v>248.8</v>
      </c>
      <c r="S47" s="216">
        <v>249.1</v>
      </c>
      <c r="T47" s="187">
        <v>249.5</v>
      </c>
      <c r="U47" s="198">
        <v>271</v>
      </c>
      <c r="V47" s="216">
        <v>271.39999999999998</v>
      </c>
      <c r="W47" s="187">
        <v>271.7</v>
      </c>
      <c r="X47" s="210">
        <v>272.7</v>
      </c>
      <c r="Y47" s="216">
        <v>273.10000000000002</v>
      </c>
      <c r="Z47" s="187">
        <v>273.5</v>
      </c>
      <c r="AA47" s="210">
        <v>274.2</v>
      </c>
      <c r="AB47" s="216">
        <v>274.7</v>
      </c>
      <c r="AC47" s="222">
        <v>275.10000000000002</v>
      </c>
      <c r="AD47" s="210">
        <v>276</v>
      </c>
      <c r="AE47" s="216">
        <v>276.5</v>
      </c>
      <c r="AF47" s="142">
        <v>277</v>
      </c>
      <c r="AG47" s="236">
        <v>259.3</v>
      </c>
      <c r="AH47" s="98">
        <v>286.2</v>
      </c>
      <c r="AI47" s="238">
        <v>286.8</v>
      </c>
      <c r="AJ47" s="112">
        <v>288.3</v>
      </c>
      <c r="AK47" s="113">
        <v>288.89999999999998</v>
      </c>
      <c r="AL47" s="114">
        <v>289.39999999999998</v>
      </c>
      <c r="AM47" s="112">
        <v>290</v>
      </c>
      <c r="AN47" s="113">
        <v>292.10000000000002</v>
      </c>
      <c r="AO47" s="114">
        <v>290.89999999999998</v>
      </c>
      <c r="AP47" s="112">
        <v>289.60000000000002</v>
      </c>
      <c r="AQ47" s="113">
        <v>290</v>
      </c>
      <c r="AR47" s="114">
        <v>290.5</v>
      </c>
    </row>
    <row r="48" spans="1:45" x14ac:dyDescent="0.35">
      <c r="A48" s="229">
        <v>41</v>
      </c>
      <c r="B48" s="65" t="s">
        <v>1732</v>
      </c>
      <c r="C48" s="102">
        <v>116.1</v>
      </c>
      <c r="D48" s="102">
        <v>116.4</v>
      </c>
      <c r="E48" s="103">
        <v>116.7</v>
      </c>
      <c r="F48" s="103">
        <v>116.9</v>
      </c>
      <c r="G48" s="103">
        <v>117.1</v>
      </c>
      <c r="H48" s="103">
        <v>117.2</v>
      </c>
      <c r="I48" s="102">
        <v>129.5</v>
      </c>
      <c r="J48" s="103">
        <v>129.69999999999999</v>
      </c>
      <c r="K48" s="102">
        <v>129.9</v>
      </c>
      <c r="L48" s="210">
        <v>130.1</v>
      </c>
      <c r="M48" s="216">
        <v>130.4</v>
      </c>
      <c r="N48" s="143">
        <v>130.6</v>
      </c>
      <c r="O48" s="198">
        <v>130.9</v>
      </c>
      <c r="P48" s="216">
        <v>131.19999999999999</v>
      </c>
      <c r="Q48" s="143">
        <v>131.5</v>
      </c>
      <c r="R48" s="210">
        <v>131.80000000000001</v>
      </c>
      <c r="S48" s="216">
        <v>132.1</v>
      </c>
      <c r="T48" s="187">
        <v>132.5</v>
      </c>
      <c r="U48" s="198">
        <v>137.5</v>
      </c>
      <c r="V48" s="216">
        <v>137.9</v>
      </c>
      <c r="W48" s="187">
        <v>138.19999999999999</v>
      </c>
      <c r="X48" s="210">
        <v>138.6</v>
      </c>
      <c r="Y48" s="216">
        <v>139</v>
      </c>
      <c r="Z48" s="187">
        <v>139.4</v>
      </c>
      <c r="AA48" s="210">
        <v>139.80000000000001</v>
      </c>
      <c r="AB48" s="216">
        <v>140.19999999999999</v>
      </c>
      <c r="AC48" s="222">
        <v>140.69999999999999</v>
      </c>
      <c r="AD48" s="210">
        <v>141.19999999999999</v>
      </c>
      <c r="AE48" s="216">
        <v>141.69999999999999</v>
      </c>
      <c r="AF48" s="142">
        <v>142.19999999999999</v>
      </c>
      <c r="AG48" s="236">
        <v>145</v>
      </c>
      <c r="AH48" s="98">
        <v>145.5</v>
      </c>
      <c r="AI48" s="238">
        <v>146.1</v>
      </c>
      <c r="AJ48" s="112">
        <v>146.6</v>
      </c>
      <c r="AK48" s="113">
        <v>147.1</v>
      </c>
      <c r="AL48" s="114">
        <v>147.6</v>
      </c>
      <c r="AM48" s="112">
        <v>148.1</v>
      </c>
      <c r="AN48" s="113">
        <v>150.30000000000001</v>
      </c>
      <c r="AO48" s="114">
        <v>149.1</v>
      </c>
      <c r="AP48" s="112">
        <v>149.5</v>
      </c>
      <c r="AQ48" s="113">
        <v>150</v>
      </c>
      <c r="AR48" s="114">
        <v>150.5</v>
      </c>
    </row>
    <row r="49" spans="1:44" x14ac:dyDescent="0.35">
      <c r="A49" s="229">
        <v>42</v>
      </c>
      <c r="B49" s="65" t="s">
        <v>1733</v>
      </c>
      <c r="C49" s="102">
        <v>108.3</v>
      </c>
      <c r="D49" s="102">
        <v>108.3</v>
      </c>
      <c r="E49" s="103">
        <v>108.3</v>
      </c>
      <c r="F49" s="103">
        <v>107.6</v>
      </c>
      <c r="G49" s="103">
        <v>107.6</v>
      </c>
      <c r="H49" s="103">
        <v>107.6</v>
      </c>
      <c r="I49" s="102">
        <v>112.9</v>
      </c>
      <c r="J49" s="103">
        <v>112.9</v>
      </c>
      <c r="K49" s="102">
        <v>112.9</v>
      </c>
      <c r="L49" s="210">
        <v>112.5</v>
      </c>
      <c r="M49" s="216">
        <v>112.5</v>
      </c>
      <c r="N49" s="143">
        <v>112.5</v>
      </c>
      <c r="O49" s="198">
        <v>115.2</v>
      </c>
      <c r="P49" s="216">
        <v>115.2</v>
      </c>
      <c r="Q49" s="143">
        <v>115.2</v>
      </c>
      <c r="R49" s="210">
        <v>117</v>
      </c>
      <c r="S49" s="216">
        <v>117</v>
      </c>
      <c r="T49" s="187">
        <v>117</v>
      </c>
      <c r="U49" s="198">
        <v>133.5</v>
      </c>
      <c r="V49" s="216">
        <v>133.5</v>
      </c>
      <c r="W49" s="187">
        <v>133.5</v>
      </c>
      <c r="X49" s="210">
        <v>134.1</v>
      </c>
      <c r="Y49" s="216">
        <v>134.1</v>
      </c>
      <c r="Z49" s="187">
        <v>134.1</v>
      </c>
      <c r="AA49" s="210">
        <v>134.4</v>
      </c>
      <c r="AB49" s="216">
        <v>134.4</v>
      </c>
      <c r="AC49" s="222">
        <v>134.4</v>
      </c>
      <c r="AD49" s="210">
        <v>134.80000000000001</v>
      </c>
      <c r="AE49" s="216">
        <v>134.80000000000001</v>
      </c>
      <c r="AF49" s="142">
        <v>134.80000000000001</v>
      </c>
      <c r="AG49" s="236">
        <v>114.3</v>
      </c>
      <c r="AH49" s="98">
        <v>140.69999999999999</v>
      </c>
      <c r="AI49" s="238">
        <v>140.69999999999999</v>
      </c>
      <c r="AJ49" s="112">
        <v>141.69999999999999</v>
      </c>
      <c r="AK49" s="113">
        <v>141.69999999999999</v>
      </c>
      <c r="AL49" s="114">
        <v>141.69999999999999</v>
      </c>
      <c r="AM49" s="112">
        <v>141.80000000000001</v>
      </c>
      <c r="AN49" s="113">
        <v>141.80000000000001</v>
      </c>
      <c r="AO49" s="114">
        <v>141.80000000000001</v>
      </c>
      <c r="AP49" s="112">
        <v>140</v>
      </c>
      <c r="AQ49" s="113">
        <v>140</v>
      </c>
      <c r="AR49" s="114">
        <v>140</v>
      </c>
    </row>
    <row r="50" spans="1:44" x14ac:dyDescent="0.35">
      <c r="A50" s="229">
        <v>43</v>
      </c>
      <c r="B50" s="67" t="s">
        <v>232</v>
      </c>
      <c r="C50" s="100">
        <v>644.70000000000005</v>
      </c>
      <c r="D50" s="100">
        <v>606.4</v>
      </c>
      <c r="E50" s="101">
        <v>574.4</v>
      </c>
      <c r="F50" s="101">
        <v>577.4</v>
      </c>
      <c r="G50" s="101">
        <v>664.1</v>
      </c>
      <c r="H50" s="101">
        <v>702.3</v>
      </c>
      <c r="I50" s="100">
        <v>871.1</v>
      </c>
      <c r="J50" s="101">
        <v>926</v>
      </c>
      <c r="K50" s="100">
        <v>1047.5</v>
      </c>
      <c r="L50" s="209">
        <v>1042.5</v>
      </c>
      <c r="M50" s="215">
        <v>1060</v>
      </c>
      <c r="N50" s="140">
        <v>980.1</v>
      </c>
      <c r="O50" s="197">
        <v>890.7</v>
      </c>
      <c r="P50" s="215">
        <v>909.4</v>
      </c>
      <c r="Q50" s="140">
        <v>791.6</v>
      </c>
      <c r="R50" s="209">
        <v>781</v>
      </c>
      <c r="S50" s="215">
        <v>766</v>
      </c>
      <c r="T50" s="181">
        <v>732.3</v>
      </c>
      <c r="U50" s="197">
        <v>1173.5</v>
      </c>
      <c r="V50" s="215">
        <v>1146.2</v>
      </c>
      <c r="W50" s="181">
        <v>1124.5</v>
      </c>
      <c r="X50" s="209">
        <v>1098.0999999999999</v>
      </c>
      <c r="Y50" s="215">
        <v>1054.5999999999999</v>
      </c>
      <c r="Z50" s="181">
        <v>1030.5999999999999</v>
      </c>
      <c r="AA50" s="209">
        <v>931.9</v>
      </c>
      <c r="AB50" s="215">
        <v>904.3</v>
      </c>
      <c r="AC50" s="221">
        <v>830.7</v>
      </c>
      <c r="AD50" s="209">
        <v>892.7</v>
      </c>
      <c r="AE50" s="215">
        <v>845.6</v>
      </c>
      <c r="AF50" s="186">
        <v>765.1</v>
      </c>
      <c r="AG50" s="109">
        <v>1149.2</v>
      </c>
      <c r="AH50" s="110">
        <v>1177.4000000000001</v>
      </c>
      <c r="AI50" s="111">
        <v>1163.2</v>
      </c>
      <c r="AJ50" s="112">
        <v>1268.9000000000001</v>
      </c>
      <c r="AK50" s="113">
        <v>1111.2</v>
      </c>
      <c r="AL50" s="114">
        <v>1040.9000000000001</v>
      </c>
      <c r="AM50" s="112">
        <v>990.3</v>
      </c>
      <c r="AN50" s="113">
        <v>944.3</v>
      </c>
      <c r="AO50" s="114">
        <v>929.7</v>
      </c>
      <c r="AP50" s="112">
        <v>848.1</v>
      </c>
      <c r="AQ50" s="113">
        <v>845.3</v>
      </c>
      <c r="AR50" s="114">
        <v>830.8</v>
      </c>
    </row>
    <row r="51" spans="1:44" x14ac:dyDescent="0.35">
      <c r="A51" s="230">
        <v>44</v>
      </c>
      <c r="B51" s="194" t="s">
        <v>1734</v>
      </c>
      <c r="C51" s="100">
        <v>3.5</v>
      </c>
      <c r="D51" s="100">
        <v>3.2</v>
      </c>
      <c r="E51" s="101">
        <v>3</v>
      </c>
      <c r="F51" s="101">
        <v>3</v>
      </c>
      <c r="G51" s="101">
        <v>3.5</v>
      </c>
      <c r="H51" s="101">
        <v>3.7</v>
      </c>
      <c r="I51" s="100">
        <v>4.4000000000000004</v>
      </c>
      <c r="J51" s="101">
        <v>4.7</v>
      </c>
      <c r="K51" s="100">
        <v>5.2</v>
      </c>
      <c r="L51" s="209">
        <v>5.2</v>
      </c>
      <c r="M51" s="215">
        <v>5.3</v>
      </c>
      <c r="N51" s="140">
        <v>4.8</v>
      </c>
      <c r="O51" s="197">
        <v>4.4000000000000004</v>
      </c>
      <c r="P51" s="215">
        <v>4.5</v>
      </c>
      <c r="Q51" s="140">
        <v>3.9</v>
      </c>
      <c r="R51" s="209">
        <v>3.8</v>
      </c>
      <c r="S51" s="215">
        <v>3.7</v>
      </c>
      <c r="T51" s="181">
        <v>3.6</v>
      </c>
      <c r="U51" s="197">
        <v>5.5</v>
      </c>
      <c r="V51" s="215">
        <v>5.4</v>
      </c>
      <c r="W51" s="181">
        <v>5.2</v>
      </c>
      <c r="X51" s="209">
        <v>5.0999999999999996</v>
      </c>
      <c r="Y51" s="215">
        <v>4.9000000000000004</v>
      </c>
      <c r="Z51" s="181">
        <v>4.8</v>
      </c>
      <c r="AA51" s="209">
        <v>4.3</v>
      </c>
      <c r="AB51" s="215">
        <v>4.2</v>
      </c>
      <c r="AC51" s="221">
        <v>3.8</v>
      </c>
      <c r="AD51" s="209">
        <v>4.0999999999999996</v>
      </c>
      <c r="AE51" s="215">
        <v>3.9</v>
      </c>
      <c r="AF51" s="186">
        <v>3.5</v>
      </c>
      <c r="AG51" s="168">
        <v>5.0999999999999996</v>
      </c>
      <c r="AH51" s="179">
        <v>5.2</v>
      </c>
      <c r="AI51" s="186">
        <v>5.0999999999999996</v>
      </c>
      <c r="AJ51" s="112">
        <v>5.5</v>
      </c>
      <c r="AK51" s="113">
        <v>4.9000000000000004</v>
      </c>
      <c r="AL51" s="114">
        <v>4.5999999999999996</v>
      </c>
      <c r="AM51" s="112">
        <v>4.3</v>
      </c>
      <c r="AN51" s="113">
        <v>4.0999999999999996</v>
      </c>
      <c r="AO51" s="114">
        <v>4</v>
      </c>
      <c r="AP51" s="112">
        <v>3.7</v>
      </c>
      <c r="AQ51" s="113">
        <v>3.7</v>
      </c>
      <c r="AR51" s="114">
        <v>3.6</v>
      </c>
    </row>
    <row r="52" spans="1:44" x14ac:dyDescent="0.35">
      <c r="A52" s="229"/>
      <c r="B52" s="67" t="s">
        <v>1686</v>
      </c>
      <c r="C52" s="100"/>
      <c r="D52" s="100"/>
      <c r="E52" s="101"/>
      <c r="F52" s="101"/>
      <c r="G52" s="101"/>
      <c r="H52" s="101"/>
      <c r="I52" s="100"/>
      <c r="J52" s="101"/>
      <c r="K52" s="100"/>
      <c r="L52" s="209"/>
      <c r="M52" s="215"/>
      <c r="N52" s="140"/>
      <c r="O52" s="197"/>
      <c r="P52" s="215"/>
      <c r="Q52" s="140"/>
      <c r="R52" s="209"/>
      <c r="S52" s="215"/>
      <c r="T52" s="181"/>
      <c r="U52" s="197"/>
      <c r="V52" s="215"/>
      <c r="W52" s="181"/>
      <c r="X52" s="209"/>
      <c r="Y52" s="215"/>
      <c r="Z52" s="181"/>
      <c r="AA52" s="209"/>
      <c r="AB52" s="215"/>
      <c r="AC52" s="221"/>
      <c r="AD52" s="209"/>
      <c r="AE52" s="215"/>
      <c r="AF52" s="238"/>
      <c r="AG52" s="236"/>
      <c r="AH52" s="98"/>
      <c r="AI52" s="238"/>
      <c r="AJ52" s="112"/>
      <c r="AK52" s="113"/>
      <c r="AL52" s="114"/>
      <c r="AM52" s="112"/>
      <c r="AN52" s="113"/>
      <c r="AO52" s="114"/>
      <c r="AP52" s="112"/>
      <c r="AQ52" s="113"/>
      <c r="AR52" s="114"/>
    </row>
    <row r="53" spans="1:44" ht="31" customHeight="1" x14ac:dyDescent="0.35">
      <c r="A53" s="230">
        <v>45</v>
      </c>
      <c r="B53" s="194" t="s">
        <v>1735</v>
      </c>
      <c r="C53" s="100">
        <v>14559.1</v>
      </c>
      <c r="D53" s="100">
        <v>14618.2</v>
      </c>
      <c r="E53" s="101">
        <v>14653.2</v>
      </c>
      <c r="F53" s="101">
        <v>14618.1</v>
      </c>
      <c r="G53" s="101">
        <v>14607</v>
      </c>
      <c r="H53" s="101">
        <v>14604.2</v>
      </c>
      <c r="I53" s="100">
        <v>15496.1</v>
      </c>
      <c r="J53" s="101">
        <v>15529.2</v>
      </c>
      <c r="K53" s="100">
        <v>15596.8</v>
      </c>
      <c r="L53" s="209">
        <v>15592.2</v>
      </c>
      <c r="M53" s="215">
        <v>15622.4</v>
      </c>
      <c r="N53" s="140">
        <v>15638</v>
      </c>
      <c r="O53" s="197">
        <v>15691.7</v>
      </c>
      <c r="P53" s="215">
        <v>15726.6</v>
      </c>
      <c r="Q53" s="140">
        <v>15741.9</v>
      </c>
      <c r="R53" s="209">
        <v>15749.7</v>
      </c>
      <c r="S53" s="215">
        <v>15795.9</v>
      </c>
      <c r="T53" s="181">
        <v>15823.3</v>
      </c>
      <c r="U53" s="197">
        <v>16227.8</v>
      </c>
      <c r="V53" s="215">
        <v>16232.7</v>
      </c>
      <c r="W53" s="181">
        <v>16269.5</v>
      </c>
      <c r="X53" s="209">
        <v>16240.4</v>
      </c>
      <c r="Y53" s="215">
        <v>16291.7</v>
      </c>
      <c r="Z53" s="181">
        <v>16292.1</v>
      </c>
      <c r="AA53" s="209">
        <v>16281.1</v>
      </c>
      <c r="AB53" s="215">
        <v>16279.2</v>
      </c>
      <c r="AC53" s="221">
        <v>16283.1</v>
      </c>
      <c r="AD53" s="209">
        <v>16359.2</v>
      </c>
      <c r="AE53" s="215">
        <v>16412.099999999999</v>
      </c>
      <c r="AF53" s="186">
        <v>16434.599999999999</v>
      </c>
      <c r="AG53" s="109">
        <v>16635.400000000001</v>
      </c>
      <c r="AH53" s="110">
        <v>16600.599999999999</v>
      </c>
      <c r="AI53" s="111">
        <v>16695.400000000001</v>
      </c>
      <c r="AJ53" s="112">
        <v>16700</v>
      </c>
      <c r="AK53" s="113">
        <v>16636.099999999999</v>
      </c>
      <c r="AL53" s="114">
        <v>16583.5</v>
      </c>
      <c r="AM53" s="112">
        <v>16638.900000000001</v>
      </c>
      <c r="AN53" s="113">
        <v>16638.599999999999</v>
      </c>
      <c r="AO53" s="114">
        <v>16651.2</v>
      </c>
      <c r="AP53" s="112">
        <v>16636.7</v>
      </c>
      <c r="AQ53" s="113">
        <v>16666.2</v>
      </c>
      <c r="AR53" s="114">
        <v>16644.2</v>
      </c>
    </row>
    <row r="54" spans="1:44" x14ac:dyDescent="0.35">
      <c r="A54" s="229"/>
      <c r="B54" s="152" t="s">
        <v>1736</v>
      </c>
      <c r="C54" s="100"/>
      <c r="D54" s="100"/>
      <c r="E54" s="101"/>
      <c r="F54" s="101"/>
      <c r="G54" s="101"/>
      <c r="H54" s="101"/>
      <c r="I54" s="100"/>
      <c r="J54" s="101"/>
      <c r="K54" s="100"/>
      <c r="L54" s="209"/>
      <c r="M54" s="215"/>
      <c r="N54" s="140"/>
      <c r="O54" s="197"/>
      <c r="P54" s="215"/>
      <c r="Q54" s="140"/>
      <c r="R54" s="209"/>
      <c r="S54" s="215"/>
      <c r="T54" s="181"/>
      <c r="U54" s="197"/>
      <c r="V54" s="215"/>
      <c r="W54" s="181"/>
      <c r="X54" s="209"/>
      <c r="Y54" s="215"/>
      <c r="Z54" s="181"/>
      <c r="AA54" s="209"/>
      <c r="AB54" s="215"/>
      <c r="AC54" s="221"/>
      <c r="AD54" s="209"/>
      <c r="AE54" s="215"/>
      <c r="AF54" s="238"/>
      <c r="AG54" s="236"/>
      <c r="AH54" s="98"/>
      <c r="AI54" s="238"/>
      <c r="AJ54" s="112"/>
      <c r="AK54" s="113"/>
      <c r="AL54" s="114"/>
      <c r="AM54" s="112"/>
      <c r="AN54" s="113"/>
      <c r="AO54" s="114"/>
      <c r="AP54" s="112"/>
      <c r="AQ54" s="113"/>
      <c r="AR54" s="114"/>
    </row>
    <row r="55" spans="1:44" ht="16.399999999999999" customHeight="1" x14ac:dyDescent="0.35">
      <c r="A55" s="229">
        <v>46</v>
      </c>
      <c r="B55" s="155" t="s">
        <v>1737</v>
      </c>
      <c r="C55" s="102">
        <v>15100.2</v>
      </c>
      <c r="D55" s="102">
        <v>15149.6</v>
      </c>
      <c r="E55" s="103">
        <v>15172.2</v>
      </c>
      <c r="F55" s="103">
        <v>15218.9</v>
      </c>
      <c r="G55" s="103">
        <v>15238.7</v>
      </c>
      <c r="H55" s="103">
        <v>15250.6</v>
      </c>
      <c r="I55" s="102">
        <v>16601.900000000001</v>
      </c>
      <c r="J55" s="103">
        <v>16656.099999999999</v>
      </c>
      <c r="K55" s="102">
        <v>16730.2</v>
      </c>
      <c r="L55" s="210">
        <v>16763.900000000001</v>
      </c>
      <c r="M55" s="216">
        <v>16818.5</v>
      </c>
      <c r="N55" s="143">
        <v>16809.5</v>
      </c>
      <c r="O55" s="198">
        <v>16816.400000000001</v>
      </c>
      <c r="P55" s="216">
        <v>16826.2</v>
      </c>
      <c r="Q55" s="143">
        <v>16816.3</v>
      </c>
      <c r="R55" s="210">
        <v>16819.900000000001</v>
      </c>
      <c r="S55" s="216">
        <v>16859.599999999999</v>
      </c>
      <c r="T55" s="187">
        <v>16889.2</v>
      </c>
      <c r="U55" s="198">
        <v>17426.2</v>
      </c>
      <c r="V55" s="216">
        <v>17442.400000000001</v>
      </c>
      <c r="W55" s="187">
        <v>17486.900000000001</v>
      </c>
      <c r="X55" s="210">
        <v>17464.900000000001</v>
      </c>
      <c r="Y55" s="216">
        <v>17511.099999999999</v>
      </c>
      <c r="Z55" s="187">
        <v>17515.599999999999</v>
      </c>
      <c r="AA55" s="210">
        <v>17505</v>
      </c>
      <c r="AB55" s="216">
        <v>17494.599999999999</v>
      </c>
      <c r="AC55" s="222">
        <v>17519.599999999999</v>
      </c>
      <c r="AD55" s="210">
        <v>17586.3</v>
      </c>
      <c r="AE55" s="216">
        <v>17618</v>
      </c>
      <c r="AF55" s="238">
        <v>17638.599999999999</v>
      </c>
      <c r="AG55" s="112">
        <v>17889.8</v>
      </c>
      <c r="AH55" s="113">
        <v>17910.5</v>
      </c>
      <c r="AI55" s="114">
        <v>18029.099999999999</v>
      </c>
      <c r="AJ55" s="112">
        <v>18132.900000000001</v>
      </c>
      <c r="AK55" s="113">
        <v>17980.900000000001</v>
      </c>
      <c r="AL55" s="114">
        <v>17962.099999999999</v>
      </c>
      <c r="AM55" s="112">
        <v>18009.5</v>
      </c>
      <c r="AN55" s="113">
        <v>18027.599999999999</v>
      </c>
      <c r="AO55" s="114">
        <v>18037.900000000001</v>
      </c>
      <c r="AP55" s="112">
        <v>18014.8</v>
      </c>
      <c r="AQ55" s="113">
        <v>18037.3</v>
      </c>
      <c r="AR55" s="114">
        <v>18032.2</v>
      </c>
    </row>
    <row r="56" spans="1:44" x14ac:dyDescent="0.35">
      <c r="A56" s="229"/>
      <c r="B56" s="65" t="s">
        <v>1738</v>
      </c>
      <c r="C56" s="102"/>
      <c r="D56" s="102"/>
      <c r="E56" s="103"/>
      <c r="F56" s="103"/>
      <c r="G56" s="103"/>
      <c r="H56" s="103"/>
      <c r="I56" s="102"/>
      <c r="J56" s="103"/>
      <c r="K56" s="102"/>
      <c r="L56" s="210"/>
      <c r="M56" s="216"/>
      <c r="N56" s="143"/>
      <c r="O56" s="198"/>
      <c r="P56" s="216"/>
      <c r="Q56" s="143"/>
      <c r="R56" s="210"/>
      <c r="S56" s="216"/>
      <c r="T56" s="187"/>
      <c r="U56" s="198"/>
      <c r="V56" s="216"/>
      <c r="W56" s="187"/>
      <c r="X56" s="210"/>
      <c r="Y56" s="216"/>
      <c r="Z56" s="187"/>
      <c r="AA56" s="210"/>
      <c r="AB56" s="216"/>
      <c r="AC56" s="222"/>
      <c r="AD56" s="210"/>
      <c r="AE56" s="216"/>
      <c r="AF56" s="238"/>
      <c r="AG56" s="236"/>
      <c r="AH56" s="98"/>
      <c r="AI56" s="238"/>
      <c r="AJ56" s="112"/>
      <c r="AK56" s="113"/>
      <c r="AL56" s="114"/>
      <c r="AM56" s="112"/>
      <c r="AN56" s="113"/>
      <c r="AO56" s="114"/>
      <c r="AP56" s="112"/>
      <c r="AQ56" s="113"/>
      <c r="AR56" s="114"/>
    </row>
    <row r="57" spans="1:44" x14ac:dyDescent="0.35">
      <c r="A57" s="229">
        <v>47</v>
      </c>
      <c r="B57" s="157" t="s">
        <v>1739</v>
      </c>
      <c r="C57" s="104">
        <v>55836</v>
      </c>
      <c r="D57" s="104">
        <v>56139</v>
      </c>
      <c r="E57" s="105">
        <v>56387</v>
      </c>
      <c r="F57" s="105">
        <v>56770</v>
      </c>
      <c r="G57" s="105">
        <v>56917</v>
      </c>
      <c r="H57" s="105">
        <v>57053</v>
      </c>
      <c r="I57" s="104">
        <v>59062</v>
      </c>
      <c r="J57" s="105">
        <v>59423</v>
      </c>
      <c r="K57" s="104">
        <v>59738</v>
      </c>
      <c r="L57" s="211">
        <v>60018</v>
      </c>
      <c r="M57" s="217">
        <v>60253</v>
      </c>
      <c r="N57" s="144">
        <v>60309</v>
      </c>
      <c r="O57" s="200">
        <v>60380</v>
      </c>
      <c r="P57" s="217">
        <v>60598</v>
      </c>
      <c r="Q57" s="144">
        <v>60762</v>
      </c>
      <c r="R57" s="211">
        <v>60767</v>
      </c>
      <c r="S57" s="217">
        <v>60876</v>
      </c>
      <c r="T57" s="192">
        <v>61033</v>
      </c>
      <c r="U57" s="200">
        <v>63293</v>
      </c>
      <c r="V57" s="217">
        <v>63527</v>
      </c>
      <c r="W57" s="192">
        <v>63885</v>
      </c>
      <c r="X57" s="211">
        <v>63947</v>
      </c>
      <c r="Y57" s="217">
        <v>64085</v>
      </c>
      <c r="Z57" s="192">
        <v>64149</v>
      </c>
      <c r="AA57" s="211">
        <v>63536</v>
      </c>
      <c r="AB57" s="217">
        <v>63541</v>
      </c>
      <c r="AC57" s="223">
        <v>63706</v>
      </c>
      <c r="AD57" s="211">
        <v>64083</v>
      </c>
      <c r="AE57" s="217">
        <v>64236</v>
      </c>
      <c r="AF57" s="238">
        <v>64474</v>
      </c>
      <c r="AG57" s="116">
        <v>65705</v>
      </c>
      <c r="AH57" s="117">
        <v>66019</v>
      </c>
      <c r="AI57" s="118">
        <v>66440</v>
      </c>
      <c r="AJ57" s="112">
        <v>66905</v>
      </c>
      <c r="AK57" s="113">
        <v>66434</v>
      </c>
      <c r="AL57" s="114">
        <v>66524</v>
      </c>
      <c r="AM57" s="112">
        <v>66780</v>
      </c>
      <c r="AN57" s="113">
        <v>66985</v>
      </c>
      <c r="AO57" s="114">
        <v>67162</v>
      </c>
      <c r="AP57" s="112">
        <v>67283</v>
      </c>
      <c r="AQ57" s="113">
        <v>67495</v>
      </c>
      <c r="AR57" s="114">
        <v>67705</v>
      </c>
    </row>
    <row r="58" spans="1:44" x14ac:dyDescent="0.35">
      <c r="A58" s="229">
        <v>48</v>
      </c>
      <c r="B58" s="157" t="s">
        <v>1740</v>
      </c>
      <c r="C58" s="104">
        <v>45261</v>
      </c>
      <c r="D58" s="104">
        <v>45385</v>
      </c>
      <c r="E58" s="105">
        <v>45429</v>
      </c>
      <c r="F58" s="105">
        <v>45546</v>
      </c>
      <c r="G58" s="105">
        <v>45586</v>
      </c>
      <c r="H58" s="105">
        <v>45603</v>
      </c>
      <c r="I58" s="104">
        <v>49627</v>
      </c>
      <c r="J58" s="105">
        <v>49774</v>
      </c>
      <c r="K58" s="104">
        <v>49978</v>
      </c>
      <c r="L58" s="211">
        <v>50060</v>
      </c>
      <c r="M58" s="217">
        <v>50203</v>
      </c>
      <c r="N58" s="144">
        <v>50166</v>
      </c>
      <c r="O58" s="200">
        <v>50161</v>
      </c>
      <c r="P58" s="217">
        <v>50163</v>
      </c>
      <c r="Q58" s="144">
        <v>50106</v>
      </c>
      <c r="R58" s="211">
        <v>50093</v>
      </c>
      <c r="S58" s="217">
        <v>50188</v>
      </c>
      <c r="T58" s="192">
        <v>50255</v>
      </c>
      <c r="U58" s="200">
        <v>51834</v>
      </c>
      <c r="V58" s="217">
        <v>51865</v>
      </c>
      <c r="W58" s="192">
        <v>51979</v>
      </c>
      <c r="X58" s="211">
        <v>51894</v>
      </c>
      <c r="Y58" s="217">
        <v>52010</v>
      </c>
      <c r="Z58" s="192">
        <v>52000</v>
      </c>
      <c r="AA58" s="211">
        <v>51418</v>
      </c>
      <c r="AB58" s="217">
        <v>51359</v>
      </c>
      <c r="AC58" s="223">
        <v>51404</v>
      </c>
      <c r="AD58" s="211">
        <v>51572</v>
      </c>
      <c r="AE58" s="217">
        <v>51640</v>
      </c>
      <c r="AF58" s="238">
        <v>51678</v>
      </c>
      <c r="AG58" s="116">
        <v>52393</v>
      </c>
      <c r="AH58" s="117">
        <v>52433</v>
      </c>
      <c r="AI58" s="118">
        <v>52758</v>
      </c>
      <c r="AJ58" s="112">
        <v>53040</v>
      </c>
      <c r="AK58" s="113">
        <v>52571</v>
      </c>
      <c r="AL58" s="114">
        <v>52491</v>
      </c>
      <c r="AM58" s="112">
        <v>52603</v>
      </c>
      <c r="AN58" s="113">
        <v>52627</v>
      </c>
      <c r="AO58" s="114">
        <v>52628</v>
      </c>
      <c r="AP58" s="112">
        <v>52619</v>
      </c>
      <c r="AQ58" s="113">
        <v>52673</v>
      </c>
      <c r="AR58" s="114">
        <v>52649</v>
      </c>
    </row>
    <row r="59" spans="1:44" ht="15" customHeight="1" x14ac:dyDescent="0.35">
      <c r="A59" s="231">
        <v>49</v>
      </c>
      <c r="B59" s="139" t="s">
        <v>1741</v>
      </c>
      <c r="C59" s="106">
        <v>333624</v>
      </c>
      <c r="D59" s="106">
        <v>333799</v>
      </c>
      <c r="E59" s="107">
        <v>333976</v>
      </c>
      <c r="F59" s="107">
        <v>334141</v>
      </c>
      <c r="G59" s="107">
        <v>334287</v>
      </c>
      <c r="H59" s="107">
        <v>334420</v>
      </c>
      <c r="I59" s="106">
        <v>334533</v>
      </c>
      <c r="J59" s="107">
        <v>334637</v>
      </c>
      <c r="K59" s="106">
        <v>334753</v>
      </c>
      <c r="L59" s="212">
        <v>334880</v>
      </c>
      <c r="M59" s="218">
        <v>335013</v>
      </c>
      <c r="N59" s="145">
        <v>335080</v>
      </c>
      <c r="O59" s="202">
        <v>335248</v>
      </c>
      <c r="P59" s="218">
        <v>335431</v>
      </c>
      <c r="Q59" s="145">
        <v>335612</v>
      </c>
      <c r="R59" s="212">
        <v>335773</v>
      </c>
      <c r="S59" s="218">
        <v>335925</v>
      </c>
      <c r="T59" s="193">
        <v>336070</v>
      </c>
      <c r="U59" s="202">
        <v>336194</v>
      </c>
      <c r="V59" s="218">
        <v>336306</v>
      </c>
      <c r="W59" s="193">
        <v>336423</v>
      </c>
      <c r="X59" s="212">
        <v>336550</v>
      </c>
      <c r="Y59" s="218">
        <v>336687</v>
      </c>
      <c r="Z59" s="193">
        <v>336839</v>
      </c>
      <c r="AA59" s="212">
        <v>340448</v>
      </c>
      <c r="AB59" s="218">
        <v>340637</v>
      </c>
      <c r="AC59" s="224">
        <v>340825</v>
      </c>
      <c r="AD59" s="211">
        <v>341002</v>
      </c>
      <c r="AE59" s="217">
        <v>341169</v>
      </c>
      <c r="AF59" s="238">
        <v>341320</v>
      </c>
      <c r="AG59" s="116">
        <v>341454</v>
      </c>
      <c r="AH59" s="117">
        <v>341588</v>
      </c>
      <c r="AI59" s="118">
        <v>341729</v>
      </c>
      <c r="AJ59" s="112">
        <v>341874</v>
      </c>
      <c r="AK59" s="113">
        <v>342032</v>
      </c>
      <c r="AL59" s="114">
        <v>342197</v>
      </c>
      <c r="AM59" s="112">
        <v>342370</v>
      </c>
      <c r="AN59" s="113">
        <v>342555</v>
      </c>
      <c r="AO59" s="114">
        <v>342741</v>
      </c>
      <c r="AP59" s="112">
        <v>342366</v>
      </c>
      <c r="AQ59" s="113">
        <v>342439</v>
      </c>
      <c r="AR59" s="114">
        <v>342495</v>
      </c>
    </row>
    <row r="60" spans="1:44" x14ac:dyDescent="0.35">
      <c r="A60" s="1386" t="s">
        <v>1742</v>
      </c>
      <c r="B60" s="1386"/>
      <c r="C60" s="1386"/>
      <c r="D60" s="1386"/>
      <c r="E60" s="1386"/>
      <c r="F60" s="1386"/>
      <c r="G60" s="1386"/>
      <c r="H60" s="1386"/>
      <c r="I60" s="1386"/>
      <c r="J60" s="1386"/>
      <c r="K60" s="234"/>
      <c r="L60" s="173"/>
      <c r="M60" s="203"/>
      <c r="N60" s="161"/>
      <c r="O60" s="173"/>
      <c r="P60" s="203"/>
      <c r="Q60" s="161"/>
      <c r="R60" s="173"/>
      <c r="S60" s="203"/>
      <c r="T60" s="161"/>
      <c r="U60" s="173"/>
      <c r="V60" s="203"/>
      <c r="W60" s="161"/>
      <c r="X60" s="173"/>
      <c r="Y60" s="203"/>
      <c r="Z60" s="161"/>
      <c r="AA60" s="173"/>
      <c r="AB60" s="203"/>
      <c r="AC60" s="161"/>
      <c r="AD60" s="173"/>
      <c r="AE60" s="203"/>
      <c r="AF60" s="238"/>
      <c r="AG60" s="236"/>
      <c r="AH60" s="98"/>
      <c r="AI60" s="238"/>
      <c r="AJ60" s="236"/>
      <c r="AK60" s="98"/>
      <c r="AL60" s="238"/>
      <c r="AM60" s="236"/>
      <c r="AN60" s="98"/>
      <c r="AO60" s="238"/>
      <c r="AP60" s="236"/>
      <c r="AQ60" s="98"/>
      <c r="AR60" s="238"/>
    </row>
    <row r="61" spans="1:44" x14ac:dyDescent="0.35">
      <c r="A61" s="1369" t="s">
        <v>1743</v>
      </c>
      <c r="B61" s="1369"/>
      <c r="C61" s="1369"/>
      <c r="D61" s="1369"/>
      <c r="E61" s="1369"/>
      <c r="F61" s="1369"/>
      <c r="G61" s="1369"/>
      <c r="H61" s="1369"/>
      <c r="I61" s="1369"/>
      <c r="J61" s="1369"/>
      <c r="K61" s="123"/>
      <c r="L61" s="174"/>
      <c r="M61" s="204"/>
      <c r="N61" s="162"/>
      <c r="O61" s="174"/>
      <c r="P61" s="204"/>
      <c r="Q61" s="162"/>
      <c r="R61" s="174"/>
      <c r="S61" s="204"/>
      <c r="T61" s="162"/>
      <c r="U61" s="174"/>
      <c r="V61" s="204"/>
      <c r="W61" s="162"/>
      <c r="X61" s="174"/>
      <c r="Y61" s="204"/>
      <c r="Z61" s="162"/>
      <c r="AA61" s="174"/>
      <c r="AB61" s="204"/>
      <c r="AC61" s="162"/>
      <c r="AD61" s="174"/>
      <c r="AE61" s="204"/>
      <c r="AF61" s="238"/>
      <c r="AG61" s="236"/>
      <c r="AH61" s="98"/>
      <c r="AI61" s="238"/>
      <c r="AJ61" s="236"/>
      <c r="AK61" s="98"/>
      <c r="AL61" s="238"/>
      <c r="AM61" s="236"/>
      <c r="AN61" s="98"/>
      <c r="AO61" s="238"/>
      <c r="AP61" s="236"/>
      <c r="AQ61" s="98"/>
      <c r="AR61" s="238"/>
    </row>
    <row r="62" spans="1:44" x14ac:dyDescent="0.35">
      <c r="A62" s="1369" t="s">
        <v>1744</v>
      </c>
      <c r="B62" s="1369"/>
      <c r="C62" s="1369"/>
      <c r="D62" s="1369"/>
      <c r="E62" s="1369"/>
      <c r="F62" s="1369"/>
      <c r="G62" s="1369"/>
      <c r="H62" s="1369"/>
      <c r="I62" s="1369"/>
      <c r="J62" s="1369"/>
      <c r="K62" s="123"/>
      <c r="L62" s="174"/>
      <c r="M62" s="204"/>
      <c r="N62" s="162"/>
      <c r="O62" s="174"/>
      <c r="P62" s="204"/>
      <c r="Q62" s="162"/>
      <c r="R62" s="174"/>
      <c r="S62" s="204"/>
      <c r="T62" s="162"/>
      <c r="U62" s="174"/>
      <c r="V62" s="204"/>
      <c r="W62" s="162"/>
      <c r="X62" s="174"/>
      <c r="Y62" s="204"/>
      <c r="Z62" s="162"/>
      <c r="AA62" s="174"/>
      <c r="AB62" s="204"/>
      <c r="AC62" s="162"/>
      <c r="AD62" s="174"/>
      <c r="AE62" s="204"/>
      <c r="AF62" s="238"/>
      <c r="AG62" s="236"/>
      <c r="AH62" s="98"/>
      <c r="AI62" s="238"/>
      <c r="AJ62" s="236"/>
      <c r="AK62" s="98"/>
      <c r="AL62" s="238"/>
      <c r="AM62" s="236"/>
      <c r="AN62" s="98"/>
      <c r="AO62" s="238"/>
      <c r="AP62" s="236"/>
      <c r="AQ62" s="98"/>
      <c r="AR62" s="238"/>
    </row>
    <row r="63" spans="1:44" x14ac:dyDescent="0.35">
      <c r="A63" s="1369" t="s">
        <v>1745</v>
      </c>
      <c r="B63" s="1369"/>
      <c r="C63" s="1369"/>
      <c r="D63" s="1369"/>
      <c r="E63" s="1369"/>
      <c r="F63" s="1369"/>
      <c r="G63" s="1369"/>
      <c r="H63" s="1369"/>
      <c r="I63" s="1369"/>
      <c r="J63" s="1369"/>
      <c r="K63" s="123"/>
      <c r="L63" s="174"/>
      <c r="M63" s="204"/>
      <c r="N63" s="162"/>
      <c r="O63" s="174"/>
      <c r="P63" s="204"/>
      <c r="Q63" s="162"/>
      <c r="R63" s="174"/>
      <c r="S63" s="204"/>
      <c r="T63" s="162"/>
      <c r="U63" s="174"/>
      <c r="V63" s="204"/>
      <c r="W63" s="162"/>
      <c r="X63" s="174"/>
      <c r="Y63" s="204"/>
      <c r="Z63" s="162"/>
      <c r="AA63" s="174"/>
      <c r="AB63" s="204"/>
      <c r="AC63" s="162"/>
      <c r="AD63" s="174"/>
      <c r="AE63" s="204"/>
      <c r="AF63" s="238"/>
      <c r="AG63" s="236"/>
      <c r="AH63" s="98"/>
      <c r="AI63" s="238"/>
      <c r="AJ63" s="236"/>
      <c r="AK63" s="98"/>
      <c r="AL63" s="238"/>
      <c r="AM63" s="236"/>
      <c r="AN63" s="98"/>
      <c r="AO63" s="238"/>
      <c r="AP63" s="236"/>
      <c r="AQ63" s="98"/>
      <c r="AR63" s="238"/>
    </row>
    <row r="64" spans="1:44" x14ac:dyDescent="0.35">
      <c r="A64" s="1369" t="s">
        <v>1746</v>
      </c>
      <c r="B64" s="1369"/>
      <c r="C64" s="1369"/>
      <c r="D64" s="1369"/>
      <c r="E64" s="1369"/>
      <c r="F64" s="1369"/>
      <c r="G64" s="1369"/>
      <c r="H64" s="1369"/>
      <c r="I64" s="1369"/>
      <c r="J64" s="1369"/>
      <c r="K64" s="123"/>
      <c r="L64" s="174"/>
      <c r="M64" s="204"/>
      <c r="N64" s="162"/>
      <c r="O64" s="174"/>
      <c r="P64" s="204"/>
      <c r="Q64" s="162"/>
      <c r="R64" s="174"/>
      <c r="S64" s="204"/>
      <c r="T64" s="162"/>
      <c r="U64" s="174"/>
      <c r="V64" s="204"/>
      <c r="W64" s="162"/>
      <c r="X64" s="174"/>
      <c r="Y64" s="204"/>
      <c r="Z64" s="162"/>
      <c r="AA64" s="174"/>
      <c r="AB64" s="204"/>
      <c r="AC64" s="162"/>
      <c r="AD64" s="174"/>
      <c r="AE64" s="204"/>
      <c r="AF64" s="238"/>
      <c r="AG64" s="236"/>
      <c r="AH64" s="98"/>
      <c r="AI64" s="238"/>
      <c r="AJ64" s="236"/>
      <c r="AK64" s="98"/>
      <c r="AL64" s="238"/>
      <c r="AM64" s="236"/>
      <c r="AN64" s="98"/>
      <c r="AO64" s="238"/>
      <c r="AP64" s="236"/>
      <c r="AQ64" s="98"/>
      <c r="AR64" s="238"/>
    </row>
    <row r="65" spans="1:44" x14ac:dyDescent="0.35">
      <c r="A65" s="1369" t="s">
        <v>1747</v>
      </c>
      <c r="B65" s="1369"/>
      <c r="C65" s="1369"/>
      <c r="D65" s="1369"/>
      <c r="E65" s="1369"/>
      <c r="F65" s="1369"/>
      <c r="G65" s="1369"/>
      <c r="H65" s="1369"/>
      <c r="I65" s="1369"/>
      <c r="J65" s="1369"/>
      <c r="K65" s="123"/>
      <c r="L65" s="174"/>
      <c r="M65" s="204"/>
      <c r="N65" s="162"/>
      <c r="O65" s="174"/>
      <c r="P65" s="204"/>
      <c r="Q65" s="162"/>
      <c r="R65" s="174"/>
      <c r="S65" s="204"/>
      <c r="T65" s="162"/>
      <c r="U65" s="174"/>
      <c r="V65" s="204"/>
      <c r="W65" s="162"/>
      <c r="X65" s="174"/>
      <c r="Y65" s="204"/>
      <c r="Z65" s="162"/>
      <c r="AA65" s="174"/>
      <c r="AB65" s="204"/>
      <c r="AC65" s="162"/>
      <c r="AD65" s="174"/>
      <c r="AE65" s="204"/>
      <c r="AF65" s="238"/>
      <c r="AG65" s="236"/>
      <c r="AH65" s="98"/>
      <c r="AI65" s="238"/>
      <c r="AJ65" s="236"/>
      <c r="AK65" s="98"/>
      <c r="AL65" s="238"/>
      <c r="AM65" s="236"/>
      <c r="AN65" s="98"/>
      <c r="AO65" s="238"/>
      <c r="AP65" s="236"/>
      <c r="AQ65" s="98"/>
      <c r="AR65" s="238"/>
    </row>
    <row r="66" spans="1:44" ht="14.5" customHeight="1" x14ac:dyDescent="0.35">
      <c r="A66" s="1369" t="s">
        <v>1748</v>
      </c>
      <c r="B66" s="1369"/>
      <c r="C66" s="1369"/>
      <c r="D66" s="1369"/>
      <c r="E66" s="1369"/>
      <c r="F66" s="1369"/>
      <c r="G66" s="1369"/>
      <c r="H66" s="1369"/>
      <c r="I66" s="1369"/>
      <c r="J66" s="1369"/>
      <c r="K66" s="123"/>
      <c r="L66" s="174"/>
      <c r="M66" s="204"/>
      <c r="N66" s="162"/>
      <c r="O66" s="174"/>
      <c r="P66" s="204"/>
      <c r="Q66" s="162"/>
      <c r="R66" s="174"/>
      <c r="S66" s="204"/>
      <c r="T66" s="162"/>
      <c r="U66" s="174"/>
      <c r="V66" s="204"/>
      <c r="W66" s="162"/>
      <c r="X66" s="174"/>
      <c r="Y66" s="204"/>
      <c r="Z66" s="162"/>
      <c r="AA66" s="174"/>
      <c r="AB66" s="204"/>
      <c r="AC66" s="162"/>
      <c r="AD66" s="174"/>
      <c r="AE66" s="204"/>
      <c r="AF66" s="238"/>
      <c r="AG66" s="236"/>
      <c r="AH66" s="98"/>
      <c r="AI66" s="238"/>
      <c r="AJ66" s="236"/>
      <c r="AK66" s="98"/>
      <c r="AL66" s="238"/>
      <c r="AM66" s="236"/>
      <c r="AN66" s="98"/>
      <c r="AO66" s="238"/>
      <c r="AP66" s="236"/>
      <c r="AQ66" s="98"/>
      <c r="AR66" s="238"/>
    </row>
    <row r="67" spans="1:44" ht="14.5" customHeight="1" x14ac:dyDescent="0.35">
      <c r="A67" s="1370" t="s">
        <v>1749</v>
      </c>
      <c r="B67" s="1370"/>
      <c r="C67" s="1370"/>
      <c r="D67" s="1370"/>
      <c r="E67" s="1370"/>
      <c r="F67" s="1370"/>
      <c r="G67" s="1370"/>
      <c r="H67" s="1370"/>
      <c r="I67" s="1370"/>
      <c r="J67" s="1370"/>
      <c r="K67" s="126"/>
      <c r="L67" s="175"/>
      <c r="M67" s="225"/>
      <c r="N67" s="163"/>
      <c r="O67" s="175"/>
      <c r="P67" s="225"/>
      <c r="Q67" s="163"/>
      <c r="R67" s="175"/>
      <c r="S67" s="225"/>
      <c r="T67" s="163"/>
      <c r="U67" s="175"/>
      <c r="V67" s="225"/>
      <c r="W67" s="163"/>
      <c r="X67" s="175"/>
      <c r="Y67" s="225"/>
      <c r="Z67" s="163"/>
      <c r="AA67" s="175"/>
      <c r="AB67" s="225"/>
      <c r="AC67" s="163"/>
      <c r="AD67" s="175"/>
      <c r="AE67" s="225"/>
      <c r="AF67" s="238"/>
      <c r="AG67" s="236"/>
      <c r="AH67" s="98"/>
      <c r="AI67" s="238"/>
      <c r="AJ67" s="236"/>
      <c r="AK67" s="98"/>
      <c r="AL67" s="238"/>
      <c r="AM67" s="236"/>
      <c r="AN67" s="98"/>
      <c r="AO67" s="238"/>
      <c r="AP67" s="236"/>
      <c r="AQ67" s="98"/>
      <c r="AR67" s="238"/>
    </row>
    <row r="68" spans="1:44" ht="14.5" customHeight="1" x14ac:dyDescent="0.35">
      <c r="A68" s="1371" t="s">
        <v>234</v>
      </c>
      <c r="B68" s="1371"/>
      <c r="C68" s="1371"/>
      <c r="D68" s="1371"/>
      <c r="E68" s="1371"/>
      <c r="F68" s="1371"/>
      <c r="G68" s="1371"/>
      <c r="H68" s="1371"/>
      <c r="I68" s="1371"/>
      <c r="J68" s="1371"/>
      <c r="K68" s="139"/>
      <c r="L68" s="176"/>
      <c r="M68" s="226"/>
      <c r="N68" s="164"/>
      <c r="O68" s="176"/>
      <c r="P68" s="226"/>
      <c r="Q68" s="164"/>
      <c r="R68" s="176"/>
      <c r="S68" s="226"/>
      <c r="T68" s="164"/>
      <c r="U68" s="176"/>
      <c r="V68" s="226"/>
      <c r="W68" s="164"/>
      <c r="X68" s="176"/>
      <c r="Y68" s="226"/>
      <c r="Z68" s="164"/>
      <c r="AA68" s="176"/>
      <c r="AB68" s="226"/>
      <c r="AC68" s="164"/>
      <c r="AD68" s="176"/>
      <c r="AE68" s="226"/>
      <c r="AF68" s="238"/>
      <c r="AG68" s="236"/>
      <c r="AH68" s="98"/>
      <c r="AI68" s="238"/>
      <c r="AJ68" s="236"/>
      <c r="AK68" s="98"/>
      <c r="AL68" s="238"/>
      <c r="AM68" s="236"/>
      <c r="AN68" s="98"/>
      <c r="AO68" s="238"/>
      <c r="AP68" s="236"/>
      <c r="AQ68" s="98"/>
      <c r="AR68" s="238"/>
    </row>
    <row r="69" spans="1:44" x14ac:dyDescent="0.35">
      <c r="A69" s="1368" t="s">
        <v>839</v>
      </c>
      <c r="B69" s="1368"/>
      <c r="C69" s="1368"/>
      <c r="D69" s="1368"/>
      <c r="E69" s="1368"/>
      <c r="F69" s="1368"/>
      <c r="G69" s="1368"/>
    </row>
    <row r="70" spans="1:44" x14ac:dyDescent="0.35">
      <c r="A70" s="1372" t="s">
        <v>840</v>
      </c>
      <c r="B70" s="1372"/>
      <c r="C70" s="1372"/>
      <c r="D70" s="1372"/>
      <c r="E70" s="1372"/>
      <c r="F70" s="1372"/>
      <c r="G70" s="1372"/>
    </row>
    <row r="71" spans="1:44" x14ac:dyDescent="0.35">
      <c r="A71" s="1367" t="s">
        <v>841</v>
      </c>
      <c r="B71" s="1367"/>
      <c r="C71" s="1367"/>
      <c r="D71" s="1367"/>
      <c r="E71" s="1367"/>
      <c r="F71" s="1367"/>
      <c r="G71" s="1367"/>
    </row>
    <row r="72" spans="1:44" x14ac:dyDescent="0.35">
      <c r="A72" s="1366" t="s">
        <v>842</v>
      </c>
      <c r="B72" s="1366"/>
      <c r="C72" s="1366"/>
      <c r="D72" s="1366"/>
      <c r="E72" s="1366"/>
      <c r="F72" s="1366"/>
      <c r="G72" s="1366"/>
    </row>
    <row r="73" spans="1:44" x14ac:dyDescent="0.35">
      <c r="A73" s="1366" t="s">
        <v>843</v>
      </c>
      <c r="B73" s="1366"/>
      <c r="C73" s="1366"/>
      <c r="D73" s="1366"/>
      <c r="E73" s="1366"/>
      <c r="F73" s="1366"/>
      <c r="G73" s="1366"/>
    </row>
    <row r="74" spans="1:44" x14ac:dyDescent="0.35">
      <c r="A74" s="1367" t="s">
        <v>844</v>
      </c>
      <c r="B74" s="1367"/>
      <c r="C74" s="1367"/>
      <c r="D74" s="1367"/>
      <c r="E74" s="1367"/>
      <c r="F74" s="1367"/>
      <c r="G74" s="1367"/>
    </row>
    <row r="76" spans="1:44" x14ac:dyDescent="0.35">
      <c r="A76" s="1368" t="s">
        <v>845</v>
      </c>
      <c r="B76" s="1368"/>
      <c r="C76" s="1368"/>
      <c r="D76" s="1368"/>
      <c r="E76" s="1368"/>
      <c r="F76" s="1368"/>
      <c r="G76" s="1368"/>
    </row>
    <row r="78" spans="1:44" x14ac:dyDescent="0.35">
      <c r="A78" s="44" t="s">
        <v>233</v>
      </c>
    </row>
    <row r="80" spans="1:44" x14ac:dyDescent="0.35">
      <c r="A80" s="44" t="s">
        <v>234</v>
      </c>
    </row>
    <row r="82" spans="1:45" x14ac:dyDescent="0.35">
      <c r="A82" t="s">
        <v>835</v>
      </c>
      <c r="B82" t="s">
        <v>836</v>
      </c>
      <c r="C82" s="233">
        <v>44743</v>
      </c>
      <c r="D82" s="233">
        <v>44774</v>
      </c>
      <c r="E82" s="233">
        <v>44805</v>
      </c>
      <c r="F82" s="233">
        <v>44835</v>
      </c>
      <c r="G82" s="233">
        <v>44866</v>
      </c>
      <c r="H82" s="233">
        <v>44896</v>
      </c>
      <c r="I82" s="233">
        <v>44927</v>
      </c>
      <c r="J82" s="233">
        <v>44958</v>
      </c>
      <c r="K82" s="233">
        <v>44986</v>
      </c>
      <c r="L82" s="177">
        <v>45017</v>
      </c>
      <c r="M82" s="227">
        <v>45047</v>
      </c>
      <c r="N82" s="165">
        <v>45078</v>
      </c>
      <c r="O82" s="177">
        <v>45108</v>
      </c>
      <c r="P82" s="227">
        <v>45139</v>
      </c>
      <c r="Q82" s="165">
        <v>45170</v>
      </c>
      <c r="R82" s="177">
        <v>45200</v>
      </c>
      <c r="S82" s="227">
        <v>45231</v>
      </c>
      <c r="T82" s="165">
        <v>45261</v>
      </c>
      <c r="U82" s="177">
        <v>45292</v>
      </c>
      <c r="V82" s="227">
        <v>45323</v>
      </c>
      <c r="W82" s="165">
        <v>45352</v>
      </c>
      <c r="X82" s="177">
        <v>45383</v>
      </c>
      <c r="Y82" s="227">
        <v>45413</v>
      </c>
      <c r="Z82" s="165">
        <v>45444</v>
      </c>
      <c r="AA82" s="177">
        <v>45474</v>
      </c>
      <c r="AB82" s="227">
        <v>45505</v>
      </c>
      <c r="AC82" s="165">
        <v>45536</v>
      </c>
      <c r="AD82" s="177">
        <v>45566</v>
      </c>
      <c r="AE82" s="227">
        <v>45597</v>
      </c>
      <c r="AF82" s="165">
        <v>45627</v>
      </c>
      <c r="AG82" s="177">
        <v>45658</v>
      </c>
      <c r="AH82" s="227">
        <v>45689</v>
      </c>
      <c r="AI82" s="165">
        <v>45717</v>
      </c>
      <c r="AJ82" s="177">
        <v>45748</v>
      </c>
      <c r="AK82" s="227">
        <v>45778</v>
      </c>
      <c r="AL82" s="165">
        <v>45809</v>
      </c>
      <c r="AM82" s="177">
        <v>45839</v>
      </c>
      <c r="AN82" s="227">
        <v>45870</v>
      </c>
      <c r="AO82" s="165">
        <v>45925</v>
      </c>
      <c r="AP82" s="177">
        <v>45955</v>
      </c>
      <c r="AQ82" s="227">
        <v>45986</v>
      </c>
      <c r="AR82" s="1330">
        <v>46382</v>
      </c>
    </row>
    <row r="83" spans="1:45" x14ac:dyDescent="0.35">
      <c r="A83" s="120" t="s">
        <v>1850</v>
      </c>
      <c r="B83" t="s">
        <v>359</v>
      </c>
      <c r="C83">
        <v>5140</v>
      </c>
      <c r="D83">
        <v>5146</v>
      </c>
      <c r="E83">
        <v>5148</v>
      </c>
      <c r="F83">
        <v>5139</v>
      </c>
      <c r="G83">
        <v>5162</v>
      </c>
      <c r="H83">
        <v>5136</v>
      </c>
      <c r="I83">
        <v>5199</v>
      </c>
      <c r="J83">
        <v>5219</v>
      </c>
      <c r="K83">
        <v>5235</v>
      </c>
      <c r="L83" s="236">
        <v>5251</v>
      </c>
      <c r="M83" s="98">
        <v>5272</v>
      </c>
      <c r="N83" s="238">
        <v>5294</v>
      </c>
      <c r="O83" s="236">
        <v>5303</v>
      </c>
      <c r="P83" s="98">
        <v>5324</v>
      </c>
      <c r="Q83" s="238">
        <v>5337</v>
      </c>
      <c r="R83" s="236">
        <v>5359</v>
      </c>
      <c r="S83" s="98">
        <v>5366</v>
      </c>
      <c r="T83" s="238">
        <v>5378</v>
      </c>
      <c r="U83" s="236">
        <v>5390</v>
      </c>
      <c r="V83" s="98">
        <v>5404</v>
      </c>
      <c r="W83" s="238">
        <v>5414</v>
      </c>
      <c r="X83" s="236">
        <v>5418</v>
      </c>
      <c r="Y83" s="98">
        <v>5420</v>
      </c>
      <c r="Z83" s="238">
        <v>5429</v>
      </c>
      <c r="AA83" s="236">
        <v>5444</v>
      </c>
      <c r="AB83" s="98">
        <v>5453</v>
      </c>
      <c r="AC83" s="238">
        <v>5468</v>
      </c>
      <c r="AD83" s="236">
        <v>5484</v>
      </c>
      <c r="AE83" s="98">
        <v>5493</v>
      </c>
      <c r="AF83" s="238">
        <v>5512</v>
      </c>
      <c r="AG83" s="236">
        <v>5524</v>
      </c>
      <c r="AH83" s="98">
        <v>5514</v>
      </c>
      <c r="AI83" s="238">
        <v>5515</v>
      </c>
      <c r="AJ83" s="236">
        <v>5526</v>
      </c>
      <c r="AK83" s="98">
        <v>5515</v>
      </c>
      <c r="AL83" s="238">
        <v>5525</v>
      </c>
      <c r="AM83" s="236">
        <v>5530</v>
      </c>
      <c r="AN83" s="98">
        <v>5478</v>
      </c>
      <c r="AO83" s="238">
        <v>5486</v>
      </c>
      <c r="AP83" s="112">
        <v>5473</v>
      </c>
      <c r="AQ83" s="98">
        <v>5474</v>
      </c>
      <c r="AR83" s="238"/>
    </row>
    <row r="84" spans="1:45" x14ac:dyDescent="0.35">
      <c r="A84" t="s">
        <v>361</v>
      </c>
      <c r="B84" t="s">
        <v>360</v>
      </c>
      <c r="C84">
        <v>14280</v>
      </c>
      <c r="D84">
        <v>14264</v>
      </c>
      <c r="E84">
        <v>14269</v>
      </c>
      <c r="F84">
        <v>14301</v>
      </c>
      <c r="G84">
        <v>14337</v>
      </c>
      <c r="H84">
        <v>14364</v>
      </c>
      <c r="I84">
        <v>14411</v>
      </c>
      <c r="J84">
        <v>14439</v>
      </c>
      <c r="K84">
        <v>14453</v>
      </c>
      <c r="L84" s="236">
        <v>14478</v>
      </c>
      <c r="M84" s="98">
        <v>14509</v>
      </c>
      <c r="N84" s="238">
        <v>14565</v>
      </c>
      <c r="O84" s="236">
        <v>14589</v>
      </c>
      <c r="P84" s="98">
        <v>14603</v>
      </c>
      <c r="Q84" s="238">
        <v>14653</v>
      </c>
      <c r="R84" s="236">
        <v>14693</v>
      </c>
      <c r="S84" s="98">
        <v>14728</v>
      </c>
      <c r="T84" s="238">
        <v>14763</v>
      </c>
      <c r="U84" s="236">
        <v>14786</v>
      </c>
      <c r="V84" s="98">
        <v>14835</v>
      </c>
      <c r="W84" s="238">
        <v>14890</v>
      </c>
      <c r="X84" s="236">
        <v>14877</v>
      </c>
      <c r="Y84" s="98">
        <v>14905</v>
      </c>
      <c r="Z84" s="238">
        <v>14915</v>
      </c>
      <c r="AA84" s="236">
        <v>14946</v>
      </c>
      <c r="AB84" s="98">
        <v>14973</v>
      </c>
      <c r="AC84" s="238">
        <v>14986</v>
      </c>
      <c r="AD84" s="236">
        <v>15012</v>
      </c>
      <c r="AE84" s="98">
        <v>15022</v>
      </c>
      <c r="AF84" s="238">
        <v>15036</v>
      </c>
      <c r="AG84" s="236">
        <v>15053</v>
      </c>
      <c r="AH84" s="98">
        <v>15071</v>
      </c>
      <c r="AI84" s="238">
        <v>15087</v>
      </c>
      <c r="AJ84" s="236">
        <v>15114</v>
      </c>
      <c r="AK84" s="98">
        <v>15101</v>
      </c>
      <c r="AL84" s="238">
        <v>15111</v>
      </c>
      <c r="AM84" s="236">
        <v>15108</v>
      </c>
      <c r="AN84" s="98">
        <v>15168</v>
      </c>
      <c r="AO84" s="238">
        <v>15168</v>
      </c>
      <c r="AP84" s="112">
        <v>15186</v>
      </c>
      <c r="AQ84" s="98">
        <v>15188</v>
      </c>
      <c r="AR84" s="238"/>
    </row>
    <row r="85" spans="1:45" x14ac:dyDescent="0.35">
      <c r="B85" t="s">
        <v>1842</v>
      </c>
      <c r="C85">
        <f>'Federal and State Purchases'!V46</f>
        <v>19420</v>
      </c>
      <c r="D85">
        <f>'Federal and State Purchases'!W46</f>
        <v>19410</v>
      </c>
      <c r="E85">
        <f>'Federal and State Purchases'!X46</f>
        <v>19417</v>
      </c>
      <c r="F85">
        <f>'Federal and State Purchases'!Y46</f>
        <v>19440</v>
      </c>
      <c r="G85">
        <f>'Federal and State Purchases'!Z46</f>
        <v>19499</v>
      </c>
      <c r="H85">
        <f>'Federal and State Purchases'!AA46</f>
        <v>19500</v>
      </c>
      <c r="I85">
        <f>'Federal and State Purchases'!AB46</f>
        <v>19610</v>
      </c>
      <c r="J85">
        <f>'Federal and State Purchases'!AC46</f>
        <v>19658</v>
      </c>
      <c r="K85">
        <f>'Federal and State Purchases'!AD46</f>
        <v>19688</v>
      </c>
      <c r="L85" s="236">
        <f>'Federal and State Purchases'!AE46</f>
        <v>19729</v>
      </c>
      <c r="M85" s="98">
        <f>'Federal and State Purchases'!AF46</f>
        <v>19781</v>
      </c>
      <c r="N85" s="238">
        <f>'Federal and State Purchases'!AG46</f>
        <v>19859</v>
      </c>
      <c r="O85" s="236">
        <f>'Federal and State Purchases'!AH46</f>
        <v>19892</v>
      </c>
      <c r="P85" s="98">
        <f>'Federal and State Purchases'!AI46</f>
        <v>19927</v>
      </c>
      <c r="Q85" s="238">
        <f>'Federal and State Purchases'!AJ46</f>
        <v>19990</v>
      </c>
      <c r="R85" s="236">
        <f>'Federal and State Purchases'!AK46</f>
        <v>20052</v>
      </c>
      <c r="S85" s="98">
        <f>'Federal and State Purchases'!AL46</f>
        <v>20094</v>
      </c>
      <c r="T85" s="238">
        <f>'Federal and State Purchases'!AM46</f>
        <v>20141</v>
      </c>
      <c r="U85" s="236">
        <f>'Federal and State Purchases'!AN46</f>
        <v>20176</v>
      </c>
      <c r="V85" s="98">
        <f>'Federal and State Purchases'!AO46</f>
        <v>20239</v>
      </c>
      <c r="W85" s="238">
        <f>'Federal and State Purchases'!AP46</f>
        <v>20304</v>
      </c>
      <c r="X85" s="236">
        <f>'Federal and State Purchases'!AQ46</f>
        <v>20295</v>
      </c>
      <c r="Y85" s="98">
        <f>'Federal and State Purchases'!AR46</f>
        <v>20325</v>
      </c>
      <c r="Z85" s="238">
        <f>Z83+Z84</f>
        <v>20344</v>
      </c>
      <c r="AA85" s="236">
        <f t="shared" ref="AA85:AQ85" si="0">AA83+AA84</f>
        <v>20390</v>
      </c>
      <c r="AB85" s="98">
        <f t="shared" si="0"/>
        <v>20426</v>
      </c>
      <c r="AC85" s="238">
        <f t="shared" si="0"/>
        <v>20454</v>
      </c>
      <c r="AD85" s="236">
        <f t="shared" si="0"/>
        <v>20496</v>
      </c>
      <c r="AE85" s="98">
        <f t="shared" si="0"/>
        <v>20515</v>
      </c>
      <c r="AF85" s="238">
        <f t="shared" si="0"/>
        <v>20548</v>
      </c>
      <c r="AG85" s="236">
        <f t="shared" si="0"/>
        <v>20577</v>
      </c>
      <c r="AH85" s="98">
        <f t="shared" si="0"/>
        <v>20585</v>
      </c>
      <c r="AI85" s="238">
        <f>AI83+AI84</f>
        <v>20602</v>
      </c>
      <c r="AJ85" s="236">
        <f t="shared" si="0"/>
        <v>20640</v>
      </c>
      <c r="AK85" s="98">
        <f t="shared" si="0"/>
        <v>20616</v>
      </c>
      <c r="AL85" s="238">
        <f t="shared" si="0"/>
        <v>20636</v>
      </c>
      <c r="AM85" s="236">
        <f t="shared" si="0"/>
        <v>20638</v>
      </c>
      <c r="AN85" s="98">
        <f t="shared" si="0"/>
        <v>20646</v>
      </c>
      <c r="AO85" s="238">
        <f t="shared" si="0"/>
        <v>20654</v>
      </c>
      <c r="AP85" s="236">
        <f t="shared" si="0"/>
        <v>20659</v>
      </c>
      <c r="AQ85" s="98">
        <f t="shared" si="0"/>
        <v>20662</v>
      </c>
      <c r="AR85" s="238"/>
    </row>
    <row r="86" spans="1:45" x14ac:dyDescent="0.35">
      <c r="A86" t="s">
        <v>363</v>
      </c>
      <c r="B86" t="s">
        <v>362</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c r="AM86">
        <v>480190</v>
      </c>
      <c r="AN86">
        <v>481748</v>
      </c>
      <c r="AO86">
        <v>485022</v>
      </c>
      <c r="AP86">
        <v>486256</v>
      </c>
    </row>
    <row r="87" spans="1:45"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5" x14ac:dyDescent="0.35">
      <c r="A88" s="151"/>
    </row>
    <row r="89" spans="1:45" ht="16.5" customHeight="1" x14ac:dyDescent="0.35">
      <c r="A89" s="151"/>
      <c r="B89" s="136" t="s">
        <v>1878</v>
      </c>
      <c r="I89">
        <v>119.00700000000001</v>
      </c>
      <c r="J89">
        <v>119.401</v>
      </c>
      <c r="K89">
        <v>119.553</v>
      </c>
      <c r="L89">
        <v>119.97</v>
      </c>
      <c r="M89">
        <v>120.14</v>
      </c>
      <c r="N89">
        <v>120.435</v>
      </c>
      <c r="O89">
        <v>120.598</v>
      </c>
      <c r="P89">
        <v>120.965</v>
      </c>
      <c r="Q89">
        <v>121.387</v>
      </c>
      <c r="R89">
        <v>121.42100000000001</v>
      </c>
      <c r="S89">
        <v>121.41500000000001</v>
      </c>
      <c r="T89">
        <v>121.602</v>
      </c>
      <c r="U89" s="188">
        <v>122.23</v>
      </c>
      <c r="V89" s="188">
        <v>122.598</v>
      </c>
      <c r="W89" s="188">
        <v>123.038</v>
      </c>
      <c r="X89" s="188">
        <v>123.34099999999999</v>
      </c>
      <c r="Y89" s="188">
        <v>123.348</v>
      </c>
      <c r="Z89" s="188">
        <v>123.539</v>
      </c>
      <c r="AA89" s="188">
        <v>123.736</v>
      </c>
      <c r="AB89" s="188">
        <v>123.889</v>
      </c>
      <c r="AC89" s="188">
        <v>124.164</v>
      </c>
      <c r="AD89" s="188">
        <v>124.494</v>
      </c>
      <c r="AE89" s="188">
        <v>124.637</v>
      </c>
      <c r="AF89" s="188">
        <v>124.979</v>
      </c>
      <c r="AG89" s="141">
        <v>125.417</v>
      </c>
      <c r="AH89" s="141">
        <v>125.92100000000001</v>
      </c>
      <c r="AI89" s="141">
        <v>125.941</v>
      </c>
      <c r="AJ89" s="141">
        <v>126.15</v>
      </c>
      <c r="AK89" s="141">
        <v>126.38</v>
      </c>
      <c r="AL89" s="141">
        <v>126.74299999999999</v>
      </c>
      <c r="AM89" s="141">
        <v>126.96</v>
      </c>
      <c r="AN89" s="141">
        <v>127.29300000000001</v>
      </c>
      <c r="AO89" s="141">
        <v>127.625</v>
      </c>
      <c r="AP89" s="141">
        <v>127.879</v>
      </c>
      <c r="AQ89" s="141">
        <v>128.149</v>
      </c>
      <c r="AR89" s="141">
        <v>128.60499999999999</v>
      </c>
      <c r="AS89" s="138"/>
    </row>
    <row r="90" spans="1:45" ht="72.650000000000006" customHeight="1" x14ac:dyDescent="0.35">
      <c r="A90" s="151"/>
      <c r="B90" t="s">
        <v>2028</v>
      </c>
      <c r="AB90" s="119">
        <f>(AB89/Y89)^4-1</f>
        <v>1.7659617634200986E-2</v>
      </c>
      <c r="AC90" s="119">
        <f t="shared" ref="AC90" si="1">(AC89/Z89)^4-1</f>
        <v>2.0390611949799187E-2</v>
      </c>
      <c r="AD90" s="119">
        <f t="shared" ref="AD90:AH90" si="2">(AD89/AA89)^4-1</f>
        <v>2.4729866467058326E-2</v>
      </c>
      <c r="AE90" s="119">
        <f t="shared" si="2"/>
        <v>2.4370252916104729E-2</v>
      </c>
      <c r="AF90" s="119">
        <f t="shared" si="2"/>
        <v>2.6515239157213211E-2</v>
      </c>
      <c r="AG90" s="119">
        <f t="shared" si="2"/>
        <v>2.9987486259927643E-2</v>
      </c>
      <c r="AH90" s="119">
        <f t="shared" si="2"/>
        <v>4.1848828611634747E-2</v>
      </c>
      <c r="AI90" s="119">
        <f t="shared" ref="AI90:AN90" si="3">(AI89/AF89)^4-1</f>
        <v>3.1146490228744161E-2</v>
      </c>
      <c r="AJ90" s="119">
        <f>(AJ89/AG89)^4-1</f>
        <v>2.3583759946883998E-2</v>
      </c>
      <c r="AK90" s="119">
        <f>(AK89/AH89)^4-1</f>
        <v>1.4660486654112459E-2</v>
      </c>
      <c r="AL90" s="119">
        <f t="shared" si="3"/>
        <v>2.5716592763600943E-2</v>
      </c>
      <c r="AM90" s="119">
        <f t="shared" si="3"/>
        <v>2.5932140322159514E-2</v>
      </c>
      <c r="AN90" s="119">
        <f t="shared" si="3"/>
        <v>2.921162645628228E-2</v>
      </c>
      <c r="AO90" s="119">
        <f>(AO89/AL89)^4-1</f>
        <v>2.8127770266607621E-2</v>
      </c>
      <c r="AP90" s="119">
        <f t="shared" ref="AP90" si="4">(AP89/AM89)^4-1</f>
        <v>2.9269896397007944E-2</v>
      </c>
      <c r="AQ90" s="119">
        <f>(AQ89/AN89)^4-1</f>
        <v>2.7171115957744574E-2</v>
      </c>
      <c r="AR90" s="119">
        <f>(AR89/AO89)^4-1</f>
        <v>3.1070578708248808E-2</v>
      </c>
      <c r="AS90" s="137"/>
    </row>
    <row r="91" spans="1:45" x14ac:dyDescent="0.35">
      <c r="B91" t="s">
        <v>2027</v>
      </c>
      <c r="AB91" s="119">
        <f t="shared" ref="AB91:AI91" si="5">AB90-AA90</f>
        <v>1.7659617634200986E-2</v>
      </c>
      <c r="AC91" s="119">
        <f t="shared" si="5"/>
        <v>2.7309943155982008E-3</v>
      </c>
      <c r="AD91" s="119">
        <f t="shared" si="5"/>
        <v>4.339254517259139E-3</v>
      </c>
      <c r="AE91" s="119">
        <f t="shared" si="5"/>
        <v>-3.5961355095359693E-4</v>
      </c>
      <c r="AF91" s="119">
        <f t="shared" si="5"/>
        <v>2.1449862411084819E-3</v>
      </c>
      <c r="AG91" s="119">
        <f t="shared" si="5"/>
        <v>3.4722471027144319E-3</v>
      </c>
      <c r="AH91" s="119">
        <f t="shared" si="5"/>
        <v>1.1861342351707105E-2</v>
      </c>
      <c r="AI91" s="119">
        <f t="shared" si="5"/>
        <v>-1.0702338382890586E-2</v>
      </c>
      <c r="AJ91" s="119">
        <f>AJ90-AI90</f>
        <v>-7.5627302818601638E-3</v>
      </c>
      <c r="AK91" s="119">
        <f>AK90-AJ90</f>
        <v>-8.9232732927715386E-3</v>
      </c>
      <c r="AL91" s="119">
        <f t="shared" ref="AL91" si="6">AL90-AK90</f>
        <v>1.1056106109488484E-2</v>
      </c>
      <c r="AM91" s="119">
        <f>AM90-AL90</f>
        <v>2.1554755855857088E-4</v>
      </c>
      <c r="AN91" s="119">
        <f t="shared" ref="AN91:AR91" si="7">AN90-AM90</f>
        <v>3.2794861341227666E-3</v>
      </c>
      <c r="AO91" s="119">
        <f t="shared" si="7"/>
        <v>-1.083856189674659E-3</v>
      </c>
      <c r="AP91" s="119">
        <f t="shared" si="7"/>
        <v>1.1421261304003227E-3</v>
      </c>
      <c r="AQ91" s="119">
        <f t="shared" si="7"/>
        <v>-2.0987804392633702E-3</v>
      </c>
      <c r="AR91" s="119">
        <f t="shared" si="7"/>
        <v>3.8994627505042345E-3</v>
      </c>
    </row>
    <row r="92" spans="1:45" x14ac:dyDescent="0.35">
      <c r="B92" t="s">
        <v>2029</v>
      </c>
      <c r="AB92" s="133">
        <f t="shared" ref="AB92:AI92" si="8">(AB89/AA89)^12-1</f>
        <v>1.4939369465621244E-2</v>
      </c>
      <c r="AC92" s="133">
        <f t="shared" si="8"/>
        <v>2.6964360596668069E-2</v>
      </c>
      <c r="AD92" s="133">
        <f t="shared" si="8"/>
        <v>3.2363666226105758E-2</v>
      </c>
      <c r="AE92" s="133">
        <f t="shared" si="8"/>
        <v>1.3871211238045911E-2</v>
      </c>
      <c r="AF92" s="133">
        <f t="shared" si="8"/>
        <v>3.3429133234112784E-2</v>
      </c>
      <c r="AG92" s="133">
        <f t="shared" si="8"/>
        <v>4.2875231393431301E-2</v>
      </c>
      <c r="AH92" s="133">
        <f t="shared" si="8"/>
        <v>4.9303375274295957E-2</v>
      </c>
      <c r="AI92" s="133">
        <f t="shared" si="8"/>
        <v>1.9076227658443301E-3</v>
      </c>
      <c r="AJ92" s="133">
        <f>(AJ89/AI89)^12-1</f>
        <v>2.0096857608492336E-2</v>
      </c>
      <c r="AK92" s="133">
        <f>(AK89/AJ89)^12-1</f>
        <v>2.2099448828650115E-2</v>
      </c>
      <c r="AL92" s="133">
        <f t="shared" ref="AL92:AM92" si="9">(AL89/AK89)^12-1</f>
        <v>3.5017229374705083E-2</v>
      </c>
      <c r="AM92" s="133">
        <f t="shared" si="9"/>
        <v>2.0740092586278847E-2</v>
      </c>
      <c r="AN92" s="133">
        <f t="shared" ref="AN92" si="10">(AN89/AM89)^12-1</f>
        <v>3.193251801173691E-2</v>
      </c>
      <c r="AO92" s="133">
        <f t="shared" ref="AO92" si="11">(AO89/AN89)^12-1</f>
        <v>3.175076158828416E-2</v>
      </c>
      <c r="AP92" s="133">
        <f t="shared" ref="AP92" si="12">(AP89/AO89)^12-1</f>
        <v>2.4145630859660594E-2</v>
      </c>
      <c r="AQ92" s="133">
        <f t="shared" ref="AQ92:AR92" si="13">(AQ89/AP89)^12-1</f>
        <v>2.5632751978306612E-2</v>
      </c>
      <c r="AR92" s="133">
        <f t="shared" si="13"/>
        <v>4.3545972335247152E-2</v>
      </c>
    </row>
    <row r="93" spans="1:45" x14ac:dyDescent="0.35">
      <c r="B93" t="s">
        <v>2026</v>
      </c>
      <c r="W93" s="201"/>
      <c r="X93" s="201"/>
      <c r="Y93" s="201"/>
      <c r="Z93" s="201"/>
      <c r="AA93" s="201"/>
      <c r="AB93" s="201"/>
      <c r="AC93" s="201"/>
      <c r="AD93" s="201"/>
      <c r="AE93" s="201"/>
      <c r="AF93" s="201"/>
      <c r="AG93" s="201"/>
      <c r="AH93" s="201"/>
      <c r="AI93" s="201"/>
      <c r="AJ93" s="201"/>
      <c r="AL93">
        <f>AVERAGE(AJ89:AL89)</f>
        <v>126.42433333333334</v>
      </c>
      <c r="AO93">
        <f>AVERAGE(AM89:AO89)</f>
        <v>127.29266666666666</v>
      </c>
      <c r="AR93">
        <f>AVERAGE(AP89:AR89)</f>
        <v>128.21100000000001</v>
      </c>
      <c r="AS93" s="119"/>
    </row>
    <row r="95" spans="1:45" x14ac:dyDescent="0.35">
      <c r="AL95" s="119">
        <f>(AO93/AL93)^4-1</f>
        <v>2.7757962085077192E-2</v>
      </c>
      <c r="AO95" s="119">
        <f>(AR93/AO93)^4-1</f>
        <v>2.9171169139073694E-2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89" r:id="rId9" location="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C19" sqref="C19"/>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730</v>
      </c>
      <c r="D1" s="87" t="s">
        <v>1108</v>
      </c>
      <c r="E1" s="87" t="s">
        <v>1109</v>
      </c>
      <c r="F1" s="87" t="s">
        <v>1110</v>
      </c>
      <c r="G1" s="87" t="s">
        <v>1111</v>
      </c>
      <c r="H1" s="87" t="s">
        <v>1112</v>
      </c>
      <c r="I1" s="87" t="s">
        <v>1113</v>
      </c>
      <c r="J1" s="87" t="s">
        <v>1114</v>
      </c>
      <c r="K1" s="87" t="s">
        <v>1115</v>
      </c>
    </row>
    <row r="2" spans="1:11" x14ac:dyDescent="0.35">
      <c r="A2" t="s">
        <v>180</v>
      </c>
      <c r="B2" t="s">
        <v>181</v>
      </c>
      <c r="C2" s="94">
        <f>Grants!AF73</f>
        <v>409.71131879999996</v>
      </c>
      <c r="D2" s="94">
        <f>Grants!AG73</f>
        <v>412.46319788780909</v>
      </c>
      <c r="E2" s="94">
        <f>Grants!AH73</f>
        <v>412.439192359044</v>
      </c>
      <c r="F2" s="94">
        <f>Grants!AI73</f>
        <v>416.24556939260134</v>
      </c>
      <c r="G2" s="94">
        <f>Grants!AJ73</f>
        <v>418.07959879999999</v>
      </c>
      <c r="H2" s="94">
        <f>Grants!AK73</f>
        <v>420.94155305132148</v>
      </c>
      <c r="I2" s="94">
        <f>Grants!AL73</f>
        <v>423.8317073014058</v>
      </c>
      <c r="J2" s="94">
        <f>Grants!AM73</f>
        <v>426.75033941630539</v>
      </c>
      <c r="K2" s="94">
        <f>Grants!AN73</f>
        <v>429.69772999999998</v>
      </c>
    </row>
    <row r="3" spans="1:11" x14ac:dyDescent="0.35">
      <c r="A3" t="s">
        <v>122</v>
      </c>
      <c r="B3" t="s">
        <v>182</v>
      </c>
      <c r="C3" s="94">
        <f>Grants!AF94</f>
        <v>75.19614285714286</v>
      </c>
      <c r="D3" s="94">
        <f>Grants!AG94</f>
        <v>75.19614285714286</v>
      </c>
      <c r="E3" s="94">
        <f>Grants!AH94</f>
        <v>75.19614285714286</v>
      </c>
      <c r="F3" s="94">
        <f>Grants!AI94</f>
        <v>75.19614285714286</v>
      </c>
      <c r="G3" s="94">
        <f>Grants!AJ94</f>
        <v>75.19614285714286</v>
      </c>
      <c r="H3" s="94">
        <f>Grants!AK94</f>
        <v>75.19614285714286</v>
      </c>
      <c r="I3" s="94">
        <f>Grants!AL94</f>
        <v>75.19614285714286</v>
      </c>
      <c r="J3" s="94">
        <f>Grants!AM94</f>
        <v>75.19614285714286</v>
      </c>
      <c r="K3" s="94">
        <f>Grants!AN94</f>
        <v>75.19614285714286</v>
      </c>
    </row>
    <row r="4" spans="1:11" x14ac:dyDescent="0.35">
      <c r="A4" t="s">
        <v>183</v>
      </c>
      <c r="B4" t="s">
        <v>184</v>
      </c>
      <c r="C4" s="94">
        <f>'Federal and State Purchases'!AF9</f>
        <v>1972</v>
      </c>
      <c r="D4" s="94">
        <f>'Federal and State Purchases'!AG9</f>
        <v>2081.4984838079768</v>
      </c>
      <c r="E4" s="94">
        <f>'Federal and State Purchases'!AH9</f>
        <v>2084.6110407412175</v>
      </c>
      <c r="F4" s="94">
        <f>'Federal and State Purchases'!AI9</f>
        <v>2092.9132942420906</v>
      </c>
      <c r="G4" s="94">
        <f>'Federal and State Purchases'!AJ9</f>
        <v>2105.8628562712215</v>
      </c>
      <c r="H4" s="94">
        <f>'Federal and State Purchases'!AK9</f>
        <v>2117.6666309812972</v>
      </c>
      <c r="I4" s="94">
        <f>'Federal and State Purchases'!AL9</f>
        <v>2128.6249100188056</v>
      </c>
      <c r="J4" s="94">
        <f>'Federal and State Purchases'!AM9</f>
        <v>2140.1846256950107</v>
      </c>
      <c r="K4" s="94">
        <f>'Federal and State Purchases'!AN9</f>
        <v>2146.2158058654809</v>
      </c>
    </row>
    <row r="5" spans="1:11" x14ac:dyDescent="0.35">
      <c r="A5" t="s">
        <v>185</v>
      </c>
      <c r="B5" t="s">
        <v>186</v>
      </c>
      <c r="C5" s="94">
        <f>'Federal and State Purchases'!AF38</f>
        <v>3374.4</v>
      </c>
      <c r="D5" s="94">
        <f>'Federal and State Purchases'!AG38</f>
        <v>3406.5593473855811</v>
      </c>
      <c r="E5" s="94">
        <f>'Federal and State Purchases'!AH38</f>
        <v>3439.0748496505494</v>
      </c>
      <c r="F5" s="94">
        <f>'Federal and State Purchases'!AI38</f>
        <v>3472.3435009738018</v>
      </c>
      <c r="G5" s="94">
        <f>'Federal and State Purchases'!AJ38</f>
        <v>3502.9953543942324</v>
      </c>
      <c r="H5" s="94">
        <f>'Federal and State Purchases'!AK38</f>
        <v>3535.0005468995864</v>
      </c>
      <c r="I5" s="94">
        <f>'Federal and State Purchases'!AL38</f>
        <v>3566.9283139717318</v>
      </c>
      <c r="J5" s="94">
        <f>'Federal and State Purchases'!AM38</f>
        <v>3597.7200841612057</v>
      </c>
      <c r="K5" s="94">
        <f>'Federal and State Purchases'!AN38</f>
        <v>3628.3831622589087</v>
      </c>
    </row>
    <row r="6" spans="1:11" x14ac:dyDescent="0.35">
      <c r="A6" t="s">
        <v>187</v>
      </c>
      <c r="B6" t="s">
        <v>188</v>
      </c>
      <c r="C6" s="94">
        <f>Subsidies!AF47</f>
        <v>99.45</v>
      </c>
      <c r="D6" s="94">
        <f>Subsidies!AG47</f>
        <v>107.3</v>
      </c>
      <c r="E6" s="94">
        <f>Subsidies!AH47</f>
        <v>107.3</v>
      </c>
      <c r="F6" s="94">
        <f>Subsidies!AI47</f>
        <v>107.3</v>
      </c>
      <c r="G6" s="94">
        <f>Subsidies!AJ47</f>
        <v>107.3</v>
      </c>
      <c r="H6" s="94">
        <f>Subsidies!AK47</f>
        <v>107.3</v>
      </c>
      <c r="I6" s="94">
        <f>Subsidies!AL47</f>
        <v>107.3</v>
      </c>
      <c r="J6" s="94">
        <f>Subsidies!AM47</f>
        <v>107.3</v>
      </c>
      <c r="K6" s="94">
        <f>Subsidies!AN47</f>
        <v>107.3</v>
      </c>
    </row>
    <row r="7" spans="1:11" x14ac:dyDescent="0.35">
      <c r="A7" t="s">
        <v>189</v>
      </c>
      <c r="B7" t="s">
        <v>190</v>
      </c>
      <c r="C7" s="94">
        <f>Subsidies!AF46</f>
        <v>-2.1500000000000004</v>
      </c>
      <c r="D7" s="94">
        <f>Subsidies!AG46</f>
        <v>0</v>
      </c>
      <c r="E7" s="94">
        <f>Subsidies!AH46</f>
        <v>0</v>
      </c>
      <c r="F7" s="94">
        <f>Subsidies!AI46</f>
        <v>0</v>
      </c>
      <c r="G7" s="94">
        <f>Subsidies!AJ46</f>
        <v>0</v>
      </c>
      <c r="H7" s="94">
        <f>Subsidies!AK46</f>
        <v>0</v>
      </c>
      <c r="I7" s="94">
        <f>Subsidies!AL46</f>
        <v>0</v>
      </c>
      <c r="J7" s="94">
        <f>Subsidies!AM46</f>
        <v>0</v>
      </c>
      <c r="K7" s="94">
        <f>Subsidies!AN46</f>
        <v>0</v>
      </c>
    </row>
    <row r="8" spans="1:11" x14ac:dyDescent="0.35">
      <c r="A8" t="s">
        <v>191</v>
      </c>
      <c r="B8" t="s">
        <v>192</v>
      </c>
      <c r="C8" s="94">
        <f>'Unemployment Insurance'!AF20</f>
        <v>2.5999999999999943</v>
      </c>
      <c r="D8" s="94">
        <f>'Unemployment Insurance'!AG20</f>
        <v>0</v>
      </c>
      <c r="E8" s="94">
        <f>'Unemployment Insurance'!AH20</f>
        <v>0</v>
      </c>
      <c r="F8" s="94">
        <f>'Unemployment Insurance'!AI20</f>
        <v>0</v>
      </c>
      <c r="G8" s="94">
        <f>'Unemployment Insurance'!AJ20</f>
        <v>0</v>
      </c>
      <c r="H8" s="94">
        <f>'Unemployment Insurance'!AK20</f>
        <v>0</v>
      </c>
      <c r="I8" s="94">
        <f>'Unemployment Insurance'!AL20</f>
        <v>0</v>
      </c>
      <c r="J8" s="94">
        <f>'Unemployment Insurance'!AM20</f>
        <v>0</v>
      </c>
      <c r="K8" s="94">
        <f>'Unemployment Insurance'!AN20</f>
        <v>0</v>
      </c>
    </row>
    <row r="9" spans="1:11" x14ac:dyDescent="0.35">
      <c r="A9" t="s">
        <v>193</v>
      </c>
      <c r="B9" t="s">
        <v>194</v>
      </c>
      <c r="C9" s="94">
        <f>'Unemployment Insurance'!AF21</f>
        <v>35.700000000000003</v>
      </c>
      <c r="D9" s="94">
        <f>'Unemployment Insurance'!AG21</f>
        <v>35.700000000000003</v>
      </c>
      <c r="E9" s="94">
        <f>'Unemployment Insurance'!AH21</f>
        <v>35.700000000000003</v>
      </c>
      <c r="F9" s="94">
        <f>'Unemployment Insurance'!AI21</f>
        <v>35.700000000000003</v>
      </c>
      <c r="G9" s="94">
        <f>'Unemployment Insurance'!AJ21</f>
        <v>35.700000000000003</v>
      </c>
      <c r="H9" s="94">
        <f>'Unemployment Insurance'!AK21</f>
        <v>36.700000000000003</v>
      </c>
      <c r="I9" s="94">
        <f>'Unemployment Insurance'!AL21</f>
        <v>37.700000000000003</v>
      </c>
      <c r="J9" s="94">
        <f>'Unemployment Insurance'!AM21</f>
        <v>38.700000000000003</v>
      </c>
      <c r="K9" s="94">
        <f>'Unemployment Insurance'!AN21</f>
        <v>39.700000000000003</v>
      </c>
    </row>
    <row r="10" spans="1:11" x14ac:dyDescent="0.35">
      <c r="A10" s="44" t="s">
        <v>195</v>
      </c>
      <c r="B10" s="44" t="s">
        <v>196</v>
      </c>
      <c r="C10" s="94">
        <f>Medicaid!AF33</f>
        <v>705.51799999999992</v>
      </c>
      <c r="D10" s="94">
        <f>Medicaid!AG33</f>
        <v>709.15505560360305</v>
      </c>
      <c r="E10" s="94">
        <f>Medicaid!AH33</f>
        <v>723.59527455193825</v>
      </c>
      <c r="F10" s="94">
        <f>Medicaid!AI33</f>
        <v>738.01625444420506</v>
      </c>
      <c r="G10" s="94">
        <f>Medicaid!AJ33</f>
        <v>729.36284371386807</v>
      </c>
      <c r="H10" s="94">
        <f>Medicaid!AK33</f>
        <v>732.71155875941372</v>
      </c>
      <c r="I10" s="94">
        <f>Medicaid!AL33</f>
        <v>737.41400558680846</v>
      </c>
      <c r="J10" s="94">
        <f>Medicaid!AM33</f>
        <v>742.50534901606557</v>
      </c>
      <c r="K10" s="94">
        <f>Medicaid!AN33</f>
        <v>749.18991940498597</v>
      </c>
    </row>
    <row r="11" spans="1:11" x14ac:dyDescent="0.35">
      <c r="A11" s="44" t="s">
        <v>197</v>
      </c>
      <c r="B11" s="44" t="s">
        <v>198</v>
      </c>
      <c r="C11" s="94">
        <f>Medicaid!AF30</f>
        <v>1078.4000000000001</v>
      </c>
      <c r="D11" s="94">
        <f>Medicaid!AG30</f>
        <v>1093.1629366212339</v>
      </c>
      <c r="E11" s="94">
        <f>Medicaid!AH30</f>
        <v>1113.2648695925188</v>
      </c>
      <c r="F11" s="94">
        <f>Medicaid!AI30</f>
        <v>1136.8283964919679</v>
      </c>
      <c r="G11" s="94">
        <f>Medicaid!AJ30</f>
        <v>1138.6910007857018</v>
      </c>
      <c r="H11" s="94">
        <f>Medicaid!AK30</f>
        <v>1145.5730410275178</v>
      </c>
      <c r="I11" s="94">
        <f>Medicaid!AL30</f>
        <v>1152.5268941483698</v>
      </c>
      <c r="J11" s="94">
        <f>Medicaid!AM30</f>
        <v>1160.5533095030155</v>
      </c>
      <c r="K11" s="94">
        <f>Medicaid!AN30</f>
        <v>1170.7284082425656</v>
      </c>
    </row>
    <row r="12" spans="1:11" x14ac:dyDescent="0.35">
      <c r="A12" t="s">
        <v>46</v>
      </c>
      <c r="B12" t="s">
        <v>199</v>
      </c>
      <c r="C12" s="94">
        <f>Medicare!AF10</f>
        <v>1269.5</v>
      </c>
      <c r="D12" s="94">
        <f>Medicare!AG10</f>
        <v>1304.7202989964987</v>
      </c>
      <c r="E12" s="94">
        <f>Medicare!AH10</f>
        <v>1340.9177302981591</v>
      </c>
      <c r="F12" s="94">
        <f>Medicare!AI10</f>
        <v>1378.1194029179367</v>
      </c>
      <c r="G12" s="94">
        <f>Medicare!AJ10</f>
        <v>1400.841159718721</v>
      </c>
      <c r="H12" s="94">
        <f>Medicare!AK10</f>
        <v>1423.9375417014894</v>
      </c>
      <c r="I12" s="94">
        <f>Medicare!AL10</f>
        <v>1447.4147255025032</v>
      </c>
      <c r="J12" s="94">
        <f>Medicare!AM10</f>
        <v>1471.2789895953731</v>
      </c>
      <c r="K12" s="94">
        <f>Medicare!AN10</f>
        <v>1471.2789895953731</v>
      </c>
    </row>
    <row r="13" spans="1:11" x14ac:dyDescent="0.35">
      <c r="A13" t="s">
        <v>200</v>
      </c>
      <c r="B13" t="s">
        <v>201</v>
      </c>
      <c r="C13" s="94">
        <f>'Rebate Checks (expired)'!AF11</f>
        <v>0</v>
      </c>
      <c r="D13" s="94">
        <f>'Rebate Checks (expired)'!AG11</f>
        <v>0</v>
      </c>
      <c r="E13" s="94">
        <f>'Rebate Checks (expired)'!AH11</f>
        <v>0</v>
      </c>
      <c r="F13" s="94">
        <f>'Rebate Checks (expired)'!AI11</f>
        <v>0</v>
      </c>
      <c r="G13" s="94">
        <f>'Rebate Checks (expired)'!AJ11</f>
        <v>0</v>
      </c>
      <c r="H13" s="94">
        <f>'Rebate Checks (expired)'!AK11</f>
        <v>0</v>
      </c>
      <c r="I13" s="94">
        <f>'Rebate Checks (expired)'!AL11</f>
        <v>0</v>
      </c>
      <c r="J13" s="94">
        <f>'Rebate Checks (expired)'!AM11</f>
        <v>0</v>
      </c>
      <c r="K13" s="94">
        <f>'Rebate Checks (expired)'!AN11</f>
        <v>0</v>
      </c>
    </row>
    <row r="14" spans="1:11" x14ac:dyDescent="0.35">
      <c r="A14" t="s">
        <v>202</v>
      </c>
      <c r="B14" t="s">
        <v>203</v>
      </c>
      <c r="C14" s="94">
        <f>'Rebate Checks (expired)'!AF10</f>
        <v>0</v>
      </c>
      <c r="D14" s="94">
        <f>'Rebate Checks (expired)'!AG10</f>
        <v>0</v>
      </c>
      <c r="E14" s="94">
        <f>'Rebate Checks (expired)'!AH10</f>
        <v>0</v>
      </c>
      <c r="F14" s="94">
        <f>'Rebate Checks (expired)'!AI10</f>
        <v>0</v>
      </c>
      <c r="G14" s="94">
        <f>'Rebate Checks (expired)'!AJ10</f>
        <v>0</v>
      </c>
      <c r="H14" s="94">
        <f>'Rebate Checks (expired)'!AK10</f>
        <v>0</v>
      </c>
      <c r="I14" s="94">
        <f>'Rebate Checks (expired)'!AL10</f>
        <v>0</v>
      </c>
      <c r="J14" s="94">
        <f>'Rebate Checks (expired)'!AM10</f>
        <v>0</v>
      </c>
      <c r="K14" s="94">
        <f>'Rebate Checks (expired)'!AN10</f>
        <v>0</v>
      </c>
    </row>
    <row r="15" spans="1:11" x14ac:dyDescent="0.35">
      <c r="A15" t="s">
        <v>204</v>
      </c>
      <c r="B15" t="s">
        <v>205</v>
      </c>
      <c r="C15" s="94">
        <f>'Social Benefits - old'!AF24</f>
        <v>0.49</v>
      </c>
      <c r="D15" s="94">
        <f>'Social Benefits - old'!AG24</f>
        <v>0</v>
      </c>
      <c r="E15" s="94">
        <f>'Social Benefits - old'!AH24</f>
        <v>0</v>
      </c>
      <c r="F15" s="94">
        <f>'Social Benefits - old'!AI24</f>
        <v>0</v>
      </c>
      <c r="G15" s="94">
        <f>'Social Benefits - old'!AJ24</f>
        <v>0</v>
      </c>
      <c r="H15" s="94">
        <f>'Social Benefits - old'!AK24</f>
        <v>0</v>
      </c>
      <c r="I15" s="94">
        <f>'Social Benefits - old'!AL24</f>
        <v>0</v>
      </c>
      <c r="J15" s="94">
        <f>'Social Benefits - old'!AM24</f>
        <v>0</v>
      </c>
      <c r="K15" s="94">
        <f>'Social Benefits - old'!AN24</f>
        <v>0</v>
      </c>
    </row>
    <row r="16" spans="1:11" x14ac:dyDescent="0.35">
      <c r="A16" t="s">
        <v>760</v>
      </c>
      <c r="B16" t="s">
        <v>207</v>
      </c>
      <c r="C16" s="94">
        <f>'Social Benefits - old'!AF30</f>
        <v>1.671</v>
      </c>
      <c r="D16" s="94">
        <f>'Social Benefits - old'!AG30</f>
        <v>0</v>
      </c>
      <c r="E16" s="94">
        <f>'Social Benefits - old'!AH30</f>
        <v>0</v>
      </c>
      <c r="F16" s="94">
        <f>'Social Benefits - old'!AI30</f>
        <v>0</v>
      </c>
      <c r="G16" s="94">
        <f>'Social Benefits - old'!AJ30</f>
        <v>0</v>
      </c>
      <c r="H16" s="94">
        <f>'Social Benefits - old'!AK30</f>
        <v>0</v>
      </c>
      <c r="I16" s="94">
        <f>'Social Benefits - old'!AL30</f>
        <v>0</v>
      </c>
      <c r="J16" s="94">
        <f>'Social Benefits - old'!AM30</f>
        <v>0</v>
      </c>
      <c r="K16" s="94">
        <f>'Social Benefits - old'!AN30</f>
        <v>0</v>
      </c>
    </row>
    <row r="17" spans="1:11" x14ac:dyDescent="0.35">
      <c r="A17" t="s">
        <v>208</v>
      </c>
      <c r="B17" t="s">
        <v>209</v>
      </c>
      <c r="C17" s="94">
        <f>'Social Benefits'!AF33</f>
        <v>2372.4390000000003</v>
      </c>
      <c r="D17" s="94">
        <f>'Social Benefits'!AG33</f>
        <v>2450.520305812156</v>
      </c>
      <c r="E17" s="94">
        <f>'Social Benefits'!AH33</f>
        <v>2471.9061274283686</v>
      </c>
      <c r="F17" s="94">
        <f>'Social Benefits'!AI33</f>
        <v>2495.1317959999997</v>
      </c>
      <c r="G17" s="94">
        <f>'Social Benefits'!AJ33</f>
        <v>2510.3156841391078</v>
      </c>
      <c r="H17" s="94">
        <f>'Social Benefits'!AK33</f>
        <v>2572.2803076107643</v>
      </c>
      <c r="I17" s="94">
        <f>'Social Benefits'!AL33</f>
        <v>2595.8498203077879</v>
      </c>
      <c r="J17" s="94">
        <f>'Social Benefits'!AM33</f>
        <v>2619.5367723080017</v>
      </c>
      <c r="K17" s="94">
        <f>'Social Benefits'!AN33</f>
        <v>2621.6976048540637</v>
      </c>
    </row>
    <row r="18" spans="1:11" x14ac:dyDescent="0.35">
      <c r="A18" t="s">
        <v>210</v>
      </c>
      <c r="B18" t="s">
        <v>211</v>
      </c>
      <c r="C18" s="94">
        <f>'Social Benefits'!AF38</f>
        <v>223.32467758610193</v>
      </c>
      <c r="D18" s="94">
        <f>'Social Benefits'!AG38</f>
        <v>226.5524711120764</v>
      </c>
      <c r="E18" s="94">
        <f>'Social Benefits'!AH38</f>
        <v>229.82691712249164</v>
      </c>
      <c r="F18" s="94">
        <f>'Social Benefits'!AI38</f>
        <v>233.14868990282685</v>
      </c>
      <c r="G18" s="94">
        <f>'Social Benefits'!AJ38</f>
        <v>236.51847348425676</v>
      </c>
      <c r="H18" s="94">
        <f>'Social Benefits'!AK38</f>
        <v>239.93696178450969</v>
      </c>
      <c r="I18" s="94">
        <f>'Social Benefits'!AL38</f>
        <v>243.40485875076158</v>
      </c>
      <c r="J18" s="94">
        <f>'Social Benefits'!AM38</f>
        <v>246.92287850459525</v>
      </c>
      <c r="K18" s="94">
        <f>'Social Benefits'!AN38</f>
        <v>250.49174548905481</v>
      </c>
    </row>
    <row r="19" spans="1:11" x14ac:dyDescent="0.35">
      <c r="A19" t="s">
        <v>212</v>
      </c>
      <c r="B19" t="s">
        <v>213</v>
      </c>
      <c r="C19" s="94">
        <f>Taxes!AF9</f>
        <v>5136.9000000000005</v>
      </c>
      <c r="D19" s="94">
        <f>Taxes!AG9</f>
        <v>5083.4035395912024</v>
      </c>
      <c r="E19" s="94">
        <f>Taxes!AH9</f>
        <v>5104.382523722551</v>
      </c>
      <c r="F19" s="94">
        <f>Taxes!AI9</f>
        <v>5143.5171824534737</v>
      </c>
      <c r="G19" s="94">
        <f>Taxes!AJ9</f>
        <v>5172.4494522309542</v>
      </c>
      <c r="H19" s="94">
        <f>Taxes!AK9</f>
        <v>5414.3876569918202</v>
      </c>
      <c r="I19" s="94">
        <f>Taxes!AL9</f>
        <v>5444.6542243154609</v>
      </c>
      <c r="J19" s="94">
        <f>Taxes!AM9</f>
        <v>5475.1712566780307</v>
      </c>
      <c r="K19" s="94">
        <f>Taxes!AN9</f>
        <v>5505.1727179686422</v>
      </c>
    </row>
    <row r="20" spans="1:11" x14ac:dyDescent="0.35">
      <c r="A20" t="s">
        <v>214</v>
      </c>
      <c r="B20" t="s">
        <v>215</v>
      </c>
      <c r="C20" s="94">
        <f>Taxes!AF24</f>
        <v>2564.3999999999996</v>
      </c>
      <c r="D20" s="94">
        <f>Taxes!AG24</f>
        <v>2587.0956271646055</v>
      </c>
      <c r="E20" s="94">
        <f>Taxes!AH24</f>
        <v>2620.2518439313071</v>
      </c>
      <c r="F20" s="94">
        <f>Taxes!AI24</f>
        <v>2650.1216841840487</v>
      </c>
      <c r="G20" s="94">
        <f>Taxes!AJ24</f>
        <v>2678.1766203815573</v>
      </c>
      <c r="H20" s="94">
        <f>Taxes!AK24</f>
        <v>2703.7773350444977</v>
      </c>
      <c r="I20" s="94">
        <f>Taxes!AL24</f>
        <v>2729.4359962967014</v>
      </c>
      <c r="J20" s="94">
        <f>Taxes!AM24</f>
        <v>2756.1492686552156</v>
      </c>
      <c r="K20" s="94">
        <f>Taxes!AN24</f>
        <v>2783.2012152323091</v>
      </c>
    </row>
    <row r="21" spans="1:11" x14ac:dyDescent="0.35">
      <c r="A21" t="s">
        <v>216</v>
      </c>
      <c r="B21" t="s">
        <v>217</v>
      </c>
      <c r="C21" s="94">
        <f>Taxes!AF19</f>
        <v>457.71681387337446</v>
      </c>
      <c r="D21" s="94">
        <f>Taxes!AG19</f>
        <v>445.02107513037333</v>
      </c>
      <c r="E21" s="94">
        <f>Taxes!AH19</f>
        <v>432.67747940975011</v>
      </c>
      <c r="F21" s="94">
        <f>Taxes!AI19</f>
        <v>420.67625928396706</v>
      </c>
      <c r="G21" s="94">
        <f>Taxes!AJ19</f>
        <v>439.00791824563726</v>
      </c>
      <c r="H21" s="94">
        <f>Taxes!AK19</f>
        <v>443.11183920870417</v>
      </c>
      <c r="I21" s="94">
        <f>Taxes!AL19</f>
        <v>447.25412432551667</v>
      </c>
      <c r="J21" s="94">
        <f>Taxes!AM19</f>
        <v>451.43513223073313</v>
      </c>
      <c r="K21" s="94">
        <f>Taxes!AN19</f>
        <v>455.65522491158993</v>
      </c>
    </row>
    <row r="22" spans="1:11" x14ac:dyDescent="0.35">
      <c r="A22" t="s">
        <v>218</v>
      </c>
      <c r="B22" t="s">
        <v>219</v>
      </c>
      <c r="C22" s="94">
        <f>Taxes!AF30</f>
        <v>163.11320291351547</v>
      </c>
      <c r="D22" s="94">
        <f>Taxes!AG30</f>
        <v>166.42552395836239</v>
      </c>
      <c r="E22" s="94">
        <f>Taxes!AH30</f>
        <v>166.94191108754498</v>
      </c>
      <c r="F22" s="94">
        <f>Taxes!AI30</f>
        <v>167.56064521530433</v>
      </c>
      <c r="G22" s="94">
        <f>Taxes!AJ30</f>
        <v>168.61202801886526</v>
      </c>
      <c r="H22" s="94">
        <f>Taxes!AK30</f>
        <v>168.0956408896827</v>
      </c>
      <c r="I22" s="94">
        <f>Taxes!AL30</f>
        <v>168.17472720676471</v>
      </c>
      <c r="J22" s="94">
        <f>Taxes!AM30</f>
        <v>167.96072893701336</v>
      </c>
      <c r="K22" s="94">
        <f>Taxes!AN30</f>
        <v>169.12841514804788</v>
      </c>
    </row>
    <row r="23" spans="1:11" x14ac:dyDescent="0.35">
      <c r="A23" s="44" t="s">
        <v>1336</v>
      </c>
      <c r="B23" t="s">
        <v>1335</v>
      </c>
      <c r="C23" s="94">
        <f>'Student loans'!AF12</f>
        <v>-8.2824600000000004</v>
      </c>
      <c r="D23" s="94">
        <f>'Student loans'!AG12</f>
        <v>-8.2824600000000004</v>
      </c>
      <c r="E23" s="94">
        <f>'Student loans'!AH12</f>
        <v>-8.2824600000000004</v>
      </c>
      <c r="F23" s="94">
        <f>'Student loans'!AI12</f>
        <v>-11</v>
      </c>
      <c r="G23" s="94">
        <f>'Student loans'!AJ12</f>
        <v>-11</v>
      </c>
      <c r="H23" s="94">
        <f>'Student loans'!AK12</f>
        <v>-11</v>
      </c>
      <c r="I23" s="94">
        <f>'Student loans'!AL12</f>
        <v>-11</v>
      </c>
      <c r="J23" s="94">
        <f>'Student loans'!AM12</f>
        <v>0</v>
      </c>
      <c r="K23" s="94">
        <f>'Student loans'!AN12</f>
        <v>0</v>
      </c>
    </row>
    <row r="24" spans="1:11" x14ac:dyDescent="0.35">
      <c r="A24" s="86" t="s">
        <v>1879</v>
      </c>
      <c r="B24" t="s">
        <v>1829</v>
      </c>
      <c r="C24" s="94">
        <f>'Supply Side IRA'!AF14</f>
        <v>110.46937591911095</v>
      </c>
      <c r="D24" s="94">
        <f>'Supply Side IRA'!AG14</f>
        <v>135.97182842260295</v>
      </c>
      <c r="E24" s="94">
        <f>'Supply Side IRA'!AH14</f>
        <v>156.94525100353175</v>
      </c>
      <c r="F24" s="94">
        <f>'Supply Side IRA'!AI14</f>
        <v>164.88583552683707</v>
      </c>
      <c r="G24" s="94">
        <f>'Supply Side IRA'!AJ14</f>
        <v>162.64301630961299</v>
      </c>
      <c r="H24" s="94">
        <f>'Supply Side IRA'!AK14</f>
        <v>143.14010561620299</v>
      </c>
      <c r="I24" s="94">
        <f>'Supply Side IRA'!AL14</f>
        <v>115.32293792520704</v>
      </c>
      <c r="J24" s="94">
        <f>'Supply Side IRA'!AM14</f>
        <v>85.082359675258374</v>
      </c>
      <c r="K24" s="94">
        <f>'Supply Side IRA'!AN14</f>
        <v>50.689050541146102</v>
      </c>
    </row>
    <row r="25" spans="1:11" x14ac:dyDescent="0.35">
      <c r="A25" s="53" t="s">
        <v>1919</v>
      </c>
      <c r="B25" t="s">
        <v>1920</v>
      </c>
      <c r="C25" s="239">
        <f>Uncertainty!AA10</f>
        <v>0</v>
      </c>
      <c r="D25" s="239">
        <f>Uncertainty!AB10</f>
        <v>0.06</v>
      </c>
      <c r="E25" s="239">
        <f>Uncertainty!AC10</f>
        <v>0.06</v>
      </c>
      <c r="F25" s="239">
        <f>Uncertainty!AD10</f>
        <v>0.06</v>
      </c>
      <c r="G25" s="239">
        <f>Uncertainty!AE10</f>
        <v>0.06</v>
      </c>
      <c r="H25" s="239">
        <f>Uncertainty!AF10</f>
        <v>0.06</v>
      </c>
      <c r="I25" s="239">
        <f>Uncertainty!AG10</f>
        <v>0.06</v>
      </c>
      <c r="J25" s="239">
        <f>Uncertainty!AH10</f>
        <v>0</v>
      </c>
      <c r="K25" s="239">
        <f>Uncertainty!AI10</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0"/>
  <sheetViews>
    <sheetView zoomScale="110" zoomScaleNormal="110" workbookViewId="0">
      <pane xSplit="3" ySplit="4" topLeftCell="AC5" activePane="bottomRight" state="frozen"/>
      <selection pane="topRight" activeCell="D1" sqref="D1"/>
      <selection pane="bottomLeft" activeCell="A5" sqref="A5"/>
      <selection pane="bottomRight" activeCell="AG30" sqref="AG3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87" t="s">
        <v>1654</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40" x14ac:dyDescent="0.35">
      <c r="B2" s="1388" t="s">
        <v>1903</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row>
    <row r="3" spans="2:40"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row>
    <row r="4" spans="2:40"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row>
    <row r="5" spans="2:40" x14ac:dyDescent="0.35">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row>
    <row r="6" spans="2:40" x14ac:dyDescent="0.35">
      <c r="B6" s="44"/>
      <c r="C6" s="315"/>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row>
    <row r="7" spans="2:40" ht="14.5" customHeight="1" x14ac:dyDescent="0.35">
      <c r="B7" s="1401" t="s">
        <v>2063</v>
      </c>
      <c r="C7" s="1401"/>
      <c r="D7" s="1402"/>
      <c r="E7" s="1402"/>
      <c r="F7" s="1402"/>
      <c r="G7" s="242"/>
      <c r="H7" s="242"/>
      <c r="I7" s="242"/>
      <c r="J7" s="242"/>
      <c r="K7" s="242"/>
      <c r="L7" s="242"/>
      <c r="M7" s="242"/>
      <c r="N7" s="242"/>
      <c r="O7" s="242"/>
      <c r="P7" s="242"/>
      <c r="Q7" s="242"/>
      <c r="R7" s="242"/>
      <c r="S7" s="242"/>
      <c r="T7" s="242"/>
      <c r="U7" s="242"/>
      <c r="V7" s="242"/>
      <c r="W7" s="242"/>
      <c r="X7" s="242"/>
      <c r="Y7" s="242"/>
      <c r="Z7" s="242"/>
      <c r="AA7" s="242"/>
      <c r="AB7" s="242"/>
      <c r="AC7" s="242"/>
    </row>
    <row r="8" spans="2:40" x14ac:dyDescent="0.35">
      <c r="B8" s="1389" t="s">
        <v>1668</v>
      </c>
      <c r="C8" s="1390"/>
      <c r="D8" s="1409" t="s">
        <v>246</v>
      </c>
      <c r="E8" s="1410"/>
      <c r="F8" s="1410"/>
      <c r="G8" s="1410"/>
      <c r="H8" s="1410"/>
      <c r="I8" s="1410"/>
      <c r="J8" s="1410"/>
      <c r="K8" s="1410"/>
      <c r="L8" s="1410"/>
      <c r="M8" s="1410"/>
      <c r="N8" s="1410"/>
      <c r="O8" s="1410"/>
      <c r="P8" s="1410"/>
      <c r="Q8" s="1410"/>
      <c r="R8" s="1410"/>
      <c r="S8" s="1410"/>
      <c r="T8" s="1410"/>
      <c r="U8" s="1410"/>
      <c r="V8" s="1411"/>
      <c r="W8" s="291"/>
      <c r="X8" s="260"/>
      <c r="Y8" s="260"/>
      <c r="Z8" s="260"/>
      <c r="AA8" s="260"/>
      <c r="AB8" s="259"/>
      <c r="AC8" s="260"/>
      <c r="AD8" s="260"/>
      <c r="AE8" s="260"/>
      <c r="AF8" s="260"/>
      <c r="AG8" s="1419" t="s">
        <v>1693</v>
      </c>
      <c r="AH8" s="1420"/>
      <c r="AI8" s="1420"/>
      <c r="AJ8" s="1420"/>
      <c r="AK8" s="1420"/>
      <c r="AL8" s="1420"/>
      <c r="AM8" s="1420"/>
      <c r="AN8" s="1421"/>
    </row>
    <row r="9" spans="2:40" x14ac:dyDescent="0.35">
      <c r="B9" s="1391"/>
      <c r="C9" s="1392"/>
      <c r="D9" s="289">
        <v>2018</v>
      </c>
      <c r="E9" s="1398">
        <v>2019</v>
      </c>
      <c r="F9" s="1399"/>
      <c r="G9" s="1399"/>
      <c r="H9" s="1400"/>
      <c r="I9" s="1398">
        <v>2020</v>
      </c>
      <c r="J9" s="1399"/>
      <c r="K9" s="1399"/>
      <c r="L9" s="1400"/>
      <c r="M9" s="1398">
        <v>2021</v>
      </c>
      <c r="N9" s="1399"/>
      <c r="O9" s="1399"/>
      <c r="P9" s="1400"/>
      <c r="Q9" s="1417">
        <v>2022</v>
      </c>
      <c r="R9" s="1418"/>
      <c r="S9" s="277"/>
      <c r="T9" s="279"/>
      <c r="U9" s="283"/>
      <c r="V9" s="277">
        <v>2023</v>
      </c>
      <c r="W9" s="277"/>
      <c r="X9" s="279"/>
      <c r="Y9" s="283"/>
      <c r="Z9" s="277">
        <v>2024</v>
      </c>
      <c r="AA9" s="277"/>
      <c r="AB9" s="279"/>
      <c r="AC9" s="1395">
        <v>2025</v>
      </c>
      <c r="AD9" s="1396"/>
      <c r="AE9" s="1396"/>
      <c r="AF9" s="1397"/>
      <c r="AG9" s="1422">
        <v>2026</v>
      </c>
      <c r="AH9" s="1422"/>
      <c r="AI9" s="1422"/>
      <c r="AJ9" s="1423"/>
      <c r="AK9" s="1412">
        <v>2027</v>
      </c>
      <c r="AL9" s="1424"/>
      <c r="AM9" s="1424"/>
      <c r="AN9" s="1414"/>
    </row>
    <row r="10" spans="2:40" x14ac:dyDescent="0.35">
      <c r="B10" s="1393"/>
      <c r="C10" s="1394"/>
      <c r="D10" s="290" t="s">
        <v>248</v>
      </c>
      <c r="E10" s="272" t="s">
        <v>249</v>
      </c>
      <c r="F10" s="273" t="s">
        <v>250</v>
      </c>
      <c r="G10" s="273" t="s">
        <v>226</v>
      </c>
      <c r="H10" s="271" t="s">
        <v>248</v>
      </c>
      <c r="I10" s="272" t="s">
        <v>249</v>
      </c>
      <c r="J10" s="273" t="s">
        <v>250</v>
      </c>
      <c r="K10" s="273" t="s">
        <v>226</v>
      </c>
      <c r="L10" s="271"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3" t="s">
        <v>250</v>
      </c>
      <c r="AE10" s="273" t="s">
        <v>226</v>
      </c>
      <c r="AF10" s="246" t="s">
        <v>248</v>
      </c>
      <c r="AG10" s="270" t="s">
        <v>249</v>
      </c>
      <c r="AH10" s="269" t="s">
        <v>250</v>
      </c>
      <c r="AI10" s="270" t="s">
        <v>226</v>
      </c>
      <c r="AJ10" s="276" t="s">
        <v>248</v>
      </c>
      <c r="AK10" s="275" t="s">
        <v>249</v>
      </c>
      <c r="AL10" s="269" t="s">
        <v>250</v>
      </c>
      <c r="AM10" s="270" t="s">
        <v>226</v>
      </c>
      <c r="AN10" s="276" t="s">
        <v>248</v>
      </c>
    </row>
    <row r="11" spans="2:40" x14ac:dyDescent="0.35">
      <c r="B11" s="1406" t="s">
        <v>1678</v>
      </c>
      <c r="C11" s="1407"/>
      <c r="D11" s="1407"/>
      <c r="E11" s="1407"/>
      <c r="F11" s="1407"/>
      <c r="G11" s="1407"/>
      <c r="H11" s="1407"/>
      <c r="I11" s="1407"/>
      <c r="J11" s="1407"/>
      <c r="K11" s="1407"/>
      <c r="L11" s="1407"/>
      <c r="M11" s="1407"/>
      <c r="N11" s="1407"/>
      <c r="O11" s="1407"/>
      <c r="P11" s="1407"/>
      <c r="Q11" s="1407"/>
      <c r="R11" s="1407"/>
      <c r="S11" s="1407"/>
      <c r="T11" s="1407"/>
      <c r="U11" s="1407"/>
      <c r="V11" s="1407"/>
      <c r="W11" s="1407"/>
      <c r="X11" s="1407"/>
      <c r="Y11" s="1407"/>
      <c r="Z11" s="1407"/>
      <c r="AA11" s="1407"/>
      <c r="AB11" s="1407"/>
      <c r="AC11" s="1407"/>
      <c r="AD11" s="1407"/>
      <c r="AE11" s="1407"/>
      <c r="AF11" s="1407"/>
      <c r="AG11" s="1407"/>
      <c r="AH11" s="1407"/>
      <c r="AI11" s="1407"/>
      <c r="AJ11" s="1407"/>
      <c r="AK11" s="1407"/>
      <c r="AL11" s="1407"/>
      <c r="AM11" s="1407"/>
      <c r="AN11" s="1408"/>
    </row>
    <row r="12" spans="2:40" x14ac:dyDescent="0.35">
      <c r="B12" s="325" t="s">
        <v>1657</v>
      </c>
      <c r="C12" s="326"/>
      <c r="D12" s="320">
        <f t="shared" ref="D12:T12" si="0">D37</f>
        <v>1.5264497223703488E-2</v>
      </c>
      <c r="E12" s="320">
        <f t="shared" si="0"/>
        <v>8.1697245486058723E-3</v>
      </c>
      <c r="F12" s="320">
        <f t="shared" si="0"/>
        <v>2.2550676192391039E-2</v>
      </c>
      <c r="G12" s="320">
        <f t="shared" si="0"/>
        <v>9.6649063963889503E-3</v>
      </c>
      <c r="H12" s="320">
        <f t="shared" si="0"/>
        <v>1.5834666967584843E-2</v>
      </c>
      <c r="I12" s="320">
        <f t="shared" si="0"/>
        <v>1.398472116299887E-2</v>
      </c>
      <c r="J12" s="320">
        <f t="shared" si="0"/>
        <v>-1.6290922867593594E-2</v>
      </c>
      <c r="K12" s="320">
        <f t="shared" si="0"/>
        <v>3.182941009785667E-2</v>
      </c>
      <c r="L12" s="320">
        <f t="shared" si="0"/>
        <v>2.0531079943568287E-2</v>
      </c>
      <c r="M12" s="320">
        <f t="shared" si="0"/>
        <v>4.6259769596319167E-2</v>
      </c>
      <c r="N12" s="320">
        <f t="shared" si="0"/>
        <v>6.2089658422959992E-2</v>
      </c>
      <c r="O12" s="320">
        <f t="shared" si="0"/>
        <v>5.5508212716382843E-2</v>
      </c>
      <c r="P12" s="320">
        <f t="shared" si="0"/>
        <v>6.8406234442675462E-2</v>
      </c>
      <c r="Q12" s="320">
        <f t="shared" si="0"/>
        <v>7.742705327863586E-2</v>
      </c>
      <c r="R12" s="320">
        <f t="shared" si="0"/>
        <v>7.5139123008111541E-2</v>
      </c>
      <c r="S12" s="320">
        <f t="shared" si="0"/>
        <v>4.6725621566807929E-2</v>
      </c>
      <c r="T12" s="92">
        <f t="shared" si="0"/>
        <v>4.1313686992258125E-2</v>
      </c>
      <c r="U12" s="320">
        <f t="shared" ref="U12:AN12" si="1">U37+U13</f>
        <v>3.8869792340713749E-2</v>
      </c>
      <c r="V12" s="320">
        <f t="shared" si="1"/>
        <v>2.9900048340679719E-2</v>
      </c>
      <c r="W12" s="320">
        <f t="shared" si="1"/>
        <v>2.7197097739632303E-2</v>
      </c>
      <c r="X12" s="320">
        <f t="shared" si="1"/>
        <v>1.8205784333801489E-2</v>
      </c>
      <c r="Y12" s="320">
        <f t="shared" si="1"/>
        <v>3.5883455903872097E-2</v>
      </c>
      <c r="Z12" s="320">
        <f t="shared" si="1"/>
        <v>2.5920602654290859E-2</v>
      </c>
      <c r="AA12" s="320">
        <f t="shared" si="1"/>
        <v>1.6994176467119759E-2</v>
      </c>
      <c r="AB12" s="320">
        <f t="shared" si="1"/>
        <v>2.5183970842212799E-2</v>
      </c>
      <c r="AC12" s="320">
        <f t="shared" si="1"/>
        <v>3.4305169484664777E-2</v>
      </c>
      <c r="AD12" s="320">
        <f t="shared" si="1"/>
        <v>2.1319930704590595E-2</v>
      </c>
      <c r="AE12" s="320">
        <f t="shared" si="1"/>
        <v>2.7779566856004356E-2</v>
      </c>
      <c r="AF12" s="320">
        <f t="shared" si="1"/>
        <v>2.9160389105328255E-2</v>
      </c>
      <c r="AG12" s="91">
        <f t="shared" si="1"/>
        <v>2.9531956897792533E-2</v>
      </c>
      <c r="AH12" s="91">
        <f t="shared" si="1"/>
        <v>2.7783100781153536E-2</v>
      </c>
      <c r="AI12" s="320">
        <f t="shared" si="1"/>
        <v>2.632046566061419E-2</v>
      </c>
      <c r="AJ12" s="320">
        <f t="shared" si="1"/>
        <v>2.4502721609652056E-2</v>
      </c>
      <c r="AK12" s="91">
        <f t="shared" si="1"/>
        <v>2.3711694719535714E-2</v>
      </c>
      <c r="AL12" s="91">
        <f t="shared" si="1"/>
        <v>2.3109454857497935E-2</v>
      </c>
      <c r="AM12" s="91">
        <f t="shared" si="1"/>
        <v>2.2634200570029295E-2</v>
      </c>
      <c r="AN12" s="91">
        <f t="shared" si="1"/>
        <v>2.2234548761409956E-2</v>
      </c>
    </row>
    <row r="13" spans="2:40" x14ac:dyDescent="0.35">
      <c r="B13" s="330" t="s">
        <v>1688</v>
      </c>
      <c r="C13" s="327"/>
      <c r="D13" s="328"/>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264"/>
      <c r="AF13" s="329"/>
      <c r="AG13" s="91"/>
      <c r="AH13" s="91"/>
      <c r="AI13" s="91"/>
      <c r="AJ13" s="91"/>
    </row>
    <row r="14" spans="2:40" x14ac:dyDescent="0.35">
      <c r="B14" s="286" t="s">
        <v>1658</v>
      </c>
      <c r="C14" s="326"/>
      <c r="D14" s="91">
        <f t="shared" ref="D14:S14" si="2">D40</f>
        <v>2.9477765289275926E-2</v>
      </c>
      <c r="E14" s="91">
        <f t="shared" si="2"/>
        <v>3.7241332054374521E-2</v>
      </c>
      <c r="F14" s="91">
        <f t="shared" si="2"/>
        <v>-2.6356011696502479E-2</v>
      </c>
      <c r="G14" s="91">
        <f t="shared" si="2"/>
        <v>3.7347692764231333E-3</v>
      </c>
      <c r="H14" s="91">
        <f t="shared" si="2"/>
        <v>1.463826004028701E-2</v>
      </c>
      <c r="I14" s="91">
        <f t="shared" si="2"/>
        <v>1.4275387943780471E-2</v>
      </c>
      <c r="J14" s="91">
        <f t="shared" si="2"/>
        <v>2.5195154629420458E-3</v>
      </c>
      <c r="K14" s="91">
        <f t="shared" si="2"/>
        <v>2.2871705018509658E-2</v>
      </c>
      <c r="L14" s="91">
        <f t="shared" si="2"/>
        <v>2.9852273201620649E-2</v>
      </c>
      <c r="M14" s="91">
        <f t="shared" si="2"/>
        <v>2.99772868852346E-2</v>
      </c>
      <c r="N14" s="91">
        <f t="shared" si="2"/>
        <v>4.2602775098660173E-2</v>
      </c>
      <c r="O14" s="91">
        <f t="shared" si="2"/>
        <v>4.7233087877772695E-2</v>
      </c>
      <c r="P14" s="91">
        <f t="shared" si="2"/>
        <v>5.0505523585730794E-2</v>
      </c>
      <c r="Q14" s="91">
        <f t="shared" si="2"/>
        <v>6.4700403373982418E-2</v>
      </c>
      <c r="R14" s="91">
        <f t="shared" si="2"/>
        <v>7.4764894212443034E-2</v>
      </c>
      <c r="S14" s="91">
        <f t="shared" si="2"/>
        <v>5.544143577043914E-2</v>
      </c>
      <c r="T14" s="91">
        <f>T40</f>
        <v>3.9575517928537751E-2</v>
      </c>
      <c r="U14" s="91">
        <f t="shared" ref="U14:AN14" si="3">U40+U15</f>
        <v>4.5412323861687698E-2</v>
      </c>
      <c r="V14" s="91">
        <f t="shared" si="3"/>
        <v>2.6592008102096942E-2</v>
      </c>
      <c r="W14" s="91">
        <f t="shared" si="3"/>
        <v>3.8147441352797351E-2</v>
      </c>
      <c r="X14" s="91">
        <f t="shared" si="3"/>
        <v>2.8436472596681917E-2</v>
      </c>
      <c r="Y14" s="91">
        <f t="shared" si="3"/>
        <v>4.16921442287852E-2</v>
      </c>
      <c r="Z14" s="91">
        <f t="shared" si="3"/>
        <v>3.0678949423154522E-2</v>
      </c>
      <c r="AA14" s="91">
        <f t="shared" si="3"/>
        <v>2.4202628399076165E-2</v>
      </c>
      <c r="AB14" s="91">
        <f t="shared" si="3"/>
        <v>2.4089829828513931E-2</v>
      </c>
      <c r="AC14" s="91">
        <f t="shared" si="3"/>
        <v>5.8662778552820427E-2</v>
      </c>
      <c r="AD14" s="91">
        <f t="shared" si="3"/>
        <v>7.0070534646659466E-2</v>
      </c>
      <c r="AE14" s="91">
        <f t="shared" si="3"/>
        <v>4.2228960884486577E-2</v>
      </c>
      <c r="AF14" s="91">
        <f t="shared" si="3"/>
        <v>0.15630868266795428</v>
      </c>
      <c r="AG14" s="90">
        <f t="shared" si="3"/>
        <v>-8.0220022125805354E-2</v>
      </c>
      <c r="AH14" s="90">
        <f t="shared" si="3"/>
        <v>3.1679652743542119E-2</v>
      </c>
      <c r="AI14" s="91">
        <f t="shared" si="3"/>
        <v>3.3662183284603131E-2</v>
      </c>
      <c r="AJ14" s="90">
        <f t="shared" si="3"/>
        <v>2.0594748711123989E-2</v>
      </c>
      <c r="AK14" s="90">
        <f t="shared" si="3"/>
        <v>1.954727626306374E-2</v>
      </c>
      <c r="AL14" s="90">
        <f t="shared" si="3"/>
        <v>1.5319549886040784E-2</v>
      </c>
      <c r="AM14" s="90">
        <f t="shared" si="3"/>
        <v>1.7682384789155625E-2</v>
      </c>
      <c r="AN14" s="90">
        <f t="shared" si="3"/>
        <v>1.8731577912187047E-2</v>
      </c>
    </row>
    <row r="15" spans="2:40" x14ac:dyDescent="0.35">
      <c r="B15" s="280" t="s">
        <v>1689</v>
      </c>
      <c r="C15" s="327"/>
      <c r="D15" s="328"/>
      <c r="E15" s="329"/>
      <c r="F15" s="329"/>
      <c r="G15" s="329"/>
      <c r="H15" s="329"/>
      <c r="I15" s="329"/>
      <c r="J15" s="329"/>
      <c r="K15" s="329"/>
      <c r="L15" s="329"/>
      <c r="M15" s="329"/>
      <c r="N15" s="329"/>
      <c r="O15" s="329"/>
      <c r="P15" s="329"/>
      <c r="Q15" s="329"/>
      <c r="R15" s="329"/>
      <c r="S15" s="329"/>
      <c r="T15" s="329"/>
      <c r="U15" s="329"/>
      <c r="V15" s="329"/>
      <c r="W15" s="329"/>
      <c r="X15" s="329"/>
      <c r="Y15" s="329"/>
      <c r="Z15" s="329"/>
      <c r="AA15" s="329"/>
      <c r="AB15" s="329"/>
      <c r="AC15" s="329"/>
      <c r="AD15" s="329"/>
      <c r="AE15" s="329"/>
      <c r="AF15" s="329"/>
      <c r="AG15" s="91">
        <v>-1.7000000000000001E-2</v>
      </c>
      <c r="AH15" s="91"/>
      <c r="AI15" s="91"/>
      <c r="AJ15" s="91"/>
    </row>
    <row r="16" spans="2:40" x14ac:dyDescent="0.35">
      <c r="B16" s="286" t="s">
        <v>1659</v>
      </c>
      <c r="C16" s="326"/>
      <c r="D16" s="91">
        <f t="shared" ref="D16:T16" si="4">D41</f>
        <v>1.7606158659444704E-2</v>
      </c>
      <c r="E16" s="91">
        <f t="shared" si="4"/>
        <v>-1.9289094877951052E-2</v>
      </c>
      <c r="F16" s="91">
        <f t="shared" si="4"/>
        <v>3.0411677963670725E-2</v>
      </c>
      <c r="G16" s="91">
        <f t="shared" si="4"/>
        <v>1.5793384791695786E-2</v>
      </c>
      <c r="H16" s="91">
        <f t="shared" si="4"/>
        <v>2.3589262537388134E-2</v>
      </c>
      <c r="I16" s="91">
        <f t="shared" si="4"/>
        <v>5.0192200282243693E-2</v>
      </c>
      <c r="J16" s="91">
        <f t="shared" si="4"/>
        <v>-9.905671237276148E-3</v>
      </c>
      <c r="K16" s="91">
        <f t="shared" si="4"/>
        <v>6.7238505497134282E-2</v>
      </c>
      <c r="L16" s="91">
        <f t="shared" si="4"/>
        <v>2.2210921490097402E-2</v>
      </c>
      <c r="M16" s="91">
        <f t="shared" si="4"/>
        <v>9.1290580594244775E-2</v>
      </c>
      <c r="N16" s="91">
        <f t="shared" si="4"/>
        <v>8.2966532725909037E-2</v>
      </c>
      <c r="O16" s="91">
        <f t="shared" si="4"/>
        <v>9.4069065603701096E-2</v>
      </c>
      <c r="P16" s="91">
        <f t="shared" si="4"/>
        <v>7.2033131126310934E-2</v>
      </c>
      <c r="Q16" s="91">
        <f t="shared" si="4"/>
        <v>9.1346782551856576E-2</v>
      </c>
      <c r="R16" s="91">
        <f t="shared" si="4"/>
        <v>0.13858127609627813</v>
      </c>
      <c r="S16" s="91">
        <f t="shared" si="4"/>
        <v>9.1801004871510106E-3</v>
      </c>
      <c r="T16" s="91">
        <f t="shared" si="4"/>
        <v>3.1488358725796139E-2</v>
      </c>
      <c r="U16" s="314">
        <f t="shared" ref="U16:AN16" si="5">U41+U17</f>
        <v>5.8307734872808936E-3</v>
      </c>
      <c r="V16" s="91">
        <f t="shared" si="5"/>
        <v>-2.2295911330300511E-2</v>
      </c>
      <c r="W16" s="91">
        <f t="shared" si="5"/>
        <v>5.5961847248388485E-2</v>
      </c>
      <c r="X16" s="91">
        <f t="shared" si="5"/>
        <v>4.7750674901541057E-3</v>
      </c>
      <c r="Y16" s="91">
        <f t="shared" si="5"/>
        <v>3.2150747273210767E-2</v>
      </c>
      <c r="Z16" s="91">
        <f t="shared" si="5"/>
        <v>1.1035661065375013E-2</v>
      </c>
      <c r="AA16" s="91">
        <f t="shared" si="5"/>
        <v>1.772679555646306E-2</v>
      </c>
      <c r="AB16" s="91">
        <f t="shared" si="5"/>
        <v>1.3369498626150111E-2</v>
      </c>
      <c r="AC16" s="91">
        <f t="shared" si="5"/>
        <v>3.7607259728037024E-2</v>
      </c>
      <c r="AD16" s="91">
        <f t="shared" si="5"/>
        <v>1.1857578024878412E-2</v>
      </c>
      <c r="AE16" s="91">
        <f t="shared" si="5"/>
        <v>4.7044731025635889E-2</v>
      </c>
      <c r="AF16" s="91">
        <f t="shared" si="5"/>
        <v>2.4295784689216671E-2</v>
      </c>
      <c r="AG16" s="90">
        <f t="shared" si="5"/>
        <v>3.3444979493254978E-2</v>
      </c>
      <c r="AH16" s="90">
        <f t="shared" si="5"/>
        <v>3.389977906086572E-2</v>
      </c>
      <c r="AI16" s="90">
        <f t="shared" si="5"/>
        <v>3.3832251490267806E-2</v>
      </c>
      <c r="AJ16" s="90">
        <f t="shared" si="5"/>
        <v>3.268783942056519E-2</v>
      </c>
      <c r="AK16" s="90">
        <f t="shared" si="5"/>
        <v>3.2745959583311945E-2</v>
      </c>
      <c r="AL16" s="90">
        <f t="shared" si="5"/>
        <v>3.1965514770394998E-2</v>
      </c>
      <c r="AM16" s="90">
        <f t="shared" si="5"/>
        <v>3.1194027359336074E-2</v>
      </c>
      <c r="AN16" s="90">
        <f t="shared" si="5"/>
        <v>3.0616524462689698E-2</v>
      </c>
    </row>
    <row r="17" spans="2:40" x14ac:dyDescent="0.35">
      <c r="B17" s="280" t="s">
        <v>1690</v>
      </c>
      <c r="C17" s="327"/>
      <c r="D17" s="328"/>
      <c r="E17" s="329"/>
      <c r="F17" s="329"/>
      <c r="G17" s="329"/>
      <c r="H17" s="329"/>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91"/>
      <c r="AH17" s="91"/>
      <c r="AI17" s="91"/>
      <c r="AJ17" s="329"/>
    </row>
    <row r="18" spans="2:40" x14ac:dyDescent="0.35">
      <c r="B18" s="286" t="s">
        <v>1660</v>
      </c>
      <c r="C18" s="326"/>
      <c r="D18" s="91">
        <f t="shared" ref="D18:T18" si="6">D44</f>
        <v>1.2331231439726587E-2</v>
      </c>
      <c r="E18" s="91">
        <f t="shared" si="6"/>
        <v>-2.700843667145636E-2</v>
      </c>
      <c r="F18" s="91">
        <f t="shared" si="6"/>
        <v>2.7562863533678428E-2</v>
      </c>
      <c r="G18" s="91">
        <f t="shared" si="6"/>
        <v>1.5442696812244527E-2</v>
      </c>
      <c r="H18" s="91">
        <f t="shared" si="6"/>
        <v>2.7307145143274258E-2</v>
      </c>
      <c r="I18" s="91">
        <f t="shared" si="6"/>
        <v>5.9535996546742798E-2</v>
      </c>
      <c r="J18" s="91">
        <f t="shared" si="6"/>
        <v>-9.1975065640840237E-3</v>
      </c>
      <c r="K18" s="91">
        <f t="shared" si="6"/>
        <v>7.3771240745379218E-2</v>
      </c>
      <c r="L18" s="91">
        <f t="shared" si="6"/>
        <v>2.244932597506355E-2</v>
      </c>
      <c r="M18" s="91">
        <f t="shared" si="6"/>
        <v>9.8536124706156913E-2</v>
      </c>
      <c r="N18" s="91">
        <f t="shared" si="6"/>
        <v>7.9440595378410528E-2</v>
      </c>
      <c r="O18" s="91">
        <f t="shared" si="6"/>
        <v>9.5589358464172269E-2</v>
      </c>
      <c r="P18" s="91">
        <f t="shared" si="6"/>
        <v>6.1543793251209067E-2</v>
      </c>
      <c r="Q18" s="91">
        <f t="shared" si="6"/>
        <v>8.493505060278439E-2</v>
      </c>
      <c r="R18" s="91">
        <f t="shared" si="6"/>
        <v>0.13761569997561685</v>
      </c>
      <c r="S18" s="91">
        <f t="shared" si="6"/>
        <v>-7.0986884806464312E-3</v>
      </c>
      <c r="T18" s="91">
        <f t="shared" si="6"/>
        <v>2.6196504037144352E-2</v>
      </c>
      <c r="U18" s="314">
        <f t="shared" ref="U18:AN18" si="7">U44+U19</f>
        <v>-3.1273791748105406E-3</v>
      </c>
      <c r="V18" s="91">
        <f t="shared" si="7"/>
        <v>-2.9205501903815212E-2</v>
      </c>
      <c r="W18" s="91">
        <f t="shared" si="7"/>
        <v>6.8629514503615319E-2</v>
      </c>
      <c r="X18" s="91">
        <f t="shared" si="7"/>
        <v>2.85701769710478E-3</v>
      </c>
      <c r="Y18" s="91">
        <f t="shared" si="7"/>
        <v>3.559754204699983E-2</v>
      </c>
      <c r="Z18" s="91">
        <f t="shared" si="7"/>
        <v>1.1325100967906065E-2</v>
      </c>
      <c r="AA18" s="91">
        <f t="shared" si="7"/>
        <v>1.5799439528322967E-2</v>
      </c>
      <c r="AB18" s="91">
        <f t="shared" si="7"/>
        <v>1.3179496159321458E-2</v>
      </c>
      <c r="AC18" s="91">
        <f t="shared" si="7"/>
        <v>4.0208263039483549E-2</v>
      </c>
      <c r="AD18" s="91">
        <f t="shared" si="7"/>
        <v>9.4748406399700613E-3</v>
      </c>
      <c r="AE18" s="91">
        <f t="shared" si="7"/>
        <v>5.0453824597488595E-2</v>
      </c>
      <c r="AF18" s="91">
        <f t="shared" si="7"/>
        <v>1.8981599380795577E-2</v>
      </c>
      <c r="AG18" s="90">
        <f t="shared" si="7"/>
        <v>3.3444979493254978E-2</v>
      </c>
      <c r="AH18" s="90">
        <f t="shared" si="7"/>
        <v>3.389977906086572E-2</v>
      </c>
      <c r="AI18" s="90">
        <f t="shared" si="7"/>
        <v>3.3832251490267806E-2</v>
      </c>
      <c r="AJ18" s="90">
        <f t="shared" si="7"/>
        <v>3.268783942056519E-2</v>
      </c>
      <c r="AK18" s="90">
        <f t="shared" si="7"/>
        <v>3.2745959583311945E-2</v>
      </c>
      <c r="AL18" s="90">
        <f t="shared" si="7"/>
        <v>3.1965514770394998E-2</v>
      </c>
      <c r="AM18" s="90">
        <f t="shared" si="7"/>
        <v>3.1194027359336074E-2</v>
      </c>
      <c r="AN18" s="90">
        <f t="shared" si="7"/>
        <v>3.0616524462689698E-2</v>
      </c>
    </row>
    <row r="19" spans="2:40" x14ac:dyDescent="0.35">
      <c r="B19" s="280" t="s">
        <v>1691</v>
      </c>
      <c r="C19" s="327"/>
      <c r="D19" s="328"/>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91"/>
      <c r="AH19" s="91"/>
      <c r="AI19" s="91"/>
      <c r="AJ19" s="91"/>
    </row>
    <row r="20" spans="2:40" x14ac:dyDescent="0.35">
      <c r="B20" s="286" t="s">
        <v>1661</v>
      </c>
      <c r="C20" s="326"/>
      <c r="D20" s="91">
        <f t="shared" ref="D20:T20" si="8">D45</f>
        <v>4.0962242441666019E-2</v>
      </c>
      <c r="E20" s="91">
        <f t="shared" si="8"/>
        <v>1.51792670994777E-2</v>
      </c>
      <c r="F20" s="91">
        <f t="shared" si="8"/>
        <v>4.2702169718882965E-2</v>
      </c>
      <c r="G20" s="91">
        <f t="shared" si="8"/>
        <v>1.755007684826615E-2</v>
      </c>
      <c r="H20" s="91">
        <f t="shared" si="8"/>
        <v>7.6166905113348449E-3</v>
      </c>
      <c r="I20" s="91">
        <f t="shared" si="8"/>
        <v>9.8950698745634558E-3</v>
      </c>
      <c r="J20" s="91">
        <f t="shared" si="8"/>
        <v>-1.2789870387328262E-2</v>
      </c>
      <c r="K20" s="91">
        <f t="shared" si="8"/>
        <v>3.8282641782402038E-2</v>
      </c>
      <c r="L20" s="91">
        <f t="shared" si="8"/>
        <v>2.0668452501686696E-2</v>
      </c>
      <c r="M20" s="91">
        <f t="shared" si="8"/>
        <v>5.8363676755354144E-2</v>
      </c>
      <c r="N20" s="91">
        <f t="shared" si="8"/>
        <v>9.8826458573618492E-2</v>
      </c>
      <c r="O20" s="91">
        <f t="shared" si="8"/>
        <v>8.6257662467865481E-2</v>
      </c>
      <c r="P20" s="91">
        <f t="shared" si="8"/>
        <v>0.1244097659954515</v>
      </c>
      <c r="Q20" s="91">
        <f t="shared" si="8"/>
        <v>0.12297777676835042</v>
      </c>
      <c r="R20" s="91">
        <f t="shared" si="8"/>
        <v>0.14271306895003</v>
      </c>
      <c r="S20" s="91">
        <f t="shared" si="8"/>
        <v>9.0911364161965658E-2</v>
      </c>
      <c r="T20" s="91">
        <f t="shared" si="8"/>
        <v>5.604185004185358E-2</v>
      </c>
      <c r="U20" s="91">
        <f t="shared" ref="U20:AN20" si="9">U45+U21</f>
        <v>4.7515946476500925E-2</v>
      </c>
      <c r="V20" s="91">
        <f t="shared" si="9"/>
        <v>8.5562957082079283E-3</v>
      </c>
      <c r="W20" s="91">
        <f t="shared" si="9"/>
        <v>1.4192265247237046E-3</v>
      </c>
      <c r="X20" s="91">
        <f t="shared" si="9"/>
        <v>1.3158017114691001E-2</v>
      </c>
      <c r="Y20" s="91">
        <f t="shared" si="9"/>
        <v>1.7768934566051886E-2</v>
      </c>
      <c r="Z20" s="91">
        <f t="shared" si="9"/>
        <v>9.9466962425918126E-3</v>
      </c>
      <c r="AA20" s="91">
        <f t="shared" si="9"/>
        <v>2.6297719823208388E-2</v>
      </c>
      <c r="AB20" s="91">
        <f t="shared" si="9"/>
        <v>1.4168785751552004E-2</v>
      </c>
      <c r="AC20" s="91">
        <f t="shared" si="9"/>
        <v>2.6756972767119525E-2</v>
      </c>
      <c r="AD20" s="91">
        <f t="shared" si="9"/>
        <v>2.1913911774258166E-2</v>
      </c>
      <c r="AE20" s="91">
        <f t="shared" si="9"/>
        <v>3.2884269065528215E-2</v>
      </c>
      <c r="AF20" s="91">
        <f t="shared" si="9"/>
        <v>4.6608980574989189E-2</v>
      </c>
      <c r="AG20" s="90">
        <f t="shared" si="9"/>
        <v>3.3444979493254978E-2</v>
      </c>
      <c r="AH20" s="90">
        <f t="shared" si="9"/>
        <v>3.389977906086572E-2</v>
      </c>
      <c r="AI20" s="90">
        <f t="shared" si="9"/>
        <v>3.3832251490267806E-2</v>
      </c>
      <c r="AJ20" s="90">
        <f t="shared" si="9"/>
        <v>3.268783942056519E-2</v>
      </c>
      <c r="AK20" s="90">
        <f t="shared" si="9"/>
        <v>3.2745959583311945E-2</v>
      </c>
      <c r="AL20" s="90">
        <f t="shared" si="9"/>
        <v>3.1965514770394998E-2</v>
      </c>
      <c r="AM20" s="90">
        <f t="shared" si="9"/>
        <v>3.1194027359336074E-2</v>
      </c>
      <c r="AN20" s="90">
        <f t="shared" si="9"/>
        <v>3.0616524462689698E-2</v>
      </c>
    </row>
    <row r="21" spans="2:40" x14ac:dyDescent="0.35">
      <c r="B21" s="280" t="s">
        <v>1692</v>
      </c>
      <c r="C21" s="327"/>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43"/>
      <c r="AH21" s="43"/>
      <c r="AI21" s="43"/>
      <c r="AJ21" s="43"/>
      <c r="AK21" s="43"/>
      <c r="AL21" s="43"/>
      <c r="AM21" s="43"/>
      <c r="AN21" s="43"/>
    </row>
    <row r="22" spans="2:40" x14ac:dyDescent="0.35">
      <c r="B22" s="1403" t="s">
        <v>1681</v>
      </c>
      <c r="C22" s="1404"/>
      <c r="D22" s="1404"/>
      <c r="E22" s="1404"/>
      <c r="F22" s="1404"/>
      <c r="G22" s="1404"/>
      <c r="H22" s="1404"/>
      <c r="I22" s="1404"/>
      <c r="J22" s="1404"/>
      <c r="K22" s="1404"/>
      <c r="L22" s="1404"/>
      <c r="M22" s="1404"/>
      <c r="N22" s="1404"/>
      <c r="O22" s="1404"/>
      <c r="P22" s="1404"/>
      <c r="Q22" s="1404"/>
      <c r="R22" s="1404"/>
      <c r="S22" s="1404"/>
      <c r="T22" s="1404"/>
      <c r="U22" s="1404"/>
      <c r="V22" s="1404"/>
      <c r="W22" s="1404"/>
      <c r="X22" s="1404"/>
      <c r="Y22" s="1404"/>
      <c r="Z22" s="1404"/>
      <c r="AA22" s="1404"/>
      <c r="AB22" s="1404"/>
      <c r="AC22" s="1404"/>
      <c r="AD22" s="1404"/>
      <c r="AE22" s="1404"/>
      <c r="AF22" s="1404"/>
      <c r="AG22" s="1404"/>
      <c r="AH22" s="1404"/>
      <c r="AI22" s="1404"/>
      <c r="AJ22" s="1404"/>
      <c r="AK22" s="1404"/>
      <c r="AL22" s="1404"/>
      <c r="AM22" s="1404"/>
      <c r="AN22" s="1405"/>
    </row>
    <row r="23" spans="2:40" x14ac:dyDescent="0.35">
      <c r="B23" s="313" t="s">
        <v>1657</v>
      </c>
      <c r="C23" s="321"/>
      <c r="D23" s="311">
        <f t="shared" ref="D23:AF23" si="10">(D12+1)^0.25-1</f>
        <v>3.7944725878693575E-3</v>
      </c>
      <c r="E23" s="311">
        <f t="shared" si="10"/>
        <v>2.0362035034391379E-3</v>
      </c>
      <c r="F23" s="311">
        <f t="shared" si="10"/>
        <v>5.590611661529854E-3</v>
      </c>
      <c r="G23" s="311">
        <f t="shared" si="10"/>
        <v>2.407518418966248E-3</v>
      </c>
      <c r="H23" s="311">
        <f t="shared" si="10"/>
        <v>3.9353749698576301E-3</v>
      </c>
      <c r="I23" s="311">
        <f t="shared" si="10"/>
        <v>3.4779935243987037E-3</v>
      </c>
      <c r="J23" s="311">
        <f t="shared" si="10"/>
        <v>-4.0978505433481027E-3</v>
      </c>
      <c r="K23" s="311">
        <f t="shared" si="10"/>
        <v>7.8640991376408564E-3</v>
      </c>
      <c r="L23" s="311">
        <f t="shared" si="10"/>
        <v>5.0937187008155416E-3</v>
      </c>
      <c r="M23" s="311">
        <f t="shared" si="10"/>
        <v>1.1369567899476962E-2</v>
      </c>
      <c r="N23" s="311">
        <f t="shared" si="10"/>
        <v>1.5173552788386724E-2</v>
      </c>
      <c r="O23" s="311">
        <f t="shared" si="10"/>
        <v>1.3597204762257009E-2</v>
      </c>
      <c r="P23" s="311">
        <f t="shared" si="10"/>
        <v>1.6679585974191724E-2</v>
      </c>
      <c r="Q23" s="311">
        <f t="shared" si="10"/>
        <v>1.8818843959671261E-2</v>
      </c>
      <c r="R23" s="311">
        <f t="shared" si="10"/>
        <v>1.8277543977038624E-2</v>
      </c>
      <c r="S23" s="312">
        <f t="shared" si="10"/>
        <v>1.1482128343910603E-2</v>
      </c>
      <c r="T23" s="311">
        <f t="shared" si="10"/>
        <v>1.0172157352161815E-2</v>
      </c>
      <c r="U23" s="311">
        <f t="shared" si="10"/>
        <v>9.5789331167073222E-3</v>
      </c>
      <c r="V23" s="311">
        <f t="shared" si="10"/>
        <v>7.392630837831371E-3</v>
      </c>
      <c r="W23" s="311">
        <f t="shared" si="10"/>
        <v>6.7310092353773943E-3</v>
      </c>
      <c r="X23" s="311">
        <f t="shared" si="10"/>
        <v>4.520698518169608E-3</v>
      </c>
      <c r="Y23" s="311">
        <f t="shared" si="10"/>
        <v>8.8526154706858318E-3</v>
      </c>
      <c r="Z23" s="311">
        <f>(Z12+1)^0.25-1</f>
        <v>6.4180978943420008E-3</v>
      </c>
      <c r="AA23" s="311">
        <f t="shared" si="10"/>
        <v>4.2217342333217278E-3</v>
      </c>
      <c r="AB23" s="311">
        <f t="shared" si="10"/>
        <v>6.2373920761720214E-3</v>
      </c>
      <c r="AC23" s="311">
        <f t="shared" si="10"/>
        <v>8.4681202537228994E-3</v>
      </c>
      <c r="AD23" s="311">
        <f>(AD12+1)^0.25-1</f>
        <v>5.2878919202601349E-3</v>
      </c>
      <c r="AE23" s="311">
        <f t="shared" si="10"/>
        <v>6.8736948680629961E-3</v>
      </c>
      <c r="AF23" s="312">
        <f t="shared" si="10"/>
        <v>7.2117084207301563E-3</v>
      </c>
      <c r="AG23" s="312">
        <f t="shared" ref="AG23" si="11">(AG12+1)^0.25-1</f>
        <v>7.3026069765698143E-3</v>
      </c>
      <c r="AH23" s="312">
        <f>(AH12+1)^0.25-1</f>
        <v>6.8745603775066666E-3</v>
      </c>
      <c r="AI23" s="312">
        <f>(AI12+1)^0.25-1</f>
        <v>6.5161489909537629E-3</v>
      </c>
      <c r="AJ23" s="312">
        <f>(AJ12+1)^0.25-1</f>
        <v>6.0701856629450379E-3</v>
      </c>
      <c r="AK23" s="312">
        <f>(AK12+1)^0.25-1</f>
        <v>5.8759306644238229E-3</v>
      </c>
      <c r="AL23" s="312">
        <f t="shared" ref="AL23:AN23" si="12">(AL12+1)^0.25-1</f>
        <v>5.7279612041538641E-3</v>
      </c>
      <c r="AM23" s="312">
        <f t="shared" si="12"/>
        <v>5.6111457923426755E-3</v>
      </c>
      <c r="AN23" s="312">
        <f t="shared" si="12"/>
        <v>5.5128816171030603E-3</v>
      </c>
    </row>
    <row r="24" spans="2:40" x14ac:dyDescent="0.35">
      <c r="B24" s="297" t="s">
        <v>1658</v>
      </c>
      <c r="C24" s="321"/>
      <c r="D24" s="311">
        <f t="shared" ref="D24:AF24" si="13">(D14+1)^0.25-1</f>
        <v>7.2893513350869021E-3</v>
      </c>
      <c r="E24" s="311">
        <f t="shared" si="13"/>
        <v>9.183063847828965E-3</v>
      </c>
      <c r="F24" s="311">
        <f t="shared" si="13"/>
        <v>-6.6551450859820838E-3</v>
      </c>
      <c r="G24" s="311">
        <f t="shared" si="13"/>
        <v>9.3238748870549948E-4</v>
      </c>
      <c r="H24" s="311">
        <f t="shared" si="13"/>
        <v>3.6396462148640119E-3</v>
      </c>
      <c r="I24" s="311">
        <f t="shared" si="13"/>
        <v>3.5498995311453729E-3</v>
      </c>
      <c r="J24" s="311">
        <f t="shared" si="13"/>
        <v>6.2928461780487055E-4</v>
      </c>
      <c r="K24" s="311">
        <f t="shared" si="13"/>
        <v>5.6695284286354397E-3</v>
      </c>
      <c r="L24" s="311">
        <f t="shared" si="13"/>
        <v>7.3809478690947117E-3</v>
      </c>
      <c r="M24" s="311">
        <f t="shared" si="13"/>
        <v>7.4115179503577711E-3</v>
      </c>
      <c r="N24" s="311">
        <f t="shared" si="13"/>
        <v>1.0484646481621507E-2</v>
      </c>
      <c r="O24" s="311">
        <f t="shared" si="13"/>
        <v>1.160470101263944E-2</v>
      </c>
      <c r="P24" s="311">
        <f t="shared" si="13"/>
        <v>1.2394052316235582E-2</v>
      </c>
      <c r="Q24" s="311">
        <f t="shared" si="13"/>
        <v>1.5796833416031442E-2</v>
      </c>
      <c r="R24" s="311">
        <f t="shared" si="13"/>
        <v>1.8188923229954801E-2</v>
      </c>
      <c r="S24" s="312">
        <f t="shared" si="13"/>
        <v>1.3581173022574111E-2</v>
      </c>
      <c r="T24" s="311">
        <f t="shared" si="13"/>
        <v>9.7503463825612258E-3</v>
      </c>
      <c r="U24" s="311">
        <f t="shared" si="13"/>
        <v>1.1164709291424435E-2</v>
      </c>
      <c r="V24" s="311">
        <f t="shared" si="13"/>
        <v>6.5827180472672886E-3</v>
      </c>
      <c r="W24" s="311">
        <f t="shared" si="13"/>
        <v>9.4033912497384353E-3</v>
      </c>
      <c r="X24" s="311">
        <f t="shared" si="13"/>
        <v>7.0345422570261551E-3</v>
      </c>
      <c r="Y24" s="311">
        <f t="shared" si="13"/>
        <v>1.0263929618768319E-2</v>
      </c>
      <c r="Z24" s="311">
        <f t="shared" si="13"/>
        <v>7.5830465908905964E-3</v>
      </c>
      <c r="AA24" s="311">
        <f t="shared" si="13"/>
        <v>5.996504062409036E-3</v>
      </c>
      <c r="AB24" s="311">
        <f t="shared" si="13"/>
        <v>5.9688045498058617E-3</v>
      </c>
      <c r="AC24" s="311">
        <f t="shared" si="13"/>
        <v>1.4353684378873188E-2</v>
      </c>
      <c r="AD24" s="311">
        <f>(AD14+1)^0.25-1</f>
        <v>1.7075285770595139E-2</v>
      </c>
      <c r="AE24" s="311">
        <f t="shared" si="13"/>
        <v>1.0394059651516185E-2</v>
      </c>
      <c r="AF24" s="312">
        <f t="shared" si="13"/>
        <v>3.6975382986720984E-2</v>
      </c>
      <c r="AG24" s="312">
        <f t="shared" ref="AG24" si="14">(AG14+1)^0.25-1</f>
        <v>-2.068819912006814E-2</v>
      </c>
      <c r="AH24" s="312">
        <f>(AH14+1)^0.25-1</f>
        <v>7.8275273760923803E-3</v>
      </c>
      <c r="AI24" s="312">
        <f>(AI14+1)^0.25-1</f>
        <v>8.3113526182154729E-3</v>
      </c>
      <c r="AJ24" s="312">
        <f>(AJ14+1)^0.25-1</f>
        <v>5.1093947499121217E-3</v>
      </c>
      <c r="AK24" s="312">
        <f t="shared" ref="AK24:AN24" si="15">(AK14+1)^0.25-1</f>
        <v>4.8514006124342757E-3</v>
      </c>
      <c r="AL24" s="312">
        <f t="shared" si="15"/>
        <v>3.8080799863930981E-3</v>
      </c>
      <c r="AM24" s="312">
        <f t="shared" si="15"/>
        <v>4.3915824141103066E-3</v>
      </c>
      <c r="AN24" s="312">
        <f t="shared" si="15"/>
        <v>4.6503550897758483E-3</v>
      </c>
    </row>
    <row r="25" spans="2:40" x14ac:dyDescent="0.35">
      <c r="B25" s="297" t="s">
        <v>1659</v>
      </c>
      <c r="C25" s="321"/>
      <c r="D25" s="311">
        <f t="shared" ref="D25:AF25" si="16">(D16+1)^0.25-1</f>
        <v>4.372774229274734E-3</v>
      </c>
      <c r="E25" s="311">
        <f t="shared" si="16"/>
        <v>-4.8575529720429333E-3</v>
      </c>
      <c r="F25" s="311">
        <f t="shared" si="16"/>
        <v>7.5177196568785298E-3</v>
      </c>
      <c r="G25" s="311">
        <f t="shared" si="16"/>
        <v>3.9251751633120335E-3</v>
      </c>
      <c r="H25" s="311">
        <f t="shared" si="16"/>
        <v>5.8458545430506437E-3</v>
      </c>
      <c r="I25" s="311">
        <f t="shared" si="16"/>
        <v>1.2318554823202321E-2</v>
      </c>
      <c r="J25" s="311">
        <f t="shared" si="16"/>
        <v>-2.4856702962399169E-3</v>
      </c>
      <c r="K25" s="311">
        <f t="shared" si="16"/>
        <v>1.6401673640167314E-2</v>
      </c>
      <c r="L25" s="311">
        <f t="shared" si="16"/>
        <v>5.5070713723768261E-3</v>
      </c>
      <c r="M25" s="311">
        <f t="shared" si="16"/>
        <v>2.2080497834710222E-2</v>
      </c>
      <c r="N25" s="311">
        <f t="shared" si="16"/>
        <v>2.0125864539846772E-2</v>
      </c>
      <c r="O25" s="311">
        <f t="shared" si="16"/>
        <v>2.2730445708701197E-2</v>
      </c>
      <c r="P25" s="311">
        <f t="shared" si="16"/>
        <v>1.7541315086725406E-2</v>
      </c>
      <c r="Q25" s="311">
        <f t="shared" si="16"/>
        <v>2.2093656982350218E-2</v>
      </c>
      <c r="R25" s="311">
        <f t="shared" si="16"/>
        <v>3.2977850697292865E-2</v>
      </c>
      <c r="S25" s="312">
        <f t="shared" si="16"/>
        <v>2.2871664548920201E-3</v>
      </c>
      <c r="T25" s="311">
        <f t="shared" si="16"/>
        <v>7.7808062880324602E-3</v>
      </c>
      <c r="U25" s="311">
        <f t="shared" si="16"/>
        <v>1.4545168645334616E-3</v>
      </c>
      <c r="V25" s="311">
        <f t="shared" si="16"/>
        <v>-5.6211972522079989E-3</v>
      </c>
      <c r="W25" s="311">
        <f t="shared" si="16"/>
        <v>1.3706092737191922E-2</v>
      </c>
      <c r="X25" s="311">
        <f t="shared" si="16"/>
        <v>1.1916351882861331E-3</v>
      </c>
      <c r="Y25" s="311">
        <f t="shared" si="16"/>
        <v>7.9425584217567291E-3</v>
      </c>
      <c r="Z25" s="311">
        <f t="shared" si="16"/>
        <v>2.7475707923965142E-3</v>
      </c>
      <c r="AA25" s="311">
        <f t="shared" si="16"/>
        <v>4.4025399268809995E-3</v>
      </c>
      <c r="AB25" s="311">
        <f t="shared" si="16"/>
        <v>3.3257469520371341E-3</v>
      </c>
      <c r="AC25" s="311">
        <f t="shared" si="16"/>
        <v>9.2720593289594699E-3</v>
      </c>
      <c r="AD25" s="311">
        <f t="shared" si="16"/>
        <v>2.951303492375601E-3</v>
      </c>
      <c r="AE25" s="311">
        <f t="shared" si="16"/>
        <v>1.1559210774512385E-2</v>
      </c>
      <c r="AF25" s="312">
        <f t="shared" si="16"/>
        <v>6.0193783705162485E-3</v>
      </c>
      <c r="AG25" s="312">
        <f t="shared" ref="AG25" si="17">(AG16+1)^0.25-1</f>
        <v>8.2583792406523138E-3</v>
      </c>
      <c r="AH25" s="312">
        <f>(AH16+1)^0.25-1</f>
        <v>8.3692897941516353E-3</v>
      </c>
      <c r="AI25" s="312">
        <f>(AI16+1)^0.25-1</f>
        <v>8.3528243693560267E-3</v>
      </c>
      <c r="AJ25" s="312">
        <f>(AJ16+1)^0.25-1</f>
        <v>8.0736566233197138E-3</v>
      </c>
      <c r="AK25" s="312">
        <f t="shared" ref="AK25:AN25" si="18">(AK16+1)^0.25-1</f>
        <v>8.0878400401878103E-3</v>
      </c>
      <c r="AL25" s="312">
        <f t="shared" si="18"/>
        <v>7.8973333687597513E-3</v>
      </c>
      <c r="AM25" s="312">
        <f t="shared" si="18"/>
        <v>7.7089069678601962E-3</v>
      </c>
      <c r="AN25" s="312">
        <f t="shared" si="18"/>
        <v>7.5677897156734009E-3</v>
      </c>
    </row>
    <row r="26" spans="2:40" x14ac:dyDescent="0.35">
      <c r="B26" s="297" t="s">
        <v>1660</v>
      </c>
      <c r="C26" s="321"/>
      <c r="D26" s="311">
        <f t="shared" ref="D26:AF26" si="19">(D18+1)^0.25-1</f>
        <v>3.0686539854383188E-3</v>
      </c>
      <c r="E26" s="311">
        <f t="shared" si="19"/>
        <v>-6.8215934786326482E-3</v>
      </c>
      <c r="F26" s="311">
        <f t="shared" si="19"/>
        <v>6.8206168209994367E-3</v>
      </c>
      <c r="G26" s="311">
        <f t="shared" si="19"/>
        <v>3.838516280439741E-3</v>
      </c>
      <c r="H26" s="311">
        <f t="shared" si="19"/>
        <v>6.757971851248934E-3</v>
      </c>
      <c r="I26" s="311">
        <f t="shared" si="19"/>
        <v>1.4562787330657079E-2</v>
      </c>
      <c r="J26" s="311">
        <f t="shared" si="19"/>
        <v>-2.3073501612365099E-3</v>
      </c>
      <c r="K26" s="311">
        <f t="shared" si="19"/>
        <v>1.7953504787910912E-2</v>
      </c>
      <c r="L26" s="311">
        <f t="shared" si="19"/>
        <v>5.5656934306569372E-3</v>
      </c>
      <c r="M26" s="311">
        <f t="shared" si="19"/>
        <v>2.3772797386807154E-2</v>
      </c>
      <c r="N26" s="311">
        <f t="shared" si="19"/>
        <v>1.9294513870424579E-2</v>
      </c>
      <c r="O26" s="311">
        <f t="shared" si="19"/>
        <v>2.3085551314267816E-2</v>
      </c>
      <c r="P26" s="311">
        <f t="shared" si="19"/>
        <v>1.5043089527629894E-2</v>
      </c>
      <c r="Q26" s="311">
        <f t="shared" si="19"/>
        <v>2.0589121843392011E-2</v>
      </c>
      <c r="R26" s="311">
        <f t="shared" si="19"/>
        <v>3.2758776283728919E-2</v>
      </c>
      <c r="S26" s="312">
        <f t="shared" si="19"/>
        <v>-1.7794159702583245E-3</v>
      </c>
      <c r="T26" s="311">
        <f t="shared" si="19"/>
        <v>6.4857552124781837E-3</v>
      </c>
      <c r="U26" s="311">
        <f t="shared" si="19"/>
        <v>-7.8276339197458356E-4</v>
      </c>
      <c r="V26" s="311">
        <f t="shared" si="19"/>
        <v>-7.3827308982719053E-3</v>
      </c>
      <c r="W26" s="311">
        <f t="shared" si="19"/>
        <v>1.6732699313632526E-2</v>
      </c>
      <c r="X26" s="311">
        <f t="shared" si="19"/>
        <v>7.1349045804525169E-4</v>
      </c>
      <c r="Y26" s="311">
        <f t="shared" si="19"/>
        <v>8.7829949934576934E-3</v>
      </c>
      <c r="Z26" s="311">
        <f t="shared" si="19"/>
        <v>2.8193298848968595E-3</v>
      </c>
      <c r="AA26" s="311">
        <f t="shared" si="19"/>
        <v>3.9266711587164771E-3</v>
      </c>
      <c r="AB26" s="311">
        <f t="shared" si="19"/>
        <v>3.2787138184287024E-3</v>
      </c>
      <c r="AC26" s="311">
        <f t="shared" si="19"/>
        <v>9.9039592768876972E-3</v>
      </c>
      <c r="AD26" s="311">
        <f t="shared" si="19"/>
        <v>2.3603401935479162E-3</v>
      </c>
      <c r="AE26" s="311">
        <f t="shared" si="19"/>
        <v>1.2381596238425496E-2</v>
      </c>
      <c r="AF26" s="312">
        <f t="shared" si="19"/>
        <v>4.7119908161199486E-3</v>
      </c>
      <c r="AG26" s="312">
        <f t="shared" ref="AG26" si="20">(AG18+1)^0.25-1</f>
        <v>8.2583792406523138E-3</v>
      </c>
      <c r="AH26" s="312">
        <f>(AH18+1)^0.25-1</f>
        <v>8.3692897941516353E-3</v>
      </c>
      <c r="AI26" s="312">
        <f>(AI18+1)^0.25-1</f>
        <v>8.3528243693560267E-3</v>
      </c>
      <c r="AJ26" s="312">
        <f>(AJ18+1)^0.25-1</f>
        <v>8.0736566233197138E-3</v>
      </c>
      <c r="AK26" s="312">
        <f t="shared" ref="AK26:AN26" si="21">(AK18+1)^0.25-1</f>
        <v>8.0878400401878103E-3</v>
      </c>
      <c r="AL26" s="312">
        <f t="shared" si="21"/>
        <v>7.8973333687597513E-3</v>
      </c>
      <c r="AM26" s="312">
        <f t="shared" si="21"/>
        <v>7.7089069678601962E-3</v>
      </c>
      <c r="AN26" s="312">
        <f t="shared" si="21"/>
        <v>7.5677897156734009E-3</v>
      </c>
    </row>
    <row r="27" spans="2:40" x14ac:dyDescent="0.35">
      <c r="B27" s="298" t="s">
        <v>1661</v>
      </c>
      <c r="C27" s="322"/>
      <c r="D27" s="323">
        <f t="shared" ref="D27:AF27" si="22">(D20+1)^0.25-1</f>
        <v>1.0086913000375342E-2</v>
      </c>
      <c r="E27" s="323">
        <f t="shared" si="22"/>
        <v>3.7734051169659999E-3</v>
      </c>
      <c r="F27" s="323">
        <f t="shared" si="22"/>
        <v>1.0508728795056044E-2</v>
      </c>
      <c r="G27" s="323">
        <f t="shared" si="22"/>
        <v>4.3589358184279448E-3</v>
      </c>
      <c r="H27" s="323">
        <f t="shared" si="22"/>
        <v>1.8987578569289454E-3</v>
      </c>
      <c r="I27" s="323">
        <f t="shared" si="22"/>
        <v>2.4646408066097969E-3</v>
      </c>
      <c r="J27" s="323">
        <f t="shared" si="22"/>
        <v>-3.212918727125369E-3</v>
      </c>
      <c r="K27" s="323">
        <f t="shared" si="22"/>
        <v>9.436253900629632E-3</v>
      </c>
      <c r="L27" s="323">
        <f t="shared" si="22"/>
        <v>5.1275406315944849E-3</v>
      </c>
      <c r="M27" s="323">
        <f t="shared" si="22"/>
        <v>1.428203097662939E-2</v>
      </c>
      <c r="N27" s="323">
        <f t="shared" si="22"/>
        <v>2.3840434320783643E-2</v>
      </c>
      <c r="O27" s="323">
        <f t="shared" si="22"/>
        <v>2.0900022168033772E-2</v>
      </c>
      <c r="P27" s="323">
        <f t="shared" si="22"/>
        <v>2.9748462634193729E-2</v>
      </c>
      <c r="Q27" s="323">
        <f t="shared" si="22"/>
        <v>2.9420447548436535E-2</v>
      </c>
      <c r="R27" s="323">
        <f t="shared" si="22"/>
        <v>3.3913720349051601E-2</v>
      </c>
      <c r="S27" s="324">
        <f t="shared" si="22"/>
        <v>2.1991694668103801E-2</v>
      </c>
      <c r="T27" s="323">
        <f t="shared" si="22"/>
        <v>1.3725292534836786E-2</v>
      </c>
      <c r="U27" s="323">
        <f t="shared" si="22"/>
        <v>1.167300292972473E-2</v>
      </c>
      <c r="V27" s="323">
        <f t="shared" si="22"/>
        <v>2.1322445276172886E-3</v>
      </c>
      <c r="W27" s="323">
        <f t="shared" si="22"/>
        <v>3.5461795574054378E-4</v>
      </c>
      <c r="X27" s="323">
        <f t="shared" si="22"/>
        <v>3.2733964882640798E-3</v>
      </c>
      <c r="Y27" s="323">
        <f t="shared" si="22"/>
        <v>4.4129365950471566E-3</v>
      </c>
      <c r="Z27" s="323">
        <f t="shared" si="22"/>
        <v>2.4774521911605785E-3</v>
      </c>
      <c r="AA27" s="323">
        <f t="shared" si="22"/>
        <v>6.5105722135945232E-3</v>
      </c>
      <c r="AB27" s="323">
        <f t="shared" si="22"/>
        <v>3.5235297608449123E-3</v>
      </c>
      <c r="AC27" s="323">
        <f t="shared" si="22"/>
        <v>6.6231529460465399E-3</v>
      </c>
      <c r="AD27" s="323">
        <f t="shared" si="22"/>
        <v>5.434024335617238E-3</v>
      </c>
      <c r="AE27" s="323">
        <f t="shared" si="22"/>
        <v>8.1215901372344579E-3</v>
      </c>
      <c r="AF27" s="324">
        <f t="shared" si="22"/>
        <v>1.1453948750642873E-2</v>
      </c>
      <c r="AG27" s="324">
        <f t="shared" ref="AG27" si="23">(AG20+1)^0.25-1</f>
        <v>8.2583792406523138E-3</v>
      </c>
      <c r="AH27" s="324">
        <f>(AH20+1)^0.25-1</f>
        <v>8.3692897941516353E-3</v>
      </c>
      <c r="AI27" s="324">
        <f>(AI20+1)^0.25-1</f>
        <v>8.3528243693560267E-3</v>
      </c>
      <c r="AJ27" s="324">
        <f>(AJ20+1)^0.25-1</f>
        <v>8.0736566233197138E-3</v>
      </c>
      <c r="AK27" s="324">
        <f t="shared" ref="AK27:AN27" si="24">(AK20+1)^0.25-1</f>
        <v>8.0878400401878103E-3</v>
      </c>
      <c r="AL27" s="324">
        <f t="shared" si="24"/>
        <v>7.8973333687597513E-3</v>
      </c>
      <c r="AM27" s="324">
        <f t="shared" si="24"/>
        <v>7.7089069678601962E-3</v>
      </c>
      <c r="AN27" s="324">
        <f t="shared" si="24"/>
        <v>7.5677897156734009E-3</v>
      </c>
    </row>
    <row r="28" spans="2:40" x14ac:dyDescent="0.35">
      <c r="B28" s="44"/>
      <c r="C28" s="315"/>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row>
    <row r="29" spans="2:40" x14ac:dyDescent="0.35">
      <c r="B29" s="325" t="s">
        <v>1657</v>
      </c>
      <c r="C29" s="315"/>
      <c r="D29" s="91"/>
      <c r="E29" s="91"/>
      <c r="F29" s="91"/>
      <c r="G29" s="91"/>
      <c r="H29" s="91"/>
      <c r="I29" s="91"/>
      <c r="J29" s="91"/>
      <c r="K29" s="91"/>
      <c r="L29" s="91"/>
      <c r="M29" s="91"/>
      <c r="N29" s="91"/>
      <c r="O29" s="91"/>
      <c r="P29" s="91"/>
      <c r="Q29" s="91"/>
      <c r="R29" s="91"/>
      <c r="S29" s="77">
        <f>S65</f>
        <v>1.1700921610724198</v>
      </c>
      <c r="T29">
        <f>S29*(1+T12)^0.25</f>
        <v>1.1819945226513795</v>
      </c>
      <c r="U29">
        <f>T29*(1+U12)^0.25</f>
        <v>1.1933167691281714</v>
      </c>
      <c r="V29">
        <f t="shared" ref="V29:AN29" si="25">U29*(1+V12)^0.25</f>
        <v>1.2021385194749297</v>
      </c>
      <c r="W29">
        <f t="shared" si="25"/>
        <v>1.2102301249517182</v>
      </c>
      <c r="X29">
        <f t="shared" si="25"/>
        <v>1.2157012104842317</v>
      </c>
      <c r="Y29">
        <f t="shared" si="25"/>
        <v>1.226463345827896</v>
      </c>
      <c r="Z29">
        <f t="shared" si="25"/>
        <v>1.2343349076452417</v>
      </c>
      <c r="AA29">
        <f t="shared" si="25"/>
        <v>1.2395459415802317</v>
      </c>
      <c r="AB29">
        <f t="shared" si="25"/>
        <v>1.2472774756142955</v>
      </c>
      <c r="AC29">
        <f t="shared" si="25"/>
        <v>1.2578395712675572</v>
      </c>
      <c r="AD29">
        <f t="shared" si="25"/>
        <v>1.2644908909734465</v>
      </c>
      <c r="AE29">
        <f t="shared" si="25"/>
        <v>1.273182615521443</v>
      </c>
      <c r="AF29">
        <f t="shared" si="25"/>
        <v>1.2823644373109262</v>
      </c>
      <c r="AG29">
        <f t="shared" si="25"/>
        <v>1.2917290407973381</v>
      </c>
      <c r="AH29">
        <f t="shared" si="25"/>
        <v>1.3006091100796782</v>
      </c>
      <c r="AI29">
        <f t="shared" si="25"/>
        <v>1.3090840728199491</v>
      </c>
      <c r="AJ29">
        <f t="shared" si="25"/>
        <v>1.3170304561903705</v>
      </c>
      <c r="AK29">
        <f t="shared" si="25"/>
        <v>1.3247692358338796</v>
      </c>
      <c r="AL29">
        <f t="shared" si="25"/>
        <v>1.3323574626211927</v>
      </c>
      <c r="AM29">
        <f t="shared" si="25"/>
        <v>1.3398335145914759</v>
      </c>
      <c r="AN29">
        <f t="shared" si="25"/>
        <v>1.3472198581440458</v>
      </c>
    </row>
    <row r="30" spans="2:40" ht="15.5" customHeight="1" x14ac:dyDescent="0.35">
      <c r="B30" s="53" t="s">
        <v>1658</v>
      </c>
      <c r="C30" s="315"/>
      <c r="D30" s="91"/>
      <c r="E30" s="91"/>
      <c r="F30" s="91"/>
      <c r="G30" s="91"/>
      <c r="H30" s="91"/>
      <c r="I30" s="91"/>
      <c r="J30" s="91"/>
      <c r="K30" s="91"/>
      <c r="L30" s="91"/>
      <c r="M30" s="91"/>
      <c r="N30" s="91"/>
      <c r="O30" s="91"/>
      <c r="P30" s="91"/>
      <c r="Q30" s="91"/>
      <c r="R30" s="91"/>
      <c r="S30" s="77">
        <f>S66</f>
        <v>1.1617241135253733</v>
      </c>
      <c r="T30">
        <f>S30*(1+T14)^0.25</f>
        <v>1.1730513260332196</v>
      </c>
      <c r="U30">
        <f>T30*(1+U14)^0.25</f>
        <v>1.1861481030723005</v>
      </c>
      <c r="V30">
        <f t="shared" ref="V30:AN30" si="26">U30*(1+V14)^0.25</f>
        <v>1.1939561815971262</v>
      </c>
      <c r="W30">
        <f t="shared" si="26"/>
        <v>1.2051834187077277</v>
      </c>
      <c r="X30">
        <f t="shared" si="26"/>
        <v>1.2136613323940946</v>
      </c>
      <c r="Y30">
        <f t="shared" si="26"/>
        <v>1.2261182668908082</v>
      </c>
      <c r="Z30">
        <f t="shared" si="26"/>
        <v>1.2354159788345831</v>
      </c>
      <c r="AA30">
        <f t="shared" si="26"/>
        <v>1.2428241557704298</v>
      </c>
      <c r="AB30">
        <f t="shared" si="26"/>
        <v>1.2502423302460011</v>
      </c>
      <c r="AC30">
        <f t="shared" si="26"/>
        <v>1.2681879140514591</v>
      </c>
      <c r="AD30">
        <f t="shared" si="26"/>
        <v>1.2898425850947028</v>
      </c>
      <c r="AE30">
        <f t="shared" si="26"/>
        <v>1.3032492858652431</v>
      </c>
      <c r="AF30">
        <f t="shared" si="26"/>
        <v>1.3514374273372811</v>
      </c>
      <c r="AG30">
        <f t="shared" si="26"/>
        <v>1.3234786207422149</v>
      </c>
      <c r="AH30">
        <f t="shared" si="26"/>
        <v>1.3338381858777475</v>
      </c>
      <c r="AI30">
        <f t="shared" si="26"/>
        <v>1.3449241853762184</v>
      </c>
      <c r="AJ30">
        <f t="shared" si="26"/>
        <v>1.3517959339480095</v>
      </c>
      <c r="AK30">
        <f t="shared" si="26"/>
        <v>1.3583540375698511</v>
      </c>
      <c r="AL30">
        <f t="shared" si="26"/>
        <v>1.363526758394757</v>
      </c>
      <c r="AM30">
        <f t="shared" si="26"/>
        <v>1.3695147985280922</v>
      </c>
      <c r="AN30">
        <f t="shared" si="26"/>
        <v>1.3758835286419506</v>
      </c>
    </row>
    <row r="31" spans="2:40" x14ac:dyDescent="0.35">
      <c r="B31" s="280" t="s">
        <v>1659</v>
      </c>
      <c r="C31" s="315"/>
      <c r="D31" s="91"/>
      <c r="E31" s="91"/>
      <c r="F31" s="91"/>
      <c r="G31" s="91"/>
      <c r="H31" s="91"/>
      <c r="I31" s="91"/>
      <c r="J31" s="91"/>
      <c r="K31" s="91"/>
      <c r="L31" s="91"/>
      <c r="M31" s="91"/>
      <c r="N31" s="91"/>
      <c r="O31" s="91"/>
      <c r="P31" s="91"/>
      <c r="Q31" s="91"/>
      <c r="R31" s="91"/>
      <c r="S31" s="77">
        <f>S67</f>
        <v>1.2627669039145906</v>
      </c>
      <c r="T31">
        <f>S31*(1+T16)^0.25</f>
        <v>1.2725922485808885</v>
      </c>
      <c r="U31">
        <f>T31*(1+U16)^0.25</f>
        <v>1.274443255468124</v>
      </c>
      <c r="V31">
        <f t="shared" ref="V31:AN31" si="27">U31*(1+V16)^0.25</f>
        <v>1.2672793585423916</v>
      </c>
      <c r="W31">
        <f t="shared" si="27"/>
        <v>1.2846488069545028</v>
      </c>
      <c r="X31">
        <f t="shared" si="27"/>
        <v>1.2861796396774596</v>
      </c>
      <c r="Y31">
        <f t="shared" si="27"/>
        <v>1.296395196606472</v>
      </c>
      <c r="Z31">
        <f t="shared" si="27"/>
        <v>1.299957134184071</v>
      </c>
      <c r="AA31">
        <f t="shared" si="27"/>
        <v>1.3056802473705502</v>
      </c>
      <c r="AB31">
        <f t="shared" si="27"/>
        <v>1.3100226094735778</v>
      </c>
      <c r="AC31">
        <f t="shared" si="27"/>
        <v>1.3221692168308952</v>
      </c>
      <c r="AD31">
        <f t="shared" si="27"/>
        <v>1.3260713394580397</v>
      </c>
      <c r="AE31">
        <f t="shared" si="27"/>
        <v>1.3413996775728751</v>
      </c>
      <c r="AF31">
        <f t="shared" si="27"/>
        <v>1.3494740697782748</v>
      </c>
      <c r="AG31">
        <f t="shared" si="27"/>
        <v>1.3606185384219303</v>
      </c>
      <c r="AH31">
        <f t="shared" si="27"/>
        <v>1.3720059492692784</v>
      </c>
      <c r="AI31">
        <f t="shared" si="27"/>
        <v>1.3834660739972364</v>
      </c>
      <c r="AJ31">
        <f t="shared" si="27"/>
        <v>1.3946357040287023</v>
      </c>
      <c r="AK31">
        <f t="shared" si="27"/>
        <v>1.4059152945172211</v>
      </c>
      <c r="AL31">
        <f t="shared" si="27"/>
        <v>1.4170182762862615</v>
      </c>
      <c r="AM31">
        <f t="shared" si="27"/>
        <v>1.4279419383499099</v>
      </c>
      <c r="AN31">
        <f t="shared" si="27"/>
        <v>1.438748302665533</v>
      </c>
    </row>
    <row r="32" spans="2:40" x14ac:dyDescent="0.35">
      <c r="B32" s="44"/>
      <c r="C32" s="315"/>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row>
    <row r="33" spans="2:40" x14ac:dyDescent="0.35">
      <c r="B33" s="240" t="s">
        <v>2064</v>
      </c>
      <c r="C33" s="317"/>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row>
    <row r="34" spans="2:40" x14ac:dyDescent="0.35">
      <c r="B34" s="1389" t="s">
        <v>1656</v>
      </c>
      <c r="C34" s="1390"/>
      <c r="D34" s="1409" t="s">
        <v>1679</v>
      </c>
      <c r="E34" s="1410"/>
      <c r="F34" s="1410"/>
      <c r="G34" s="1410"/>
      <c r="H34" s="1410"/>
      <c r="I34" s="1410"/>
      <c r="J34" s="1410"/>
      <c r="K34" s="1410"/>
      <c r="L34" s="1410"/>
      <c r="M34" s="1410"/>
      <c r="N34" s="1410"/>
      <c r="O34" s="1410"/>
      <c r="P34" s="1410"/>
      <c r="Q34" s="1410"/>
      <c r="R34" s="1410"/>
      <c r="S34" s="1410"/>
      <c r="T34" s="1410"/>
      <c r="U34" s="1410"/>
      <c r="V34" s="1410"/>
      <c r="W34" s="1410"/>
      <c r="X34" s="1410"/>
      <c r="Y34" s="1410"/>
      <c r="Z34" s="1410"/>
      <c r="AA34" s="1410"/>
      <c r="AB34" s="1411"/>
      <c r="AC34" s="261"/>
      <c r="AD34" s="260"/>
      <c r="AE34" s="260"/>
      <c r="AF34" s="260"/>
      <c r="AG34" s="1419" t="s">
        <v>1687</v>
      </c>
      <c r="AH34" s="1420"/>
      <c r="AI34" s="1420"/>
      <c r="AJ34" s="1420"/>
      <c r="AK34" s="1420"/>
      <c r="AL34" s="1420"/>
      <c r="AM34" s="1420"/>
      <c r="AN34" s="1421"/>
    </row>
    <row r="35" spans="2:40" x14ac:dyDescent="0.35">
      <c r="B35" s="1391"/>
      <c r="C35" s="1392"/>
      <c r="D35" s="246"/>
      <c r="E35" s="1395">
        <v>2019</v>
      </c>
      <c r="F35" s="1396"/>
      <c r="G35" s="1396"/>
      <c r="H35" s="1397"/>
      <c r="I35" s="1395">
        <v>2020</v>
      </c>
      <c r="J35" s="1396"/>
      <c r="K35" s="1396"/>
      <c r="L35" s="1396"/>
      <c r="M35" s="1395">
        <v>2021</v>
      </c>
      <c r="N35" s="1396"/>
      <c r="O35" s="1396"/>
      <c r="P35" s="1396"/>
      <c r="Q35" s="1398">
        <v>2022</v>
      </c>
      <c r="R35" s="1399"/>
      <c r="S35" s="1399"/>
      <c r="T35" s="1400"/>
      <c r="U35" s="283"/>
      <c r="V35" s="282">
        <v>2023</v>
      </c>
      <c r="W35" s="277"/>
      <c r="X35" s="277"/>
      <c r="Y35" s="283"/>
      <c r="Z35" s="277">
        <v>2024</v>
      </c>
      <c r="AA35" s="277"/>
      <c r="AB35" s="279"/>
      <c r="AC35" s="1398">
        <v>2025</v>
      </c>
      <c r="AD35" s="1399"/>
      <c r="AE35" s="1399"/>
      <c r="AF35" s="1399"/>
      <c r="AG35" s="1412">
        <v>2026</v>
      </c>
      <c r="AH35" s="1413"/>
      <c r="AI35" s="1413"/>
      <c r="AJ35" s="1414"/>
      <c r="AK35" s="1412">
        <v>2027</v>
      </c>
      <c r="AL35" s="1413"/>
      <c r="AM35" s="1413"/>
      <c r="AN35" s="1414"/>
    </row>
    <row r="36" spans="2:40" x14ac:dyDescent="0.35">
      <c r="B36" s="1393"/>
      <c r="C36" s="1394"/>
      <c r="D36" s="246" t="s">
        <v>248</v>
      </c>
      <c r="E36" s="244" t="s">
        <v>249</v>
      </c>
      <c r="F36" s="245" t="s">
        <v>250</v>
      </c>
      <c r="G36" s="245" t="s">
        <v>226</v>
      </c>
      <c r="H36" s="246" t="s">
        <v>248</v>
      </c>
      <c r="I36" s="245" t="s">
        <v>249</v>
      </c>
      <c r="J36" s="245" t="s">
        <v>250</v>
      </c>
      <c r="K36" s="245" t="s">
        <v>226</v>
      </c>
      <c r="L36" s="245" t="s">
        <v>248</v>
      </c>
      <c r="M36" s="244" t="s">
        <v>249</v>
      </c>
      <c r="N36" s="245" t="s">
        <v>250</v>
      </c>
      <c r="O36" s="245" t="s">
        <v>226</v>
      </c>
      <c r="P36" s="245" t="s">
        <v>248</v>
      </c>
      <c r="Q36" s="244" t="s">
        <v>249</v>
      </c>
      <c r="R36" s="245" t="s">
        <v>250</v>
      </c>
      <c r="S36" s="245" t="s">
        <v>226</v>
      </c>
      <c r="T36" s="246" t="s">
        <v>248</v>
      </c>
      <c r="U36" s="244" t="s">
        <v>249</v>
      </c>
      <c r="V36" s="245" t="s">
        <v>250</v>
      </c>
      <c r="W36" s="245" t="s">
        <v>226</v>
      </c>
      <c r="X36" s="245" t="s">
        <v>248</v>
      </c>
      <c r="Y36" s="244" t="s">
        <v>249</v>
      </c>
      <c r="Z36" s="278" t="s">
        <v>250</v>
      </c>
      <c r="AA36" s="245" t="s">
        <v>226</v>
      </c>
      <c r="AB36" s="246" t="s">
        <v>248</v>
      </c>
      <c r="AC36" s="272" t="s">
        <v>249</v>
      </c>
      <c r="AD36" s="245" t="s">
        <v>250</v>
      </c>
      <c r="AE36" s="245" t="s">
        <v>226</v>
      </c>
      <c r="AF36" s="245" t="s">
        <v>248</v>
      </c>
      <c r="AG36" s="275" t="s">
        <v>249</v>
      </c>
      <c r="AH36" s="269" t="s">
        <v>250</v>
      </c>
      <c r="AI36" s="270" t="s">
        <v>226</v>
      </c>
      <c r="AJ36" s="276" t="s">
        <v>248</v>
      </c>
      <c r="AK36" s="275" t="s">
        <v>249</v>
      </c>
      <c r="AL36" s="269" t="s">
        <v>250</v>
      </c>
      <c r="AM36" s="270" t="s">
        <v>226</v>
      </c>
      <c r="AN36" s="276" t="s">
        <v>248</v>
      </c>
    </row>
    <row r="37" spans="2:40" x14ac:dyDescent="0.35">
      <c r="B37" s="325" t="s">
        <v>1846</v>
      </c>
      <c r="C37" s="338"/>
      <c r="D37" s="333">
        <f>('Haver Pivoted'!GO76+1)^4-1</f>
        <v>1.5264497223703488E-2</v>
      </c>
      <c r="E37" s="320">
        <f>('Haver Pivoted'!GP76+1)^4-1</f>
        <v>8.1697245486058723E-3</v>
      </c>
      <c r="F37" s="320">
        <f>('Haver Pivoted'!GQ76+1)^4-1</f>
        <v>2.2550676192391039E-2</v>
      </c>
      <c r="G37" s="320">
        <f>('Haver Pivoted'!GR76+1)^4-1</f>
        <v>9.6649063963889503E-3</v>
      </c>
      <c r="H37" s="320">
        <f>('Haver Pivoted'!GS76+1)^4-1</f>
        <v>1.5834666967584843E-2</v>
      </c>
      <c r="I37" s="320">
        <f>('Haver Pivoted'!GT76+1)^4-1</f>
        <v>1.398472116299887E-2</v>
      </c>
      <c r="J37" s="320">
        <f>('Haver Pivoted'!GU76+1)^4-1</f>
        <v>-1.6290922867593594E-2</v>
      </c>
      <c r="K37" s="320">
        <f>('Haver Pivoted'!GV76+1)^4-1</f>
        <v>3.182941009785667E-2</v>
      </c>
      <c r="L37" s="320">
        <f>('Haver Pivoted'!GW76+1)^4-1</f>
        <v>2.0531079943568287E-2</v>
      </c>
      <c r="M37" s="320">
        <f>('Haver Pivoted'!GX76+1)^4-1</f>
        <v>4.6259769596319167E-2</v>
      </c>
      <c r="N37" s="320">
        <f>('Haver Pivoted'!GY76+1)^4-1</f>
        <v>6.2089658422959992E-2</v>
      </c>
      <c r="O37" s="320">
        <f>('Haver Pivoted'!GZ76+1)^4-1</f>
        <v>5.5508212716382843E-2</v>
      </c>
      <c r="P37" s="320">
        <f>('Haver Pivoted'!HA76+1)^4-1</f>
        <v>6.8406234442675462E-2</v>
      </c>
      <c r="Q37" s="320">
        <f>('Haver Pivoted'!HB76+1)^4-1</f>
        <v>7.742705327863586E-2</v>
      </c>
      <c r="R37" s="320">
        <f>('Haver Pivoted'!HC76+1)^4-1</f>
        <v>7.5139123008111541E-2</v>
      </c>
      <c r="S37" s="334">
        <f>('Haver Pivoted'!HD76+1)^4-1</f>
        <v>4.6725621566807929E-2</v>
      </c>
      <c r="T37" s="319">
        <f>('Haver Pivoted'!HE76+1)^4-1</f>
        <v>4.1313686992258125E-2</v>
      </c>
      <c r="U37" s="334">
        <f>('Haver Pivoted'!HF76+1)^4-1</f>
        <v>3.8869792340713749E-2</v>
      </c>
      <c r="V37" s="334">
        <f>('Haver Pivoted'!HG76+1)^4-1</f>
        <v>2.9900048340679719E-2</v>
      </c>
      <c r="W37" s="334">
        <f>('Haver Pivoted'!HH76+1)^4-1</f>
        <v>2.7197097739632303E-2</v>
      </c>
      <c r="X37" s="334">
        <f>('Haver Pivoted'!HI76+1)^4-1</f>
        <v>1.8205784333801489E-2</v>
      </c>
      <c r="Y37" s="334">
        <f>('Haver Pivoted'!HJ76+1)^4-1</f>
        <v>3.5883455903872097E-2</v>
      </c>
      <c r="Z37" s="334">
        <f>('Haver Pivoted'!HK76+1)^4-1</f>
        <v>2.5920602654290859E-2</v>
      </c>
      <c r="AA37" s="334">
        <f>('Haver Pivoted'!HL76+1)^4-1</f>
        <v>1.6994176467119759E-2</v>
      </c>
      <c r="AB37" s="334">
        <f>('Haver Pivoted'!HM76+1)^4-1</f>
        <v>2.5183970842212799E-2</v>
      </c>
      <c r="AC37" s="334">
        <f>('Haver Pivoted'!HN76+1)^4-1</f>
        <v>3.4305169484664777E-2</v>
      </c>
      <c r="AD37" s="334">
        <f>('Haver Pivoted'!HO76+1)^4-1</f>
        <v>2.1319930704590595E-2</v>
      </c>
      <c r="AE37" s="334">
        <f>('Haver Pivoted'!HP76+1)^4-1</f>
        <v>2.7779566856004356E-2</v>
      </c>
      <c r="AF37" s="334">
        <f>('Haver Pivoted'!HQ76+1)^4-1</f>
        <v>2.9160389105328255E-2</v>
      </c>
      <c r="AG37" s="91">
        <f t="shared" ref="AG37" si="28">AG38+AG39</f>
        <v>2.9531956897792533E-2</v>
      </c>
      <c r="AH37" s="91">
        <f>AH38+AH39</f>
        <v>2.7783100781153536E-2</v>
      </c>
      <c r="AI37" s="91">
        <f t="shared" ref="AI37" si="29">AI38+AI39</f>
        <v>2.632046566061419E-2</v>
      </c>
      <c r="AJ37" s="91">
        <f>AJ38+AJ39</f>
        <v>2.4502721609652056E-2</v>
      </c>
      <c r="AK37" s="91">
        <f t="shared" ref="AK37:AN37" si="30">AK38+AK39</f>
        <v>2.3711694719535714E-2</v>
      </c>
      <c r="AL37" s="91">
        <f t="shared" si="30"/>
        <v>2.3109454857497935E-2</v>
      </c>
      <c r="AM37" s="91">
        <f t="shared" si="30"/>
        <v>2.2634200570029295E-2</v>
      </c>
      <c r="AN37" s="318">
        <f t="shared" si="30"/>
        <v>2.2234548761409956E-2</v>
      </c>
    </row>
    <row r="38" spans="2:40" x14ac:dyDescent="0.35">
      <c r="B38" s="86" t="s">
        <v>1845</v>
      </c>
      <c r="C38" s="315" t="s">
        <v>1648</v>
      </c>
      <c r="D38" s="341">
        <f>('Haver Pivoted'!GO76+1)^4-1</f>
        <v>1.5264497223703488E-2</v>
      </c>
      <c r="E38" s="91">
        <f>('Haver Pivoted'!GP76+1)^4-1</f>
        <v>8.1697245486058723E-3</v>
      </c>
      <c r="F38" s="91">
        <f>('Haver Pivoted'!GQ76+1)^4-1</f>
        <v>2.2550676192391039E-2</v>
      </c>
      <c r="G38" s="91">
        <f>('Haver Pivoted'!GR76+1)^4-1</f>
        <v>9.6649063963889503E-3</v>
      </c>
      <c r="H38" s="91">
        <f>('Haver Pivoted'!GS76+1)^4-1</f>
        <v>1.5834666967584843E-2</v>
      </c>
      <c r="I38" s="91">
        <f>('Haver Pivoted'!GT76+1)^4-1</f>
        <v>1.398472116299887E-2</v>
      </c>
      <c r="J38" s="91">
        <f>('Haver Pivoted'!GU76+1)^4-1</f>
        <v>-1.6290922867593594E-2</v>
      </c>
      <c r="K38" s="91">
        <f>('Haver Pivoted'!GV76+1)^4-1</f>
        <v>3.182941009785667E-2</v>
      </c>
      <c r="L38" s="91">
        <f>('Haver Pivoted'!GW76+1)^4-1</f>
        <v>2.0531079943568287E-2</v>
      </c>
      <c r="M38" s="91">
        <f>('Haver Pivoted'!GX76+1)^4-1</f>
        <v>4.6259769596319167E-2</v>
      </c>
      <c r="N38" s="91">
        <f>('Haver Pivoted'!GY76+1)^4-1</f>
        <v>6.2089658422959992E-2</v>
      </c>
      <c r="O38" s="91">
        <f>('Haver Pivoted'!GZ76+1)^4-1</f>
        <v>5.5508212716382843E-2</v>
      </c>
      <c r="P38" s="91">
        <f>('Haver Pivoted'!HA76+1)^4-1</f>
        <v>6.8406234442675462E-2</v>
      </c>
      <c r="Q38" s="91">
        <f>('Haver Pivoted'!HB76+1)^4-1</f>
        <v>7.742705327863586E-2</v>
      </c>
      <c r="R38" s="91">
        <f>('Haver Pivoted'!HC76+1)^4-1</f>
        <v>7.5139123008111541E-2</v>
      </c>
      <c r="S38" s="91">
        <f>('Haver Pivoted'!HD76+1)^4-1</f>
        <v>4.6725621566807929E-2</v>
      </c>
      <c r="T38" s="91">
        <f>('Haver Pivoted'!HE76+1)^4-1</f>
        <v>4.1313686992258125E-2</v>
      </c>
      <c r="U38" s="91">
        <f>('Haver Pivoted'!HF76+1)^4-1</f>
        <v>3.8869792340713749E-2</v>
      </c>
      <c r="V38" s="91">
        <f>('Haver Pivoted'!HG76+1)^4-1</f>
        <v>2.9900048340679719E-2</v>
      </c>
      <c r="W38" s="91">
        <f>('Haver Pivoted'!HH76+1)^4-1</f>
        <v>2.7197097739632303E-2</v>
      </c>
      <c r="X38" s="91">
        <f>('Haver Pivoted'!HI76+1)^4-1</f>
        <v>1.8205784333801489E-2</v>
      </c>
      <c r="Y38" s="91">
        <f t="shared" ref="Y38:AH38" si="31">(Y65/X65)^4-1</f>
        <v>3.5869610415388831E-2</v>
      </c>
      <c r="Z38" s="91">
        <f t="shared" si="31"/>
        <v>2.5933349158767216E-2</v>
      </c>
      <c r="AA38" s="91">
        <f t="shared" si="31"/>
        <v>1.6938938133721271E-2</v>
      </c>
      <c r="AB38" s="91">
        <f t="shared" si="31"/>
        <v>2.5213685811587672E-2</v>
      </c>
      <c r="AC38" s="91">
        <f t="shared" si="31"/>
        <v>3.4315401055778016E-2</v>
      </c>
      <c r="AD38" s="91">
        <f t="shared" si="31"/>
        <v>2.1303794538540588E-2</v>
      </c>
      <c r="AE38" s="91">
        <f t="shared" si="31"/>
        <v>2.7405779028799371E-2</v>
      </c>
      <c r="AF38" s="91">
        <f t="shared" si="31"/>
        <v>2.855378731984537E-2</v>
      </c>
      <c r="AG38" s="91">
        <f t="shared" si="31"/>
        <v>2.9531956897792533E-2</v>
      </c>
      <c r="AH38" s="91">
        <f t="shared" si="31"/>
        <v>2.7783100781153536E-2</v>
      </c>
      <c r="AI38" s="91">
        <f t="shared" ref="AI38" si="32">(AI65/AH65)^4-1</f>
        <v>2.632046566061419E-2</v>
      </c>
      <c r="AJ38" s="91">
        <f>(AJ65/AI65)^4-1</f>
        <v>2.4502721609652056E-2</v>
      </c>
      <c r="AK38" s="91">
        <f>(AK65/AJ65)^4-1</f>
        <v>2.3711694719535714E-2</v>
      </c>
      <c r="AL38" s="91">
        <f t="shared" ref="AL38:AN38" si="33">(AL65/AK65)^4-1</f>
        <v>2.3109454857497935E-2</v>
      </c>
      <c r="AM38" s="91">
        <f t="shared" si="33"/>
        <v>2.2634200570029295E-2</v>
      </c>
      <c r="AN38" s="287">
        <f t="shared" si="33"/>
        <v>2.2234548761409956E-2</v>
      </c>
    </row>
    <row r="39" spans="2:40" x14ac:dyDescent="0.35">
      <c r="B39" s="86" t="s">
        <v>1847</v>
      </c>
      <c r="C39" s="315"/>
      <c r="D39" s="341"/>
      <c r="E39" s="91"/>
      <c r="F39" s="91"/>
      <c r="G39" s="91"/>
      <c r="H39" s="91"/>
      <c r="I39" s="91"/>
      <c r="J39" s="91"/>
      <c r="K39" s="91"/>
      <c r="L39" s="91"/>
      <c r="M39" s="91"/>
      <c r="N39" s="91"/>
      <c r="O39" s="91"/>
      <c r="P39" s="91"/>
      <c r="Q39" s="91"/>
      <c r="R39" s="91"/>
      <c r="S39" s="91"/>
      <c r="T39" s="91"/>
      <c r="U39" s="91"/>
      <c r="V39" s="91"/>
      <c r="W39" s="91"/>
      <c r="X39" s="91"/>
      <c r="Y39" s="91"/>
      <c r="Z39" s="91"/>
      <c r="AA39" s="91">
        <v>-7.4999999999999997E-3</v>
      </c>
      <c r="AB39" s="91">
        <v>5.0000000000000001E-4</v>
      </c>
      <c r="AC39" s="91">
        <v>1.2E-2</v>
      </c>
      <c r="AD39" s="91">
        <v>-4.4999999999999997E-3</v>
      </c>
      <c r="AE39" s="91">
        <v>2E-3</v>
      </c>
      <c r="AF39" s="119"/>
      <c r="AG39" s="263"/>
      <c r="AN39" s="266"/>
    </row>
    <row r="40" spans="2:40" x14ac:dyDescent="0.35">
      <c r="B40" s="53" t="s">
        <v>1658</v>
      </c>
      <c r="C40" s="315" t="s">
        <v>1649</v>
      </c>
      <c r="D40" s="341">
        <f>('Haver Pivoted'!GO77+1)^4-1</f>
        <v>2.9477765289275926E-2</v>
      </c>
      <c r="E40" s="91">
        <f>('Haver Pivoted'!GP77+1)^4-1</f>
        <v>3.7241332054374521E-2</v>
      </c>
      <c r="F40" s="91">
        <f>('Haver Pivoted'!GQ77+1)^4-1</f>
        <v>-2.6356011696502479E-2</v>
      </c>
      <c r="G40" s="91">
        <f>('Haver Pivoted'!GR77+1)^4-1</f>
        <v>3.7347692764231333E-3</v>
      </c>
      <c r="H40" s="91">
        <f>('Haver Pivoted'!GS77+1)^4-1</f>
        <v>1.463826004028701E-2</v>
      </c>
      <c r="I40" s="91">
        <f>('Haver Pivoted'!GT77+1)^4-1</f>
        <v>1.4275387943780471E-2</v>
      </c>
      <c r="J40" s="91">
        <f>('Haver Pivoted'!GU77+1)^4-1</f>
        <v>2.5195154629420458E-3</v>
      </c>
      <c r="K40" s="91">
        <f>('Haver Pivoted'!GV77+1)^4-1</f>
        <v>2.2871705018509658E-2</v>
      </c>
      <c r="L40" s="91">
        <f>('Haver Pivoted'!GW77+1)^4-1</f>
        <v>2.9852273201620649E-2</v>
      </c>
      <c r="M40" s="91">
        <f>('Haver Pivoted'!GX77+1)^4-1</f>
        <v>2.99772868852346E-2</v>
      </c>
      <c r="N40" s="91">
        <f>('Haver Pivoted'!GY77+1)^4-1</f>
        <v>4.2602775098660173E-2</v>
      </c>
      <c r="O40" s="91">
        <f>('Haver Pivoted'!GZ77+1)^4-1</f>
        <v>4.7233087877772695E-2</v>
      </c>
      <c r="P40" s="91">
        <f>('Haver Pivoted'!HA77+1)^4-1</f>
        <v>5.0505523585730794E-2</v>
      </c>
      <c r="Q40" s="91">
        <f>('Haver Pivoted'!HB77+1)^4-1</f>
        <v>6.4700403373982418E-2</v>
      </c>
      <c r="R40" s="91">
        <f>('Haver Pivoted'!HC77+1)^4-1</f>
        <v>7.4764894212443034E-2</v>
      </c>
      <c r="S40" s="316">
        <f>('Haver Pivoted'!HD77+1)^4-1</f>
        <v>5.544143577043914E-2</v>
      </c>
      <c r="T40" s="316">
        <f>('Haver Pivoted'!HE77+1)^4-1</f>
        <v>3.9575517928537751E-2</v>
      </c>
      <c r="U40" s="316">
        <f>('Haver Pivoted'!HF77+1)^4-1</f>
        <v>4.5412323861687698E-2</v>
      </c>
      <c r="V40" s="316">
        <f>('Haver Pivoted'!HG77+1)^4-1</f>
        <v>2.6592008102096942E-2</v>
      </c>
      <c r="W40" s="316">
        <f>('Haver Pivoted'!HH77+1)^4-1</f>
        <v>3.8147441352797351E-2</v>
      </c>
      <c r="X40" s="316">
        <f>('Haver Pivoted'!HI77+1)^4-1</f>
        <v>2.8436472596681917E-2</v>
      </c>
      <c r="Y40" s="316">
        <f>('Haver Pivoted'!HJ77+1)^4-1</f>
        <v>4.16921442287852E-2</v>
      </c>
      <c r="Z40" s="316">
        <f>('Haver Pivoted'!HK77+1)^4-1</f>
        <v>3.0678949423154522E-2</v>
      </c>
      <c r="AA40" s="316">
        <f>('Haver Pivoted'!HL77+1)^4-1</f>
        <v>2.4202628399076165E-2</v>
      </c>
      <c r="AB40" s="316">
        <f>('Haver Pivoted'!HM77+1)^4-1</f>
        <v>2.4089829828513931E-2</v>
      </c>
      <c r="AC40" s="316">
        <f>('Haver Pivoted'!HN77+1)^4-1</f>
        <v>5.8662778552820427E-2</v>
      </c>
      <c r="AD40" s="316">
        <f>('Haver Pivoted'!HO77+1)^4-1</f>
        <v>7.0070534646659466E-2</v>
      </c>
      <c r="AE40" s="316">
        <f>('Haver Pivoted'!HP77+1)^4-1</f>
        <v>4.2228960884486577E-2</v>
      </c>
      <c r="AF40" s="316">
        <f>('Haver Pivoted'!HQ77+1)^4-1</f>
        <v>0.15630868266795428</v>
      </c>
      <c r="AG40" s="91">
        <f t="shared" ref="AG40:AN40" si="34">(AG66/AF66)^4-1+AG43</f>
        <v>-6.3220022125805353E-2</v>
      </c>
      <c r="AH40" s="91">
        <f t="shared" si="34"/>
        <v>3.1679652743542119E-2</v>
      </c>
      <c r="AI40" s="91">
        <f t="shared" si="34"/>
        <v>3.3662183284603131E-2</v>
      </c>
      <c r="AJ40" s="91">
        <f t="shared" si="34"/>
        <v>2.0594748711123989E-2</v>
      </c>
      <c r="AK40" s="91">
        <f t="shared" si="34"/>
        <v>1.954727626306374E-2</v>
      </c>
      <c r="AL40" s="91">
        <f t="shared" si="34"/>
        <v>1.5319549886040784E-2</v>
      </c>
      <c r="AM40" s="91">
        <f t="shared" si="34"/>
        <v>1.7682384789155625E-2</v>
      </c>
      <c r="AN40" s="287">
        <f t="shared" si="34"/>
        <v>1.8731577912187047E-2</v>
      </c>
    </row>
    <row r="41" spans="2:40" x14ac:dyDescent="0.35">
      <c r="B41" s="53" t="s">
        <v>1659</v>
      </c>
      <c r="C41" s="315" t="s">
        <v>1650</v>
      </c>
      <c r="D41" s="341">
        <f>('Haver Pivoted'!GO78+1)^4-1</f>
        <v>1.7606158659444704E-2</v>
      </c>
      <c r="E41" s="91">
        <f>('Haver Pivoted'!GP78+1)^4-1</f>
        <v>-1.9289094877951052E-2</v>
      </c>
      <c r="F41" s="91">
        <f>('Haver Pivoted'!GQ78+1)^4-1</f>
        <v>3.0411677963670725E-2</v>
      </c>
      <c r="G41" s="91">
        <f>('Haver Pivoted'!GR78+1)^4-1</f>
        <v>1.5793384791695786E-2</v>
      </c>
      <c r="H41" s="91">
        <f>('Haver Pivoted'!GS78+1)^4-1</f>
        <v>2.3589262537388134E-2</v>
      </c>
      <c r="I41" s="91">
        <f>('Haver Pivoted'!GT78+1)^4-1</f>
        <v>5.0192200282243693E-2</v>
      </c>
      <c r="J41" s="91">
        <f>('Haver Pivoted'!GU78+1)^4-1</f>
        <v>-9.905671237276148E-3</v>
      </c>
      <c r="K41" s="91">
        <f>('Haver Pivoted'!GV78+1)^4-1</f>
        <v>6.7238505497134282E-2</v>
      </c>
      <c r="L41" s="91">
        <f>('Haver Pivoted'!GW78+1)^4-1</f>
        <v>2.2210921490097402E-2</v>
      </c>
      <c r="M41" s="91">
        <f>('Haver Pivoted'!GX78+1)^4-1</f>
        <v>9.1290580594244775E-2</v>
      </c>
      <c r="N41" s="91">
        <f>('Haver Pivoted'!GY78+1)^4-1</f>
        <v>8.2966532725909037E-2</v>
      </c>
      <c r="O41" s="91">
        <f>('Haver Pivoted'!GZ78+1)^4-1</f>
        <v>9.4069065603701096E-2</v>
      </c>
      <c r="P41" s="91">
        <f>('Haver Pivoted'!HA78+1)^4-1</f>
        <v>7.2033131126310934E-2</v>
      </c>
      <c r="Q41" s="91">
        <f>('Haver Pivoted'!HB78+1)^4-1</f>
        <v>9.1346782551856576E-2</v>
      </c>
      <c r="R41" s="91">
        <f>('Haver Pivoted'!HC78+1)^4-1</f>
        <v>0.13858127609627813</v>
      </c>
      <c r="S41" s="316">
        <f>('Haver Pivoted'!HD78+1)^4-1</f>
        <v>9.1801004871510106E-3</v>
      </c>
      <c r="T41" s="316">
        <f>('Haver Pivoted'!HE78+1)^4-1</f>
        <v>3.1488358725796139E-2</v>
      </c>
      <c r="U41" s="316">
        <f>('Haver Pivoted'!HF78+1)^4-1</f>
        <v>5.8307734872808936E-3</v>
      </c>
      <c r="V41" s="316">
        <f>('Haver Pivoted'!HG78+1)^4-1</f>
        <v>-2.2295911330300511E-2</v>
      </c>
      <c r="W41" s="316">
        <f>('Haver Pivoted'!HH78+1)^4-1</f>
        <v>5.5961847248388485E-2</v>
      </c>
      <c r="X41" s="316">
        <f>('Haver Pivoted'!HI78+1)^4-1</f>
        <v>4.7750674901541057E-3</v>
      </c>
      <c r="Y41" s="316">
        <f>('Haver Pivoted'!HJ78+1)^4-1</f>
        <v>3.2150747273210767E-2</v>
      </c>
      <c r="Z41" s="316">
        <f>('Haver Pivoted'!HK78+1)^4-1</f>
        <v>1.1035661065375013E-2</v>
      </c>
      <c r="AA41" s="316">
        <f>('Haver Pivoted'!HL78+1)^4-1</f>
        <v>1.772679555646306E-2</v>
      </c>
      <c r="AB41" s="316">
        <f>('Haver Pivoted'!HM78+1)^4-1</f>
        <v>1.3369498626150111E-2</v>
      </c>
      <c r="AC41" s="316">
        <f>('Haver Pivoted'!HN78+1)^4-1</f>
        <v>3.7607259728037024E-2</v>
      </c>
      <c r="AD41" s="316">
        <f>('Haver Pivoted'!HO78+1)^4-1</f>
        <v>1.1857578024878412E-2</v>
      </c>
      <c r="AE41" s="316">
        <f>('Haver Pivoted'!HP78+1)^4-1</f>
        <v>4.7044731025635889E-2</v>
      </c>
      <c r="AF41" s="316">
        <f>('Haver Pivoted'!HQ78+1)^4-1</f>
        <v>2.4295784689216671E-2</v>
      </c>
      <c r="AG41" s="91">
        <f>(AG67/AF67)^4-1+AG42</f>
        <v>3.3444979493254978E-2</v>
      </c>
      <c r="AH41" s="91">
        <f t="shared" ref="AH41:AN41" si="35">(AH67/AG67)^4-1+AH42</f>
        <v>3.389977906086572E-2</v>
      </c>
      <c r="AI41" s="91">
        <f t="shared" si="35"/>
        <v>3.3832251490267806E-2</v>
      </c>
      <c r="AJ41" s="91">
        <f t="shared" si="35"/>
        <v>3.268783942056519E-2</v>
      </c>
      <c r="AK41" s="91">
        <f t="shared" si="35"/>
        <v>3.2745959583311945E-2</v>
      </c>
      <c r="AL41" s="91">
        <f t="shared" si="35"/>
        <v>3.1965514770394998E-2</v>
      </c>
      <c r="AM41" s="91">
        <f t="shared" si="35"/>
        <v>3.1194027359336074E-2</v>
      </c>
      <c r="AN41" s="91">
        <f t="shared" si="35"/>
        <v>3.0616524462689698E-2</v>
      </c>
    </row>
    <row r="42" spans="2:40" x14ac:dyDescent="0.35">
      <c r="B42" s="53" t="s">
        <v>2023</v>
      </c>
      <c r="C42" s="315"/>
      <c r="D42" s="341"/>
      <c r="E42" s="91"/>
      <c r="F42" s="91"/>
      <c r="G42" s="91"/>
      <c r="H42" s="91"/>
      <c r="I42" s="91"/>
      <c r="J42" s="91"/>
      <c r="K42" s="91"/>
      <c r="L42" s="91"/>
      <c r="M42" s="91"/>
      <c r="N42" s="91"/>
      <c r="O42" s="91"/>
      <c r="P42" s="91"/>
      <c r="Q42" s="91"/>
      <c r="R42" s="91"/>
      <c r="S42" s="316"/>
      <c r="T42" s="316"/>
      <c r="U42" s="316"/>
      <c r="V42" s="316"/>
      <c r="W42" s="316"/>
      <c r="X42" s="316"/>
      <c r="Y42" s="316"/>
      <c r="Z42" s="316"/>
      <c r="AA42" s="316"/>
      <c r="AB42" s="316"/>
      <c r="AC42" s="316"/>
      <c r="AD42" s="316"/>
      <c r="AE42" s="316"/>
      <c r="AF42" s="316"/>
      <c r="AG42" s="91"/>
      <c r="AH42" s="91"/>
      <c r="AI42" s="91"/>
      <c r="AJ42" s="91"/>
      <c r="AK42" s="91"/>
      <c r="AL42" s="91"/>
      <c r="AM42" s="91"/>
      <c r="AN42" s="262"/>
    </row>
    <row r="43" spans="2:40" x14ac:dyDescent="0.35">
      <c r="B43" s="53" t="s">
        <v>1918</v>
      </c>
      <c r="C43" s="315"/>
      <c r="D43" s="341"/>
      <c r="E43" s="91"/>
      <c r="F43" s="91"/>
      <c r="G43" s="91"/>
      <c r="H43" s="91"/>
      <c r="I43" s="91"/>
      <c r="J43" s="91"/>
      <c r="K43" s="91"/>
      <c r="L43" s="91"/>
      <c r="M43" s="91"/>
      <c r="N43" s="91"/>
      <c r="O43" s="91"/>
      <c r="P43" s="91"/>
      <c r="Q43" s="91"/>
      <c r="R43" s="91"/>
      <c r="S43" s="316"/>
      <c r="T43" s="316"/>
      <c r="U43" s="316"/>
      <c r="V43" s="316"/>
      <c r="W43" s="316"/>
      <c r="X43" s="316"/>
      <c r="Y43" s="316"/>
      <c r="Z43" s="316"/>
      <c r="AA43" s="316"/>
      <c r="AB43" s="316"/>
      <c r="AC43" s="316"/>
      <c r="AD43" s="316"/>
      <c r="AE43" s="316"/>
      <c r="AF43" s="316"/>
      <c r="AG43" s="91"/>
      <c r="AH43" s="91"/>
      <c r="AI43" s="91"/>
      <c r="AJ43" s="91"/>
      <c r="AK43" s="91"/>
      <c r="AL43" s="91"/>
      <c r="AM43" s="91"/>
      <c r="AN43" s="287"/>
    </row>
    <row r="44" spans="2:40" x14ac:dyDescent="0.35">
      <c r="B44" s="53" t="s">
        <v>1660</v>
      </c>
      <c r="C44" s="315" t="s">
        <v>1651</v>
      </c>
      <c r="D44" s="341">
        <f>('Haver Pivoted'!GO79+1)^4-1</f>
        <v>1.2331231439726587E-2</v>
      </c>
      <c r="E44" s="91">
        <f>('Haver Pivoted'!GP79+1)^4-1</f>
        <v>-2.700843667145636E-2</v>
      </c>
      <c r="F44" s="91">
        <f>('Haver Pivoted'!GQ79+1)^4-1</f>
        <v>2.7562863533678428E-2</v>
      </c>
      <c r="G44" s="91">
        <f>('Haver Pivoted'!GR79+1)^4-1</f>
        <v>1.5442696812244527E-2</v>
      </c>
      <c r="H44" s="91">
        <f>('Haver Pivoted'!GS79+1)^4-1</f>
        <v>2.7307145143274258E-2</v>
      </c>
      <c r="I44" s="91">
        <f>('Haver Pivoted'!GT79+1)^4-1</f>
        <v>5.9535996546742798E-2</v>
      </c>
      <c r="J44" s="91">
        <f>('Haver Pivoted'!GU79+1)^4-1</f>
        <v>-9.1975065640840237E-3</v>
      </c>
      <c r="K44" s="91">
        <f>('Haver Pivoted'!GV79+1)^4-1</f>
        <v>7.3771240745379218E-2</v>
      </c>
      <c r="L44" s="91">
        <f>('Haver Pivoted'!GW79+1)^4-1</f>
        <v>2.244932597506355E-2</v>
      </c>
      <c r="M44" s="91">
        <f>('Haver Pivoted'!GX79+1)^4-1</f>
        <v>9.8536124706156913E-2</v>
      </c>
      <c r="N44" s="91">
        <f>('Haver Pivoted'!GY79+1)^4-1</f>
        <v>7.9440595378410528E-2</v>
      </c>
      <c r="O44" s="91">
        <f>('Haver Pivoted'!GZ79+1)^4-1</f>
        <v>9.5589358464172269E-2</v>
      </c>
      <c r="P44" s="91">
        <f>('Haver Pivoted'!HA79+1)^4-1</f>
        <v>6.1543793251209067E-2</v>
      </c>
      <c r="Q44" s="91">
        <f>('Haver Pivoted'!HB79+1)^4-1</f>
        <v>8.493505060278439E-2</v>
      </c>
      <c r="R44" s="91">
        <f>('Haver Pivoted'!HC79+1)^4-1</f>
        <v>0.13761569997561685</v>
      </c>
      <c r="S44" s="316">
        <f>('Haver Pivoted'!HD79+1)^4-1</f>
        <v>-7.0986884806464312E-3</v>
      </c>
      <c r="T44" s="316">
        <f>('Haver Pivoted'!HE79+1)^4-1</f>
        <v>2.6196504037144352E-2</v>
      </c>
      <c r="U44" s="316">
        <f>('Haver Pivoted'!HF79+1)^4-1</f>
        <v>-3.1273791748105406E-3</v>
      </c>
      <c r="V44" s="316">
        <f>('Haver Pivoted'!HG79+1)^4-1</f>
        <v>-2.9205501903815212E-2</v>
      </c>
      <c r="W44" s="316">
        <f>('Haver Pivoted'!HH79+1)^4-1</f>
        <v>6.8629514503615319E-2</v>
      </c>
      <c r="X44" s="316">
        <f>('Haver Pivoted'!HI79+1)^4-1</f>
        <v>2.85701769710478E-3</v>
      </c>
      <c r="Y44" s="316">
        <f>('Haver Pivoted'!HJ79+1)^4-1</f>
        <v>3.559754204699983E-2</v>
      </c>
      <c r="Z44" s="316">
        <f>('Haver Pivoted'!HK79+1)^4-1</f>
        <v>1.1325100967906065E-2</v>
      </c>
      <c r="AA44" s="316">
        <f>('Haver Pivoted'!HL79+1)^4-1</f>
        <v>1.5799439528322967E-2</v>
      </c>
      <c r="AB44" s="316">
        <f>('Haver Pivoted'!HM79+1)^4-1</f>
        <v>1.3179496159321458E-2</v>
      </c>
      <c r="AC44" s="316">
        <f>('Haver Pivoted'!HN79+1)^4-1</f>
        <v>4.0208263039483549E-2</v>
      </c>
      <c r="AD44" s="316">
        <f>('Haver Pivoted'!HO79+1)^4-1</f>
        <v>9.4748406399700613E-3</v>
      </c>
      <c r="AE44" s="316">
        <f>('Haver Pivoted'!HP79+1)^4-1</f>
        <v>5.0453824597488595E-2</v>
      </c>
      <c r="AF44" s="316">
        <f>('Haver Pivoted'!HQ79+1)^4-1</f>
        <v>1.8981599380795577E-2</v>
      </c>
      <c r="AG44" s="91">
        <f t="shared" ref="AG44:AH44" si="36">AG41</f>
        <v>3.3444979493254978E-2</v>
      </c>
      <c r="AH44" s="91">
        <f t="shared" si="36"/>
        <v>3.389977906086572E-2</v>
      </c>
      <c r="AI44" s="91">
        <f t="shared" ref="AI44:AN44" si="37">AI41</f>
        <v>3.3832251490267806E-2</v>
      </c>
      <c r="AJ44" s="91">
        <f t="shared" si="37"/>
        <v>3.268783942056519E-2</v>
      </c>
      <c r="AK44" s="91">
        <f t="shared" si="37"/>
        <v>3.2745959583311945E-2</v>
      </c>
      <c r="AL44" s="91">
        <f>AL41</f>
        <v>3.1965514770394998E-2</v>
      </c>
      <c r="AM44" s="91">
        <f t="shared" si="37"/>
        <v>3.1194027359336074E-2</v>
      </c>
      <c r="AN44" s="287">
        <f t="shared" si="37"/>
        <v>3.0616524462689698E-2</v>
      </c>
    </row>
    <row r="45" spans="2:40" x14ac:dyDescent="0.35">
      <c r="B45" s="280" t="s">
        <v>1661</v>
      </c>
      <c r="C45" s="339" t="s">
        <v>1652</v>
      </c>
      <c r="D45" s="299">
        <f>('Haver Pivoted'!GO80+1)^4-1</f>
        <v>4.0962242441666019E-2</v>
      </c>
      <c r="E45" s="300">
        <f>('Haver Pivoted'!GP80+1)^4-1</f>
        <v>1.51792670994777E-2</v>
      </c>
      <c r="F45" s="300">
        <f>('Haver Pivoted'!GQ80+1)^4-1</f>
        <v>4.2702169718882965E-2</v>
      </c>
      <c r="G45" s="300">
        <f>('Haver Pivoted'!GR80+1)^4-1</f>
        <v>1.755007684826615E-2</v>
      </c>
      <c r="H45" s="300">
        <f>('Haver Pivoted'!GS80+1)^4-1</f>
        <v>7.6166905113348449E-3</v>
      </c>
      <c r="I45" s="300">
        <f>('Haver Pivoted'!GT80+1)^4-1</f>
        <v>9.8950698745634558E-3</v>
      </c>
      <c r="J45" s="300">
        <f>('Haver Pivoted'!GU80+1)^4-1</f>
        <v>-1.2789870387328262E-2</v>
      </c>
      <c r="K45" s="300">
        <f>('Haver Pivoted'!GV80+1)^4-1</f>
        <v>3.8282641782402038E-2</v>
      </c>
      <c r="L45" s="300">
        <f>('Haver Pivoted'!GW80+1)^4-1</f>
        <v>2.0668452501686696E-2</v>
      </c>
      <c r="M45" s="300">
        <f>('Haver Pivoted'!GX80+1)^4-1</f>
        <v>5.8363676755354144E-2</v>
      </c>
      <c r="N45" s="300">
        <f>('Haver Pivoted'!GY80+1)^4-1</f>
        <v>9.8826458573618492E-2</v>
      </c>
      <c r="O45" s="300">
        <f>('Haver Pivoted'!GZ80+1)^4-1</f>
        <v>8.6257662467865481E-2</v>
      </c>
      <c r="P45" s="300">
        <f>('Haver Pivoted'!HA80+1)^4-1</f>
        <v>0.1244097659954515</v>
      </c>
      <c r="Q45" s="300">
        <f>('Haver Pivoted'!HB80+1)^4-1</f>
        <v>0.12297777676835042</v>
      </c>
      <c r="R45" s="300">
        <f>('Haver Pivoted'!HC80+1)^4-1</f>
        <v>0.14271306895003</v>
      </c>
      <c r="S45" s="332">
        <f>('Haver Pivoted'!HD80+1)^4-1</f>
        <v>9.0911364161965658E-2</v>
      </c>
      <c r="T45" s="332">
        <f>('Haver Pivoted'!HE80+1)^4-1</f>
        <v>5.604185004185358E-2</v>
      </c>
      <c r="U45" s="332">
        <f>('Haver Pivoted'!HF80+1)^4-1</f>
        <v>4.7515946476500925E-2</v>
      </c>
      <c r="V45" s="332">
        <f>('Haver Pivoted'!HG80+1)^4-1</f>
        <v>8.5562957082079283E-3</v>
      </c>
      <c r="W45" s="332">
        <f>('Haver Pivoted'!HH80+1)^4-1</f>
        <v>1.4192265247237046E-3</v>
      </c>
      <c r="X45" s="332">
        <f>('Haver Pivoted'!HI80+1)^4-1</f>
        <v>1.3158017114691001E-2</v>
      </c>
      <c r="Y45" s="332">
        <f>('Haver Pivoted'!HJ80+1)^4-1</f>
        <v>1.7768934566051886E-2</v>
      </c>
      <c r="Z45" s="332">
        <f>('Haver Pivoted'!HK80+1)^4-1</f>
        <v>9.9466962425918126E-3</v>
      </c>
      <c r="AA45" s="332">
        <f>('Haver Pivoted'!HL80+1)^4-1</f>
        <v>2.6297719823208388E-2</v>
      </c>
      <c r="AB45" s="332">
        <f>('Haver Pivoted'!HM80+1)^4-1</f>
        <v>1.4168785751552004E-2</v>
      </c>
      <c r="AC45" s="332">
        <f>('Haver Pivoted'!HN80+1)^4-1</f>
        <v>2.6756972767119525E-2</v>
      </c>
      <c r="AD45" s="332">
        <f>('Haver Pivoted'!HO80+1)^4-1</f>
        <v>2.1913911774258166E-2</v>
      </c>
      <c r="AE45" s="332">
        <f>('Haver Pivoted'!HP80+1)^4-1</f>
        <v>3.2884269065528215E-2</v>
      </c>
      <c r="AF45" s="332">
        <f>('Haver Pivoted'!HQ80+1)^4-1</f>
        <v>4.6608980574989189E-2</v>
      </c>
      <c r="AG45" s="300">
        <f t="shared" ref="AG45:AH45" si="38">AG44</f>
        <v>3.3444979493254978E-2</v>
      </c>
      <c r="AH45" s="300">
        <f t="shared" si="38"/>
        <v>3.389977906086572E-2</v>
      </c>
      <c r="AI45" s="300">
        <f>AI44</f>
        <v>3.3832251490267806E-2</v>
      </c>
      <c r="AJ45" s="300">
        <f t="shared" ref="AJ45:AN45" si="39">AJ44</f>
        <v>3.268783942056519E-2</v>
      </c>
      <c r="AK45" s="300">
        <f t="shared" si="39"/>
        <v>3.2745959583311945E-2</v>
      </c>
      <c r="AL45" s="300">
        <f t="shared" si="39"/>
        <v>3.1965514770394998E-2</v>
      </c>
      <c r="AM45" s="300">
        <f t="shared" si="39"/>
        <v>3.1194027359336074E-2</v>
      </c>
      <c r="AN45" s="301">
        <f t="shared" si="39"/>
        <v>3.0616524462689698E-2</v>
      </c>
    </row>
    <row r="46" spans="2:40" x14ac:dyDescent="0.35">
      <c r="B46" s="44"/>
      <c r="C46" s="315"/>
      <c r="D46" s="91"/>
      <c r="E46" s="91"/>
      <c r="F46" s="91"/>
      <c r="G46" s="91"/>
      <c r="H46" s="91"/>
      <c r="I46" s="91"/>
      <c r="J46" s="91"/>
      <c r="K46" s="91"/>
      <c r="L46" s="91"/>
      <c r="M46" s="91"/>
      <c r="N46" s="91"/>
      <c r="O46" s="91"/>
      <c r="P46" s="91"/>
      <c r="Q46" s="91"/>
      <c r="R46" s="91"/>
      <c r="X46" s="91"/>
      <c r="AB46" s="91">
        <f>AVERAGE(Y41:AB41)</f>
        <v>1.8570675630299738E-2</v>
      </c>
      <c r="AC46" s="91"/>
      <c r="AD46" s="91"/>
      <c r="AE46" s="91"/>
      <c r="AF46" s="91">
        <f>AVERAGE(AC41:AF41)</f>
        <v>3.0201338366941999E-2</v>
      </c>
    </row>
    <row r="47" spans="2:40" x14ac:dyDescent="0.35">
      <c r="B47" s="44"/>
      <c r="C47" s="315"/>
      <c r="D47" s="91"/>
      <c r="E47" s="91"/>
      <c r="F47" s="91"/>
      <c r="G47" s="91"/>
      <c r="H47" s="91"/>
      <c r="I47" s="91"/>
      <c r="J47" s="91"/>
      <c r="K47" s="91"/>
      <c r="L47" s="91"/>
      <c r="M47" s="91"/>
      <c r="N47" s="91"/>
      <c r="O47" s="91"/>
      <c r="P47" s="91"/>
      <c r="Q47" s="91"/>
      <c r="R47" s="91"/>
      <c r="X47" s="91"/>
      <c r="AB47" s="91"/>
      <c r="AC47" s="91"/>
      <c r="AD47" s="91"/>
      <c r="AE47" s="91"/>
      <c r="AF47" s="91">
        <f>AVERAGE(AE41:AF41)</f>
        <v>3.567025785742628E-2</v>
      </c>
    </row>
    <row r="51" spans="2:72" x14ac:dyDescent="0.35">
      <c r="B51" s="44"/>
      <c r="C51" s="315"/>
      <c r="D51" s="91"/>
      <c r="E51" s="91"/>
      <c r="F51" s="91"/>
      <c r="G51" s="91"/>
      <c r="H51" s="91"/>
      <c r="I51" s="91"/>
      <c r="J51" s="91"/>
      <c r="K51" s="91"/>
      <c r="L51" s="91"/>
      <c r="M51" s="91"/>
      <c r="N51" s="91"/>
      <c r="O51" s="91"/>
      <c r="P51" s="91"/>
      <c r="Q51" s="91"/>
      <c r="R51" s="91"/>
      <c r="X51" s="91"/>
      <c r="AB51" s="91"/>
      <c r="AC51" s="91"/>
      <c r="AD51" s="91"/>
      <c r="AE51" s="91"/>
      <c r="AF51" s="91"/>
    </row>
    <row r="52" spans="2:72" x14ac:dyDescent="0.35">
      <c r="B52" s="44"/>
      <c r="C52" s="315"/>
      <c r="D52" s="91"/>
      <c r="E52" s="91"/>
      <c r="F52" s="91"/>
      <c r="G52" s="91"/>
      <c r="H52" s="91"/>
      <c r="I52" s="91"/>
      <c r="J52" s="91"/>
      <c r="K52" s="91"/>
      <c r="L52" s="91"/>
      <c r="M52" s="91"/>
      <c r="N52" s="91"/>
      <c r="O52" s="91"/>
      <c r="P52" s="91"/>
      <c r="Q52" s="91"/>
      <c r="R52" s="91"/>
      <c r="X52" s="91"/>
      <c r="AB52" s="91"/>
      <c r="AC52" s="91"/>
      <c r="AD52" s="91"/>
      <c r="AE52" s="91"/>
      <c r="AF52" s="91"/>
    </row>
    <row r="53" spans="2:72" x14ac:dyDescent="0.35">
      <c r="B53" s="44"/>
      <c r="C53" s="315"/>
      <c r="D53" s="91"/>
      <c r="E53" s="91"/>
      <c r="F53" s="91"/>
      <c r="G53" s="91"/>
      <c r="H53" s="91"/>
      <c r="I53" s="91"/>
      <c r="J53" s="91"/>
      <c r="K53" s="91"/>
      <c r="L53" s="91"/>
      <c r="M53" s="91"/>
      <c r="N53" s="91"/>
      <c r="O53" s="91"/>
      <c r="P53" s="91"/>
      <c r="Q53" s="91"/>
      <c r="R53" s="91"/>
      <c r="X53" s="91"/>
      <c r="AB53" s="91"/>
      <c r="AC53" s="91"/>
      <c r="AD53" s="91"/>
      <c r="AE53" s="91"/>
      <c r="AF53" s="91"/>
    </row>
    <row r="54" spans="2:72" x14ac:dyDescent="0.35">
      <c r="B54" s="44"/>
      <c r="C54" s="315"/>
      <c r="D54" s="91"/>
      <c r="E54" s="91"/>
      <c r="F54" s="91"/>
      <c r="G54" s="91"/>
      <c r="H54" s="91"/>
      <c r="I54" s="91"/>
      <c r="J54" s="91"/>
      <c r="K54" s="91"/>
      <c r="L54" s="91"/>
      <c r="M54" s="91"/>
      <c r="N54" s="91"/>
      <c r="O54" s="91"/>
      <c r="P54" s="91"/>
      <c r="Q54" s="91"/>
      <c r="R54" s="91"/>
      <c r="X54" s="91"/>
      <c r="Y54" s="91"/>
      <c r="Z54" s="91"/>
      <c r="AA54" s="91"/>
      <c r="AB54" s="91"/>
      <c r="AC54" s="91"/>
      <c r="AD54" s="91"/>
      <c r="AE54" s="91"/>
      <c r="AF54" s="91"/>
    </row>
    <row r="55" spans="2:72" ht="14.5" customHeight="1" x14ac:dyDescent="0.35">
      <c r="B55" s="1416" t="s">
        <v>1680</v>
      </c>
      <c r="C55" s="1416"/>
      <c r="D55" s="1416"/>
      <c r="E55" s="1416"/>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row>
    <row r="56" spans="2:72" ht="30" customHeight="1" x14ac:dyDescent="0.35">
      <c r="B56" s="308" t="s">
        <v>2031</v>
      </c>
      <c r="C56" s="331"/>
      <c r="D56" s="249">
        <v>2018</v>
      </c>
      <c r="E56" s="1398">
        <v>2019</v>
      </c>
      <c r="F56" s="1399"/>
      <c r="G56" s="1399"/>
      <c r="H56" s="1400"/>
      <c r="I56" s="1398">
        <v>2020</v>
      </c>
      <c r="J56" s="1399"/>
      <c r="K56" s="1399"/>
      <c r="L56" s="1399"/>
      <c r="M56" s="1398">
        <v>2021</v>
      </c>
      <c r="N56" s="1399"/>
      <c r="O56" s="1399"/>
      <c r="P56" s="1399"/>
      <c r="Q56" s="1417">
        <v>2022</v>
      </c>
      <c r="R56" s="1418"/>
      <c r="S56" s="277"/>
      <c r="T56" s="279"/>
      <c r="U56" s="1398">
        <v>2023</v>
      </c>
      <c r="V56" s="1399"/>
      <c r="W56" s="1399"/>
      <c r="X56" s="1400"/>
      <c r="Y56" s="283"/>
      <c r="Z56" s="277">
        <v>2024</v>
      </c>
      <c r="AA56" s="277"/>
      <c r="AB56" s="277"/>
      <c r="AC56" s="1398">
        <v>2025</v>
      </c>
      <c r="AD56" s="1415"/>
      <c r="AE56" s="1415"/>
      <c r="AF56" s="1400"/>
      <c r="AG56" s="1412">
        <v>2026</v>
      </c>
      <c r="AH56" s="1413"/>
      <c r="AI56" s="1413"/>
      <c r="AJ56" s="1414"/>
      <c r="AK56" s="1412">
        <v>2027</v>
      </c>
      <c r="AL56" s="1413"/>
      <c r="AM56" s="1413"/>
      <c r="AN56" s="1414"/>
    </row>
    <row r="57" spans="2:72" x14ac:dyDescent="0.35">
      <c r="B57" s="295"/>
      <c r="C57" s="268"/>
      <c r="D57" s="272" t="s">
        <v>248</v>
      </c>
      <c r="E57" s="272" t="s">
        <v>249</v>
      </c>
      <c r="F57" s="273" t="s">
        <v>250</v>
      </c>
      <c r="G57" s="273" t="s">
        <v>226</v>
      </c>
      <c r="H57" s="271" t="s">
        <v>248</v>
      </c>
      <c r="I57" s="273" t="s">
        <v>249</v>
      </c>
      <c r="J57" s="273" t="s">
        <v>250</v>
      </c>
      <c r="K57" s="273" t="s">
        <v>226</v>
      </c>
      <c r="L57" s="273" t="s">
        <v>248</v>
      </c>
      <c r="M57" s="272" t="s">
        <v>249</v>
      </c>
      <c r="N57" s="273" t="s">
        <v>250</v>
      </c>
      <c r="O57" s="273" t="s">
        <v>226</v>
      </c>
      <c r="P57" s="273" t="s">
        <v>248</v>
      </c>
      <c r="Q57" s="272" t="s">
        <v>249</v>
      </c>
      <c r="R57" s="273" t="s">
        <v>250</v>
      </c>
      <c r="S57" s="273" t="s">
        <v>226</v>
      </c>
      <c r="T57" s="271" t="s">
        <v>248</v>
      </c>
      <c r="U57" s="272" t="s">
        <v>249</v>
      </c>
      <c r="V57" s="273" t="s">
        <v>250</v>
      </c>
      <c r="W57" s="273" t="s">
        <v>226</v>
      </c>
      <c r="X57" s="271" t="s">
        <v>248</v>
      </c>
      <c r="Y57" s="272" t="s">
        <v>249</v>
      </c>
      <c r="Z57" s="274" t="s">
        <v>250</v>
      </c>
      <c r="AA57" s="273" t="s">
        <v>226</v>
      </c>
      <c r="AB57" s="271" t="s">
        <v>248</v>
      </c>
      <c r="AC57" s="273" t="s">
        <v>249</v>
      </c>
      <c r="AD57" s="273" t="s">
        <v>250</v>
      </c>
      <c r="AE57" s="274" t="s">
        <v>226</v>
      </c>
      <c r="AF57" s="273" t="s">
        <v>248</v>
      </c>
      <c r="AG57" s="275" t="s">
        <v>249</v>
      </c>
      <c r="AH57" s="269" t="s">
        <v>250</v>
      </c>
      <c r="AI57" s="270" t="s">
        <v>226</v>
      </c>
      <c r="AJ57" s="276" t="s">
        <v>248</v>
      </c>
      <c r="AK57" s="275" t="s">
        <v>249</v>
      </c>
      <c r="AL57" s="269" t="s">
        <v>250</v>
      </c>
      <c r="AM57" s="270" t="s">
        <v>226</v>
      </c>
      <c r="AN57" s="276" t="s">
        <v>248</v>
      </c>
    </row>
    <row r="58" spans="2:72" ht="28.5" customHeight="1" x14ac:dyDescent="0.35">
      <c r="B58" s="302" t="s">
        <v>1865</v>
      </c>
      <c r="C58" s="44" t="s">
        <v>1663</v>
      </c>
      <c r="D58" s="265"/>
      <c r="E58" s="265"/>
      <c r="F58" s="265"/>
      <c r="G58" s="265"/>
      <c r="H58" s="265"/>
      <c r="I58" s="265"/>
      <c r="J58" s="265"/>
      <c r="K58" s="265"/>
      <c r="L58" s="265"/>
      <c r="M58" s="284">
        <v>15217.7</v>
      </c>
      <c r="N58" s="284">
        <v>15950.9</v>
      </c>
      <c r="O58" s="284">
        <v>16285.1</v>
      </c>
      <c r="P58" s="284">
        <v>16718.2</v>
      </c>
      <c r="Q58" s="284">
        <v>17175.099999999999</v>
      </c>
      <c r="R58" s="284">
        <v>17603.8</v>
      </c>
      <c r="S58" s="292">
        <v>17876.2</v>
      </c>
      <c r="T58" s="292">
        <v>18108.3</v>
      </c>
      <c r="U58" s="292">
        <v>18487</v>
      </c>
      <c r="V58" s="292">
        <v>18693.099999999999</v>
      </c>
      <c r="W58" s="292">
        <v>18961.8</v>
      </c>
      <c r="X58" s="292">
        <v>19190.599999999999</v>
      </c>
      <c r="Y58" s="292">
        <v>19443.8</v>
      </c>
      <c r="Z58" s="292">
        <v>19756.099999999999</v>
      </c>
      <c r="AA58" s="292">
        <v>20032.8</v>
      </c>
      <c r="AB58" s="292">
        <v>20351.3</v>
      </c>
      <c r="AC58" s="292">
        <v>20555</v>
      </c>
      <c r="AD58" s="292">
        <v>20789.900000000001</v>
      </c>
      <c r="AE58" s="292">
        <v>21084.9</v>
      </c>
      <c r="AF58" s="292">
        <v>21302.400000000001</v>
      </c>
      <c r="AG58" s="292">
        <v>21532.2</v>
      </c>
      <c r="AH58" s="288">
        <v>21801.9</v>
      </c>
      <c r="AI58" s="288">
        <v>22048.9</v>
      </c>
      <c r="AJ58" s="288">
        <v>22281.599999999999</v>
      </c>
      <c r="AK58" s="288">
        <v>22497.4</v>
      </c>
      <c r="AL58" s="288">
        <v>22705.1</v>
      </c>
      <c r="AM58" s="288">
        <v>22924.1</v>
      </c>
      <c r="AN58" s="288">
        <v>23141.1</v>
      </c>
      <c r="AO58" s="288">
        <v>23365.5</v>
      </c>
      <c r="AP58" s="288">
        <v>23584</v>
      </c>
      <c r="AQ58" s="288">
        <v>23802.7</v>
      </c>
      <c r="AR58" s="288">
        <v>24019.9</v>
      </c>
      <c r="AS58" s="288">
        <v>24247.1</v>
      </c>
      <c r="AT58" s="288">
        <v>24479.3</v>
      </c>
      <c r="AU58" s="288">
        <v>24716.9</v>
      </c>
      <c r="AV58" s="288">
        <v>24958.5</v>
      </c>
      <c r="AW58" s="288">
        <v>25212.5</v>
      </c>
      <c r="AX58" s="288">
        <v>25465.1</v>
      </c>
      <c r="AY58" s="288">
        <v>25720.5</v>
      </c>
      <c r="AZ58" s="288">
        <v>25973</v>
      </c>
      <c r="BA58" s="288">
        <v>26230.7</v>
      </c>
      <c r="BB58" s="288">
        <v>26480.7</v>
      </c>
      <c r="BC58" s="288">
        <v>26731.4</v>
      </c>
      <c r="BD58" s="288">
        <v>26981</v>
      </c>
      <c r="BE58" s="288">
        <v>27238.1</v>
      </c>
      <c r="BF58" s="288">
        <v>27500.2</v>
      </c>
      <c r="BG58" s="288">
        <v>27758.400000000001</v>
      </c>
      <c r="BH58" s="288">
        <v>28018</v>
      </c>
      <c r="BI58" s="288">
        <v>28288.7</v>
      </c>
      <c r="BJ58" s="288">
        <v>28577.9</v>
      </c>
      <c r="BK58" s="288">
        <v>28861</v>
      </c>
      <c r="BL58" s="288">
        <v>29143.4</v>
      </c>
      <c r="BM58" s="288">
        <v>29427.3</v>
      </c>
      <c r="BN58" s="288">
        <v>29713.7</v>
      </c>
      <c r="BO58" s="288">
        <v>30002.7</v>
      </c>
      <c r="BP58" s="288">
        <v>29899.7</v>
      </c>
      <c r="BQ58">
        <v>30207</v>
      </c>
      <c r="BR58">
        <v>30516</v>
      </c>
      <c r="BS58">
        <v>30827</v>
      </c>
      <c r="BT58">
        <v>31138.6</v>
      </c>
    </row>
    <row r="59" spans="2:72" ht="26.25" customHeight="1" x14ac:dyDescent="0.35">
      <c r="B59" s="302" t="s">
        <v>1866</v>
      </c>
      <c r="C59" s="44" t="s">
        <v>1664</v>
      </c>
      <c r="D59" s="53"/>
      <c r="E59" s="44"/>
      <c r="F59" s="44"/>
      <c r="G59" s="44"/>
      <c r="H59" s="44"/>
      <c r="I59" s="44"/>
      <c r="J59" s="44"/>
      <c r="K59" s="44"/>
      <c r="L59" s="44"/>
      <c r="M59" s="288">
        <v>1609.9</v>
      </c>
      <c r="N59" s="288">
        <v>1588.5</v>
      </c>
      <c r="O59" s="288">
        <v>1576.4</v>
      </c>
      <c r="P59" s="288">
        <v>1602.5</v>
      </c>
      <c r="Q59" s="288">
        <v>1606.5</v>
      </c>
      <c r="R59" s="288">
        <v>1622.1</v>
      </c>
      <c r="S59" s="292">
        <v>1641.4</v>
      </c>
      <c r="T59" s="292">
        <v>1694.2</v>
      </c>
      <c r="U59" s="292">
        <v>1727.7</v>
      </c>
      <c r="V59" s="292">
        <v>1738.8</v>
      </c>
      <c r="W59" s="292">
        <v>1784.4</v>
      </c>
      <c r="X59" s="292">
        <v>1812</v>
      </c>
      <c r="Y59" s="292">
        <v>1834.3</v>
      </c>
      <c r="Z59" s="292">
        <v>1867.5</v>
      </c>
      <c r="AA59" s="292">
        <v>1917.9</v>
      </c>
      <c r="AB59" s="292">
        <v>1950</v>
      </c>
      <c r="AC59" s="292">
        <v>1949.7</v>
      </c>
      <c r="AD59" s="292">
        <v>1956.4</v>
      </c>
      <c r="AE59" s="292">
        <v>1980</v>
      </c>
      <c r="AF59" s="292">
        <v>1954.4</v>
      </c>
      <c r="AG59" s="303">
        <v>2056.3000000000002</v>
      </c>
      <c r="AH59" s="303">
        <v>2049.5</v>
      </c>
      <c r="AI59" s="303">
        <v>2065.6</v>
      </c>
      <c r="AJ59" s="303">
        <v>2078.3000000000002</v>
      </c>
      <c r="AK59" s="303">
        <v>2090</v>
      </c>
      <c r="AL59" s="303">
        <v>2100.8000000000002</v>
      </c>
      <c r="AM59" s="303">
        <v>2112.1999999999998</v>
      </c>
      <c r="AN59" s="303">
        <v>2118.1999999999998</v>
      </c>
      <c r="AO59" s="303">
        <v>2122.1</v>
      </c>
      <c r="AP59" s="288">
        <v>2130.1999999999998</v>
      </c>
      <c r="AQ59" s="288">
        <v>2138.4</v>
      </c>
      <c r="AR59" s="288">
        <v>2148.9</v>
      </c>
      <c r="AS59" s="288">
        <v>2158.8000000000002</v>
      </c>
      <c r="AT59" s="288">
        <v>2168.3000000000002</v>
      </c>
      <c r="AU59" s="288">
        <v>2177.3000000000002</v>
      </c>
      <c r="AV59" s="288">
        <v>2184.1999999999998</v>
      </c>
      <c r="AW59" s="288">
        <v>2190.1999999999998</v>
      </c>
      <c r="AX59" s="288">
        <v>2196.4</v>
      </c>
      <c r="AY59" s="288">
        <v>2203.1</v>
      </c>
      <c r="AZ59" s="288">
        <v>2209.6999999999998</v>
      </c>
      <c r="BA59" s="288">
        <v>2216.8000000000002</v>
      </c>
      <c r="BB59" s="288">
        <v>2224.5</v>
      </c>
      <c r="BC59" s="288">
        <v>2232.6</v>
      </c>
      <c r="BD59" s="288">
        <v>2240.5</v>
      </c>
      <c r="BE59" s="288">
        <v>2253</v>
      </c>
      <c r="BF59" s="288">
        <v>2258</v>
      </c>
      <c r="BG59" s="288">
        <v>2267.4</v>
      </c>
      <c r="BH59" s="288">
        <v>2278.1999999999998</v>
      </c>
      <c r="BI59" s="288">
        <v>2289.6</v>
      </c>
      <c r="BJ59" s="288">
        <v>2301.4</v>
      </c>
      <c r="BK59" s="288">
        <v>2312.6</v>
      </c>
      <c r="BL59" s="288">
        <v>2322.8000000000002</v>
      </c>
      <c r="BM59" s="288">
        <v>2332.9</v>
      </c>
      <c r="BN59" s="288">
        <v>2343.1999999999998</v>
      </c>
      <c r="BO59" s="288">
        <v>2353.8000000000002</v>
      </c>
      <c r="BP59" s="288">
        <v>2343.6</v>
      </c>
      <c r="BQ59">
        <v>2356.9</v>
      </c>
      <c r="BR59">
        <v>2370.1999999999998</v>
      </c>
      <c r="BS59">
        <v>2383.6999999999998</v>
      </c>
      <c r="BT59">
        <v>2397.6</v>
      </c>
    </row>
    <row r="60" spans="2:72" ht="26.25" customHeight="1" x14ac:dyDescent="0.35">
      <c r="B60" s="302" t="s">
        <v>1867</v>
      </c>
      <c r="C60" s="44" t="s">
        <v>1664</v>
      </c>
      <c r="D60" s="53"/>
      <c r="E60" s="44"/>
      <c r="F60" s="44"/>
      <c r="G60" s="44"/>
      <c r="H60" s="44"/>
      <c r="I60" s="44"/>
      <c r="J60" s="44"/>
      <c r="K60" s="44"/>
      <c r="L60" s="44"/>
      <c r="M60" s="288">
        <v>2533.9</v>
      </c>
      <c r="N60" s="288">
        <v>2571.6999999999998</v>
      </c>
      <c r="O60" s="288">
        <v>2625.1</v>
      </c>
      <c r="P60" s="288">
        <v>2664.2</v>
      </c>
      <c r="Q60" s="288">
        <v>2726.1</v>
      </c>
      <c r="R60" s="288">
        <v>2815.5</v>
      </c>
      <c r="S60" s="292">
        <v>2838.7</v>
      </c>
      <c r="T60" s="292">
        <v>2870.6</v>
      </c>
      <c r="U60" s="292">
        <v>2912.8</v>
      </c>
      <c r="V60" s="292">
        <v>2934.6</v>
      </c>
      <c r="W60" s="292">
        <v>3005.4</v>
      </c>
      <c r="X60" s="292">
        <v>3049</v>
      </c>
      <c r="Y60" s="292">
        <v>3097.5</v>
      </c>
      <c r="Z60" s="292">
        <v>3127.6</v>
      </c>
      <c r="AA60" s="292">
        <v>3169.1</v>
      </c>
      <c r="AB60" s="292">
        <v>3200.8</v>
      </c>
      <c r="AC60" s="292">
        <v>3245.8</v>
      </c>
      <c r="AD60" s="292">
        <v>3280.6</v>
      </c>
      <c r="AE60" s="292">
        <v>3317.3</v>
      </c>
      <c r="AF60" s="292">
        <v>3352.6</v>
      </c>
      <c r="AG60" s="284">
        <v>3384.5</v>
      </c>
      <c r="AH60" s="284">
        <v>3416.8</v>
      </c>
      <c r="AI60" s="284">
        <v>3449.9</v>
      </c>
      <c r="AJ60" s="284">
        <v>3480.4</v>
      </c>
      <c r="AK60" s="284">
        <v>3512.2</v>
      </c>
      <c r="AL60" s="284">
        <v>3543.9</v>
      </c>
      <c r="AM60" s="284">
        <v>3574.5</v>
      </c>
      <c r="AN60" s="284">
        <v>3605</v>
      </c>
      <c r="AO60" s="284">
        <v>3635.3</v>
      </c>
      <c r="AP60" s="288">
        <v>3665.9</v>
      </c>
      <c r="AQ60" s="288">
        <v>3696.8</v>
      </c>
      <c r="AR60" s="288">
        <v>3727.7</v>
      </c>
      <c r="AS60" s="288">
        <v>3759.3</v>
      </c>
      <c r="AT60" s="288">
        <v>3790.1</v>
      </c>
      <c r="AU60" s="288">
        <v>3820.9</v>
      </c>
      <c r="AV60" s="288">
        <v>3851.8</v>
      </c>
      <c r="AW60" s="288">
        <v>3882.5</v>
      </c>
      <c r="AX60" s="288">
        <v>3913.7</v>
      </c>
      <c r="AY60" s="288">
        <v>3945.1</v>
      </c>
      <c r="AZ60" s="288">
        <v>3977</v>
      </c>
      <c r="BA60" s="288">
        <v>4009.2</v>
      </c>
      <c r="BB60" s="288">
        <v>4042.1</v>
      </c>
      <c r="BC60" s="288">
        <v>4075.4</v>
      </c>
      <c r="BD60" s="288">
        <v>4108.8999999999996</v>
      </c>
      <c r="BE60" s="288">
        <v>4142.5</v>
      </c>
      <c r="BF60" s="288">
        <v>4176.3</v>
      </c>
      <c r="BG60" s="288">
        <v>4210.3999999999996</v>
      </c>
      <c r="BH60" s="288">
        <v>4244.7</v>
      </c>
      <c r="BI60" s="288">
        <v>4278.8999999999996</v>
      </c>
      <c r="BJ60" s="288">
        <v>4312.7</v>
      </c>
      <c r="BK60" s="288">
        <v>4347</v>
      </c>
      <c r="BL60" s="288">
        <v>4381.7</v>
      </c>
      <c r="BM60" s="288">
        <v>4416.5</v>
      </c>
      <c r="BN60" s="288">
        <v>4451.5</v>
      </c>
      <c r="BO60" s="288">
        <v>4486.5</v>
      </c>
      <c r="BP60" s="288">
        <v>4389</v>
      </c>
      <c r="BQ60">
        <v>4422.3999999999996</v>
      </c>
      <c r="BR60">
        <v>4456</v>
      </c>
      <c r="BS60">
        <v>4489.8</v>
      </c>
      <c r="BT60">
        <v>4524</v>
      </c>
    </row>
    <row r="61" spans="2:72" ht="26.25" customHeight="1" x14ac:dyDescent="0.35">
      <c r="B61" s="302" t="s">
        <v>1868</v>
      </c>
      <c r="C61" s="44" t="s">
        <v>1665</v>
      </c>
      <c r="D61" s="53"/>
      <c r="E61" s="44"/>
      <c r="F61" s="44"/>
      <c r="G61" s="44"/>
      <c r="H61" s="44"/>
      <c r="I61" s="44"/>
      <c r="J61" s="44"/>
      <c r="K61" s="44"/>
      <c r="L61" s="44"/>
      <c r="M61" s="288">
        <v>14282.6</v>
      </c>
      <c r="N61" s="288">
        <v>14745.6</v>
      </c>
      <c r="O61" s="288">
        <v>14848.8</v>
      </c>
      <c r="P61" s="288">
        <v>14995.6</v>
      </c>
      <c r="Q61" s="288">
        <v>15123.4</v>
      </c>
      <c r="R61" s="288">
        <v>15219.9</v>
      </c>
      <c r="S61" s="292">
        <v>15277.6</v>
      </c>
      <c r="T61" s="292">
        <v>15324</v>
      </c>
      <c r="U61" s="292">
        <v>15495.8</v>
      </c>
      <c r="V61" s="292">
        <v>15553.7</v>
      </c>
      <c r="W61" s="292">
        <v>15671.9</v>
      </c>
      <c r="X61" s="292">
        <v>15789.7</v>
      </c>
      <c r="Y61" s="292">
        <v>15857.7</v>
      </c>
      <c r="Z61" s="292">
        <v>16009.6</v>
      </c>
      <c r="AA61" s="292">
        <v>16165.8</v>
      </c>
      <c r="AB61" s="292">
        <v>16320.9</v>
      </c>
      <c r="AC61" s="292">
        <v>16345.8</v>
      </c>
      <c r="AD61" s="292">
        <v>16445.7</v>
      </c>
      <c r="AE61" s="292">
        <v>16566.7</v>
      </c>
      <c r="AF61" s="292">
        <v>16620.2</v>
      </c>
      <c r="AG61" s="284">
        <v>16677.7</v>
      </c>
      <c r="AH61" s="284">
        <v>16771.3</v>
      </c>
      <c r="AI61" s="284">
        <v>16851.5</v>
      </c>
      <c r="AJ61" s="284">
        <v>16926.599999999999</v>
      </c>
      <c r="AK61" s="284">
        <v>16990.7</v>
      </c>
      <c r="AL61" s="284">
        <v>17049.900000000001</v>
      </c>
      <c r="AM61" s="284">
        <v>17118.3</v>
      </c>
      <c r="AN61" s="284">
        <v>17185.599999999999</v>
      </c>
      <c r="AO61" s="284">
        <v>17258.7</v>
      </c>
      <c r="AP61" s="288">
        <v>17327.7</v>
      </c>
      <c r="AQ61" s="288">
        <v>17396.7</v>
      </c>
      <c r="AR61" s="288">
        <v>17464.400000000001</v>
      </c>
      <c r="AS61" s="288">
        <v>17539.099999999999</v>
      </c>
      <c r="AT61" s="288">
        <v>17616.900000000001</v>
      </c>
      <c r="AU61" s="288">
        <v>17697.900000000001</v>
      </c>
      <c r="AV61" s="288">
        <v>17781</v>
      </c>
      <c r="AW61" s="288">
        <v>17872.099999999999</v>
      </c>
      <c r="AX61" s="288">
        <v>17961.3</v>
      </c>
      <c r="AY61" s="288">
        <v>18051.5</v>
      </c>
      <c r="AZ61" s="288">
        <v>18138.599999999999</v>
      </c>
      <c r="BA61" s="288">
        <v>18228.400000000001</v>
      </c>
      <c r="BB61" s="288">
        <v>18311.7</v>
      </c>
      <c r="BC61" s="288">
        <v>18394.400000000001</v>
      </c>
      <c r="BD61" s="288">
        <v>18475.400000000001</v>
      </c>
      <c r="BE61" s="288">
        <v>18560.3</v>
      </c>
      <c r="BF61" s="288">
        <v>18647.5</v>
      </c>
      <c r="BG61" s="288">
        <v>18730.900000000001</v>
      </c>
      <c r="BH61" s="288">
        <v>18814.099999999999</v>
      </c>
      <c r="BI61" s="288">
        <v>18903.599999999999</v>
      </c>
      <c r="BJ61" s="288">
        <v>19004.099999999999</v>
      </c>
      <c r="BK61" s="288">
        <v>19099.2</v>
      </c>
      <c r="BL61" s="288">
        <v>19192.599999999999</v>
      </c>
      <c r="BM61" s="288">
        <v>19285.7</v>
      </c>
      <c r="BN61" s="288">
        <v>19379.099999999999</v>
      </c>
      <c r="BO61" s="288">
        <v>19472.8</v>
      </c>
      <c r="BP61" s="288">
        <v>19690.099999999999</v>
      </c>
      <c r="BQ61">
        <v>19796.2</v>
      </c>
      <c r="BR61">
        <v>19902.099999999999</v>
      </c>
      <c r="BS61">
        <v>20007.8</v>
      </c>
      <c r="BT61">
        <v>20112.400000000001</v>
      </c>
    </row>
    <row r="62" spans="2:72" ht="26.25" customHeight="1" x14ac:dyDescent="0.35">
      <c r="B62" s="302" t="s">
        <v>1869</v>
      </c>
      <c r="C62" s="44" t="s">
        <v>1666</v>
      </c>
      <c r="D62" s="53"/>
      <c r="E62" s="44"/>
      <c r="F62" s="44"/>
      <c r="G62" s="44"/>
      <c r="H62" s="44"/>
      <c r="I62" s="44"/>
      <c r="J62" s="44"/>
      <c r="K62" s="44"/>
      <c r="L62" s="44"/>
      <c r="M62" s="288">
        <v>1499.1</v>
      </c>
      <c r="N62" s="288">
        <v>1464.8</v>
      </c>
      <c r="O62" s="288">
        <v>1439.1</v>
      </c>
      <c r="P62" s="288">
        <v>1446.5</v>
      </c>
      <c r="Q62" s="288">
        <v>1426.3</v>
      </c>
      <c r="R62" s="288">
        <v>1414.4</v>
      </c>
      <c r="S62" s="292">
        <v>1412.9</v>
      </c>
      <c r="T62" s="292">
        <v>1443.6</v>
      </c>
      <c r="U62" s="292">
        <v>1456.3</v>
      </c>
      <c r="V62" s="292">
        <v>1456.1</v>
      </c>
      <c r="W62" s="292">
        <v>1480.3</v>
      </c>
      <c r="X62" s="292">
        <v>1492.8</v>
      </c>
      <c r="Y62" s="292">
        <v>1495.8</v>
      </c>
      <c r="Z62" s="292">
        <v>1511.5</v>
      </c>
      <c r="AA62" s="292">
        <v>1542.9</v>
      </c>
      <c r="AB62" s="292">
        <v>1559.5</v>
      </c>
      <c r="AC62" s="292">
        <v>1537.2</v>
      </c>
      <c r="AD62" s="292">
        <v>1516.6</v>
      </c>
      <c r="AE62" s="292">
        <v>1518.3</v>
      </c>
      <c r="AF62" s="292">
        <v>1464.2</v>
      </c>
      <c r="AG62" s="284">
        <v>1565.9</v>
      </c>
      <c r="AH62" s="284">
        <v>1548.6</v>
      </c>
      <c r="AI62" s="284">
        <v>1547.9</v>
      </c>
      <c r="AJ62" s="284">
        <v>1549.5</v>
      </c>
      <c r="AK62" s="284">
        <v>1550.7</v>
      </c>
      <c r="AL62" s="284">
        <v>1552.8</v>
      </c>
      <c r="AM62" s="284">
        <v>1554.4</v>
      </c>
      <c r="AN62" s="284">
        <v>1551.6</v>
      </c>
      <c r="AO62" s="284">
        <v>1546.5</v>
      </c>
      <c r="AP62" s="288">
        <v>1543.5</v>
      </c>
      <c r="AQ62" s="288">
        <v>1541.4</v>
      </c>
      <c r="AR62" s="288">
        <v>1541.1</v>
      </c>
      <c r="AS62" s="288">
        <v>1540.8</v>
      </c>
      <c r="AT62" s="288">
        <v>1540.1</v>
      </c>
      <c r="AU62" s="288">
        <v>1539.1</v>
      </c>
      <c r="AV62" s="288">
        <v>1536.3</v>
      </c>
      <c r="AW62" s="288">
        <v>1533</v>
      </c>
      <c r="AX62" s="288">
        <v>1529.8</v>
      </c>
      <c r="AY62" s="288">
        <v>1526.9</v>
      </c>
      <c r="AZ62" s="288">
        <v>1524.3</v>
      </c>
      <c r="BA62" s="288">
        <v>1521.9</v>
      </c>
      <c r="BB62" s="288">
        <v>1519.9</v>
      </c>
      <c r="BC62" s="288">
        <v>1518.2</v>
      </c>
      <c r="BD62" s="288">
        <v>1516.5</v>
      </c>
      <c r="BE62" s="288">
        <v>1518.2</v>
      </c>
      <c r="BF62" s="288">
        <v>1514.6</v>
      </c>
      <c r="BG62" s="288">
        <v>1513.6</v>
      </c>
      <c r="BH62" s="288">
        <v>1513.1</v>
      </c>
      <c r="BI62" s="288">
        <v>1513</v>
      </c>
      <c r="BJ62" s="288">
        <v>1513</v>
      </c>
      <c r="BK62" s="288">
        <v>1512.7</v>
      </c>
      <c r="BL62" s="288">
        <v>1511.8</v>
      </c>
      <c r="BM62" s="288">
        <v>1510.8</v>
      </c>
      <c r="BN62" s="288">
        <v>1509.8</v>
      </c>
      <c r="BO62" s="288">
        <v>1509.1</v>
      </c>
      <c r="BP62" s="288">
        <v>1517</v>
      </c>
      <c r="BQ62">
        <v>1517.9</v>
      </c>
      <c r="BR62">
        <v>1518.8</v>
      </c>
      <c r="BS62">
        <v>1519.7</v>
      </c>
      <c r="BT62">
        <v>1520.8</v>
      </c>
    </row>
    <row r="63" spans="2:72" ht="26.15" customHeight="1" x14ac:dyDescent="0.35">
      <c r="B63" s="302" t="s">
        <v>1870</v>
      </c>
      <c r="C63" s="43" t="s">
        <v>1667</v>
      </c>
      <c r="D63" s="280"/>
      <c r="E63" s="43"/>
      <c r="F63" s="43"/>
      <c r="G63" s="43"/>
      <c r="H63" s="43"/>
      <c r="I63" s="43"/>
      <c r="J63" s="43"/>
      <c r="K63" s="43"/>
      <c r="L63" s="43"/>
      <c r="M63" s="294">
        <v>2247</v>
      </c>
      <c r="N63" s="294">
        <v>2239.1999999999998</v>
      </c>
      <c r="O63" s="294">
        <v>2250.1</v>
      </c>
      <c r="P63" s="294">
        <v>2240.9</v>
      </c>
      <c r="Q63" s="294">
        <v>2235.3000000000002</v>
      </c>
      <c r="R63" s="294">
        <v>2232.9</v>
      </c>
      <c r="S63" s="293">
        <v>2248</v>
      </c>
      <c r="T63" s="293">
        <v>2266.9</v>
      </c>
      <c r="U63" s="293">
        <v>2287</v>
      </c>
      <c r="V63" s="293">
        <v>2317.1</v>
      </c>
      <c r="W63" s="293">
        <v>2340.9</v>
      </c>
      <c r="X63" s="293">
        <v>2372</v>
      </c>
      <c r="Y63" s="293">
        <v>2390.6999999999998</v>
      </c>
      <c r="Z63" s="292">
        <v>2407.3000000000002</v>
      </c>
      <c r="AA63" s="292">
        <v>2428.5</v>
      </c>
      <c r="AB63" s="292">
        <v>2444.6999999999998</v>
      </c>
      <c r="AC63" s="292">
        <v>2456.3000000000002</v>
      </c>
      <c r="AD63" s="292">
        <v>2475.3000000000002</v>
      </c>
      <c r="AE63" s="292">
        <v>2482.8000000000002</v>
      </c>
      <c r="AF63" s="292">
        <v>2487.3000000000002</v>
      </c>
      <c r="AG63" s="288">
        <v>2490.4</v>
      </c>
      <c r="AH63" s="288">
        <v>2493.3000000000002</v>
      </c>
      <c r="AI63" s="288">
        <v>2496.6</v>
      </c>
      <c r="AJ63" s="288">
        <v>2498.5</v>
      </c>
      <c r="AK63" s="284">
        <v>2501.1</v>
      </c>
      <c r="AL63" s="284">
        <v>2503.9</v>
      </c>
      <c r="AM63" s="284">
        <v>2506.1999999999998</v>
      </c>
      <c r="AN63" s="284">
        <v>2508.6</v>
      </c>
      <c r="AO63" s="284">
        <v>2510.9</v>
      </c>
      <c r="AP63" s="288">
        <v>2513.4</v>
      </c>
      <c r="AQ63" s="288">
        <v>2515.9</v>
      </c>
      <c r="AR63" s="288">
        <v>2518.6</v>
      </c>
      <c r="AS63" s="288">
        <v>2521.6999999999998</v>
      </c>
      <c r="AT63" s="288">
        <v>2524.1999999999998</v>
      </c>
      <c r="AU63" s="288">
        <v>2526.5</v>
      </c>
      <c r="AV63" s="288">
        <v>2528.9</v>
      </c>
      <c r="AW63" s="288">
        <v>2530.9</v>
      </c>
      <c r="AX63" s="288">
        <v>2533.1</v>
      </c>
      <c r="AY63" s="288">
        <v>2535.4</v>
      </c>
      <c r="AZ63" s="288">
        <v>2537.8000000000002</v>
      </c>
      <c r="BA63" s="288">
        <v>2540.1999999999998</v>
      </c>
      <c r="BB63" s="288">
        <v>2542.9</v>
      </c>
      <c r="BC63" s="288">
        <v>2545.6</v>
      </c>
      <c r="BD63" s="288">
        <v>2548.4</v>
      </c>
      <c r="BE63" s="288">
        <v>2551</v>
      </c>
      <c r="BF63" s="288">
        <v>2553.6</v>
      </c>
      <c r="BG63" s="288">
        <v>2556.1999999999998</v>
      </c>
      <c r="BH63" s="288">
        <v>2558.8000000000002</v>
      </c>
      <c r="BI63" s="288">
        <v>2561.1999999999998</v>
      </c>
      <c r="BJ63" s="288">
        <v>2563.1999999999998</v>
      </c>
      <c r="BK63" s="288">
        <v>2565.3000000000002</v>
      </c>
      <c r="BL63" s="288">
        <v>2567.5</v>
      </c>
      <c r="BM63" s="288">
        <v>2569.5</v>
      </c>
      <c r="BN63" s="288">
        <v>2571.5</v>
      </c>
      <c r="BO63" s="288">
        <v>2573.1999999999998</v>
      </c>
      <c r="BP63" s="288">
        <v>2527.8000000000002</v>
      </c>
      <c r="BQ63">
        <v>2528.5</v>
      </c>
      <c r="BR63">
        <v>2529.1</v>
      </c>
      <c r="BS63">
        <v>2529.6999999999998</v>
      </c>
      <c r="BT63">
        <v>2530.1999999999998</v>
      </c>
    </row>
    <row r="64" spans="2:72" x14ac:dyDescent="0.35">
      <c r="B64" s="310"/>
      <c r="C64" s="309"/>
      <c r="D64" s="335"/>
      <c r="E64" s="335"/>
      <c r="F64" s="335"/>
      <c r="G64" s="335"/>
      <c r="H64" s="335"/>
      <c r="I64" s="335"/>
      <c r="J64" s="335"/>
      <c r="K64" s="335"/>
      <c r="L64" s="335"/>
      <c r="M64" s="335"/>
      <c r="N64" s="335"/>
      <c r="O64" s="335"/>
      <c r="P64" s="335"/>
      <c r="Q64" s="335"/>
      <c r="R64" s="335"/>
      <c r="S64" s="335"/>
      <c r="T64" s="336"/>
      <c r="U64" s="336"/>
      <c r="V64" s="336"/>
      <c r="W64" s="336"/>
      <c r="X64" s="336"/>
      <c r="Y64" s="336"/>
      <c r="Z64" s="310"/>
      <c r="AA64" s="310"/>
      <c r="AB64" s="310"/>
      <c r="AC64" s="310"/>
      <c r="AD64" s="310"/>
      <c r="AE64" s="310"/>
      <c r="AF64" s="310"/>
      <c r="AG64" s="281"/>
      <c r="AH64" s="281"/>
      <c r="AI64" s="281"/>
      <c r="AJ64" s="281"/>
      <c r="AK64" s="281"/>
      <c r="AL64" s="281"/>
      <c r="AM64" s="281"/>
      <c r="AN64" s="281"/>
      <c r="AO64" s="268"/>
      <c r="AP64" s="44"/>
      <c r="AQ64" s="44"/>
      <c r="AR64" s="44"/>
      <c r="AS64" s="44"/>
      <c r="AT64" s="44"/>
      <c r="AU64" s="44"/>
      <c r="AV64" s="44"/>
    </row>
    <row r="65" spans="2:41" x14ac:dyDescent="0.35">
      <c r="B65" s="86" t="s">
        <v>1657</v>
      </c>
      <c r="C65" s="285"/>
      <c r="D65" s="296"/>
      <c r="E65" s="296"/>
      <c r="F65" s="296"/>
      <c r="G65" s="296"/>
      <c r="H65" s="296"/>
      <c r="I65" s="296"/>
      <c r="J65" s="296"/>
      <c r="K65" s="296"/>
      <c r="L65" s="296"/>
      <c r="M65" s="296"/>
      <c r="N65" s="296"/>
      <c r="O65" s="296"/>
      <c r="P65" s="296"/>
      <c r="Q65" s="296"/>
      <c r="R65" s="296"/>
      <c r="S65" s="307">
        <f t="shared" ref="S65:AE65" si="40">S58/S61</f>
        <v>1.1700921610724198</v>
      </c>
      <c r="T65" s="307">
        <f t="shared" si="40"/>
        <v>1.1816953797963978</v>
      </c>
      <c r="U65" s="307">
        <f t="shared" si="40"/>
        <v>1.1930329508641051</v>
      </c>
      <c r="V65" s="307">
        <f>V58/V61</f>
        <v>1.2018426483730558</v>
      </c>
      <c r="W65" s="307">
        <f t="shared" si="40"/>
        <v>1.2099234936414858</v>
      </c>
      <c r="X65" s="307">
        <f t="shared" si="40"/>
        <v>1.2153872461161388</v>
      </c>
      <c r="Y65" s="307">
        <f t="shared" si="40"/>
        <v>1.2261425049029808</v>
      </c>
      <c r="Z65" s="307">
        <f t="shared" si="40"/>
        <v>1.2340158404957025</v>
      </c>
      <c r="AA65" s="307">
        <f t="shared" si="40"/>
        <v>1.2392086998478269</v>
      </c>
      <c r="AB65" s="307">
        <f t="shared" si="40"/>
        <v>1.2469471659038411</v>
      </c>
      <c r="AC65" s="307">
        <f>AC58/AC61</f>
        <v>1.2575095743249032</v>
      </c>
      <c r="AD65" s="307">
        <f t="shared" si="40"/>
        <v>1.2641541557975642</v>
      </c>
      <c r="AE65" s="307">
        <f t="shared" si="40"/>
        <v>1.2727278214731963</v>
      </c>
      <c r="AF65" s="303">
        <f>AF58/AF61</f>
        <v>1.2817174281897932</v>
      </c>
      <c r="AG65" s="303">
        <f>AG58/AG61</f>
        <v>1.2910773068228831</v>
      </c>
      <c r="AH65" s="303">
        <f t="shared" ref="AH65:AI65" si="41">AH58/AH61</f>
        <v>1.2999528957206659</v>
      </c>
      <c r="AI65" s="303">
        <f t="shared" si="41"/>
        <v>1.3084235824704034</v>
      </c>
      <c r="AJ65" s="303">
        <f>AJ58/AJ61</f>
        <v>1.3163659565417745</v>
      </c>
      <c r="AK65" s="303">
        <f>AK58/AK61</f>
        <v>1.324100831631422</v>
      </c>
      <c r="AL65" s="303">
        <f>AL58/AL61</f>
        <v>1.3316852298253947</v>
      </c>
      <c r="AM65" s="303">
        <f>AM58/AM61</f>
        <v>1.3391575097994544</v>
      </c>
      <c r="AN65" s="303">
        <f>AN58/AN61</f>
        <v>1.3465401266176333</v>
      </c>
      <c r="AO65" s="304"/>
    </row>
    <row r="66" spans="2:41" x14ac:dyDescent="0.35">
      <c r="B66" s="53" t="s">
        <v>1658</v>
      </c>
      <c r="C66" s="266"/>
      <c r="D66" s="44"/>
      <c r="E66" s="44"/>
      <c r="F66" s="44"/>
      <c r="G66" s="44"/>
      <c r="H66" s="44"/>
      <c r="I66" s="44"/>
      <c r="J66" s="44"/>
      <c r="K66" s="44"/>
      <c r="L66" s="44"/>
      <c r="M66" s="44"/>
      <c r="N66" s="44"/>
      <c r="O66" s="44"/>
      <c r="P66" s="44"/>
      <c r="Q66" s="44"/>
      <c r="R66" s="44"/>
      <c r="S66" s="303">
        <f t="shared" ref="S66:AD66" si="42">S59/S62</f>
        <v>1.1617241135253733</v>
      </c>
      <c r="T66" s="303">
        <f t="shared" si="42"/>
        <v>1.1735937932945415</v>
      </c>
      <c r="U66" s="303">
        <f t="shared" si="42"/>
        <v>1.1863626999931334</v>
      </c>
      <c r="V66" s="303">
        <f t="shared" si="42"/>
        <v>1.194148753519676</v>
      </c>
      <c r="W66" s="303">
        <f t="shared" si="42"/>
        <v>1.2054313314868608</v>
      </c>
      <c r="X66" s="303">
        <f t="shared" si="42"/>
        <v>1.2138263665594855</v>
      </c>
      <c r="Y66" s="303">
        <f t="shared" si="42"/>
        <v>1.2263003075277443</v>
      </c>
      <c r="Z66" s="303">
        <f t="shared" si="42"/>
        <v>1.2355276215679789</v>
      </c>
      <c r="AA66" s="303">
        <f t="shared" si="42"/>
        <v>1.2430488041998833</v>
      </c>
      <c r="AB66" s="303">
        <f t="shared" si="42"/>
        <v>1.2504007694773966</v>
      </c>
      <c r="AC66" s="303">
        <f>AC59/AC62</f>
        <v>1.2683450429352068</v>
      </c>
      <c r="AD66" s="303">
        <f t="shared" si="42"/>
        <v>1.2899907688250034</v>
      </c>
      <c r="AE66" s="303">
        <f>AE59/AE62</f>
        <v>1.3040901007705987</v>
      </c>
      <c r="AF66" s="303">
        <f>AF59/AF62</f>
        <v>1.3347903291900014</v>
      </c>
      <c r="AG66" s="303">
        <f>AG59/AG62</f>
        <v>1.3131745322178938</v>
      </c>
      <c r="AH66" s="303">
        <f t="shared" ref="AH66:AJ66" si="43">AH59/AH62</f>
        <v>1.3234534418184167</v>
      </c>
      <c r="AI66" s="303">
        <f t="shared" si="43"/>
        <v>1.3344531300471605</v>
      </c>
      <c r="AJ66" s="303">
        <f t="shared" si="43"/>
        <v>1.3412713778638272</v>
      </c>
      <c r="AK66" s="303">
        <f t="shared" ref="AK66:AM66" si="44">AK59/AK62</f>
        <v>1.3477784226478364</v>
      </c>
      <c r="AL66" s="303">
        <f t="shared" si="44"/>
        <v>1.352910870685214</v>
      </c>
      <c r="AM66" s="303">
        <f t="shared" si="44"/>
        <v>1.3588522902727738</v>
      </c>
      <c r="AN66" s="303">
        <f>AN59/AN62</f>
        <v>1.3651714359370972</v>
      </c>
      <c r="AO66" s="305"/>
    </row>
    <row r="67" spans="2:41" x14ac:dyDescent="0.35">
      <c r="B67" s="280" t="s">
        <v>1659</v>
      </c>
      <c r="C67" s="267"/>
      <c r="D67" s="43"/>
      <c r="E67" s="43"/>
      <c r="F67" s="43"/>
      <c r="G67" s="43"/>
      <c r="H67" s="43"/>
      <c r="I67" s="43"/>
      <c r="J67" s="43"/>
      <c r="K67" s="43"/>
      <c r="L67" s="43"/>
      <c r="M67" s="43"/>
      <c r="N67" s="43"/>
      <c r="O67" s="43"/>
      <c r="P67" s="43"/>
      <c r="Q67" s="43"/>
      <c r="R67" s="43"/>
      <c r="S67" s="306">
        <f t="shared" ref="S67:AF67" si="45">S60/S63</f>
        <v>1.2627669039145906</v>
      </c>
      <c r="T67" s="306">
        <f t="shared" si="45"/>
        <v>1.2663108209449025</v>
      </c>
      <c r="U67" s="306">
        <f t="shared" si="45"/>
        <v>1.2736335811106254</v>
      </c>
      <c r="V67" s="306">
        <f t="shared" si="45"/>
        <v>1.2664969142462561</v>
      </c>
      <c r="W67" s="306">
        <f t="shared" si="45"/>
        <v>1.2838651800589518</v>
      </c>
      <c r="X67" s="306">
        <f t="shared" si="45"/>
        <v>1.2854131534569984</v>
      </c>
      <c r="Y67" s="306">
        <f t="shared" si="45"/>
        <v>1.295645626803865</v>
      </c>
      <c r="Z67" s="306">
        <f t="shared" si="45"/>
        <v>1.2992148880488512</v>
      </c>
      <c r="AA67" s="306">
        <f t="shared" si="45"/>
        <v>1.3049619106444308</v>
      </c>
      <c r="AB67" s="306">
        <f t="shared" si="45"/>
        <v>1.3092813024092937</v>
      </c>
      <c r="AC67" s="306">
        <f>AC60/AC63</f>
        <v>1.3214183935187069</v>
      </c>
      <c r="AD67" s="306">
        <f t="shared" si="45"/>
        <v>1.3253343029127782</v>
      </c>
      <c r="AE67" s="306">
        <f t="shared" si="45"/>
        <v>1.3361124536813276</v>
      </c>
      <c r="AF67" s="306">
        <f t="shared" si="45"/>
        <v>1.3478872673179751</v>
      </c>
      <c r="AG67" s="306">
        <f t="shared" ref="AG67:AJ67" si="46">AG60/AG63</f>
        <v>1.3590186315451334</v>
      </c>
      <c r="AH67" s="306">
        <f t="shared" si="46"/>
        <v>1.370392652308186</v>
      </c>
      <c r="AI67" s="306">
        <f t="shared" si="46"/>
        <v>1.3818393014499721</v>
      </c>
      <c r="AJ67" s="306">
        <f t="shared" si="46"/>
        <v>1.3929957974784872</v>
      </c>
      <c r="AK67" s="306">
        <f t="shared" ref="AK67:AN67" si="47">AK60/AK63</f>
        <v>1.4042621246651472</v>
      </c>
      <c r="AL67" s="306">
        <f t="shared" si="47"/>
        <v>1.4153520508007509</v>
      </c>
      <c r="AM67" s="306">
        <f t="shared" si="47"/>
        <v>1.4262628680871441</v>
      </c>
      <c r="AN67" s="306">
        <f t="shared" si="47"/>
        <v>1.4370565255521008</v>
      </c>
      <c r="AO67" s="305"/>
    </row>
    <row r="69" spans="2:41" x14ac:dyDescent="0.35">
      <c r="B69" t="s">
        <v>1911</v>
      </c>
    </row>
    <row r="70" spans="2:41" x14ac:dyDescent="0.35">
      <c r="B70" s="86" t="s">
        <v>1657</v>
      </c>
      <c r="T70" s="96">
        <f>(T65/S65)^4-1</f>
        <v>4.0259931464399212E-2</v>
      </c>
      <c r="U70" s="96">
        <f t="shared" ref="U70:AI70" si="48">(U65/T65)^4-1</f>
        <v>3.8933152952830063E-2</v>
      </c>
      <c r="V70" s="96">
        <f t="shared" si="48"/>
        <v>2.9865927044963492E-2</v>
      </c>
      <c r="W70" s="96">
        <f t="shared" si="48"/>
        <v>2.7167320593522115E-2</v>
      </c>
      <c r="X70" s="96">
        <f t="shared" si="48"/>
        <v>1.8185856319789862E-2</v>
      </c>
      <c r="Y70" s="96">
        <f t="shared" si="48"/>
        <v>3.5869610415388831E-2</v>
      </c>
      <c r="Z70" s="96">
        <f t="shared" si="48"/>
        <v>2.5933349158767216E-2</v>
      </c>
      <c r="AA70" s="96">
        <f t="shared" si="48"/>
        <v>1.6938938133721271E-2</v>
      </c>
      <c r="AB70" s="96">
        <f t="shared" si="48"/>
        <v>2.5213685811587672E-2</v>
      </c>
      <c r="AC70" s="96">
        <f t="shared" si="48"/>
        <v>3.4315401055778016E-2</v>
      </c>
      <c r="AD70" s="96">
        <f t="shared" si="48"/>
        <v>2.1303794538540588E-2</v>
      </c>
      <c r="AE70" s="96">
        <f t="shared" si="48"/>
        <v>2.7405779028799371E-2</v>
      </c>
      <c r="AF70" s="96">
        <f t="shared" si="48"/>
        <v>2.855378731984537E-2</v>
      </c>
      <c r="AG70" s="96">
        <f t="shared" si="48"/>
        <v>2.9531956897792533E-2</v>
      </c>
      <c r="AH70" s="96">
        <f t="shared" si="48"/>
        <v>2.7783100781153536E-2</v>
      </c>
      <c r="AI70" s="96">
        <f t="shared" si="48"/>
        <v>2.632046566061419E-2</v>
      </c>
      <c r="AJ70" s="96">
        <f>(AJ65/AI65)^4-1</f>
        <v>2.4502721609652056E-2</v>
      </c>
      <c r="AK70" s="96">
        <f t="shared" ref="AK70:AN70" si="49">(AK65/AJ65)^4-1</f>
        <v>2.3711694719535714E-2</v>
      </c>
      <c r="AL70" s="96">
        <f t="shared" si="49"/>
        <v>2.3109454857497935E-2</v>
      </c>
      <c r="AM70" s="96">
        <f t="shared" si="49"/>
        <v>2.2634200570029295E-2</v>
      </c>
      <c r="AN70" s="96">
        <f t="shared" si="49"/>
        <v>2.2234548761409956E-2</v>
      </c>
    </row>
    <row r="71" spans="2:41" x14ac:dyDescent="0.35">
      <c r="B71" s="53" t="s">
        <v>1658</v>
      </c>
      <c r="C71" s="40"/>
      <c r="D71" s="337"/>
      <c r="E71" s="337"/>
      <c r="F71" s="337"/>
      <c r="G71" s="337"/>
      <c r="T71" s="96">
        <f t="shared" ref="T71:AI71" si="50">(T66/S66)^4-1</f>
        <v>4.1499822425288269E-2</v>
      </c>
      <c r="U71" s="96">
        <f t="shared" si="50"/>
        <v>4.4236138151929394E-2</v>
      </c>
      <c r="V71" s="96">
        <f t="shared" si="50"/>
        <v>2.6511416124590736E-2</v>
      </c>
      <c r="W71" s="96">
        <f t="shared" si="50"/>
        <v>3.8331867390690277E-2</v>
      </c>
      <c r="X71" s="96">
        <f t="shared" si="50"/>
        <v>2.8149730537689654E-2</v>
      </c>
      <c r="Y71" s="96">
        <f t="shared" si="50"/>
        <v>4.1744175478632961E-2</v>
      </c>
      <c r="Z71" s="96">
        <f t="shared" si="50"/>
        <v>3.0439473866363809E-2</v>
      </c>
      <c r="AA71" s="96">
        <f t="shared" si="50"/>
        <v>2.4572947120431232E-2</v>
      </c>
      <c r="AB71" s="96">
        <f t="shared" si="50"/>
        <v>2.3868563142200871E-2</v>
      </c>
      <c r="AC71" s="96">
        <f t="shared" si="50"/>
        <v>5.8650810874706139E-2</v>
      </c>
      <c r="AD71" s="96">
        <f>(AD66/AC66)^4-1</f>
        <v>7.0031952398443398E-2</v>
      </c>
      <c r="AE71" s="96">
        <f t="shared" si="50"/>
        <v>4.4441170814503828E-2</v>
      </c>
      <c r="AF71" s="96">
        <f t="shared" si="50"/>
        <v>9.7543678905277043E-2</v>
      </c>
      <c r="AG71" s="96">
        <f t="shared" si="50"/>
        <v>-6.3220022125805353E-2</v>
      </c>
      <c r="AH71" s="96">
        <f t="shared" si="50"/>
        <v>3.1679652743542119E-2</v>
      </c>
      <c r="AI71" s="96">
        <f t="shared" si="50"/>
        <v>3.3662183284603131E-2</v>
      </c>
      <c r="AJ71" s="96">
        <f t="shared" ref="AJ71:AN71" si="51">(AJ66/AI66)^4-1</f>
        <v>2.0594748711123989E-2</v>
      </c>
      <c r="AK71" s="96">
        <f t="shared" si="51"/>
        <v>1.954727626306374E-2</v>
      </c>
      <c r="AL71" s="96">
        <f t="shared" si="51"/>
        <v>1.5319549886040784E-2</v>
      </c>
      <c r="AM71" s="96">
        <f t="shared" si="51"/>
        <v>1.7682384789155625E-2</v>
      </c>
      <c r="AN71" s="96">
        <f t="shared" si="51"/>
        <v>1.8731577912187047E-2</v>
      </c>
    </row>
    <row r="72" spans="2:41" x14ac:dyDescent="0.35">
      <c r="B72" s="280" t="s">
        <v>1659</v>
      </c>
      <c r="T72" s="96">
        <f t="shared" ref="T72:AI72" si="52">(T67/S67)^4-1</f>
        <v>1.1273224837508922E-2</v>
      </c>
      <c r="U72" s="96">
        <f t="shared" si="52"/>
        <v>2.33324198773186E-2</v>
      </c>
      <c r="V72" s="96">
        <f t="shared" si="52"/>
        <v>-2.2225878559709367E-2</v>
      </c>
      <c r="W72" s="96">
        <f t="shared" si="52"/>
        <v>5.59932393623086E-2</v>
      </c>
      <c r="X72" s="96">
        <f t="shared" si="52"/>
        <v>4.8315829153293688E-3</v>
      </c>
      <c r="Y72" s="96">
        <f t="shared" si="52"/>
        <v>3.2224054164219584E-2</v>
      </c>
      <c r="Z72" s="96">
        <f t="shared" si="52"/>
        <v>1.1064869117937137E-2</v>
      </c>
      <c r="AA72" s="96">
        <f t="shared" si="52"/>
        <v>1.7811580810384031E-2</v>
      </c>
      <c r="AB72" s="96">
        <f t="shared" si="52"/>
        <v>1.3305782221044948E-2</v>
      </c>
      <c r="AC72" s="96">
        <f t="shared" si="52"/>
        <v>3.7598959011856836E-2</v>
      </c>
      <c r="AD72" s="96">
        <f t="shared" si="52"/>
        <v>1.1906449969452781E-2</v>
      </c>
      <c r="AE72" s="96">
        <f t="shared" si="52"/>
        <v>3.2928577770881651E-2</v>
      </c>
      <c r="AF72" s="96">
        <f t="shared" si="52"/>
        <v>3.5719696153681202E-2</v>
      </c>
      <c r="AG72" s="96">
        <f t="shared" si="52"/>
        <v>3.3444979493254978E-2</v>
      </c>
      <c r="AH72" s="96">
        <f t="shared" si="52"/>
        <v>3.389977906086572E-2</v>
      </c>
      <c r="AI72" s="96">
        <f t="shared" si="52"/>
        <v>3.3832251490267806E-2</v>
      </c>
      <c r="AJ72" s="96">
        <f t="shared" ref="AJ72:AN72" si="53">(AJ67/AI67)^4-1</f>
        <v>3.268783942056519E-2</v>
      </c>
      <c r="AK72" s="96">
        <f t="shared" si="53"/>
        <v>3.2745959583311945E-2</v>
      </c>
      <c r="AL72" s="96">
        <f t="shared" si="53"/>
        <v>3.1965514770394998E-2</v>
      </c>
      <c r="AM72" s="96">
        <f t="shared" si="53"/>
        <v>3.1194027359336074E-2</v>
      </c>
      <c r="AN72" s="96">
        <f t="shared" si="53"/>
        <v>3.0616524462689698E-2</v>
      </c>
    </row>
    <row r="75" spans="2:41" x14ac:dyDescent="0.35">
      <c r="C75" s="24"/>
      <c r="D75" s="96"/>
      <c r="E75" s="96"/>
      <c r="F75" s="96"/>
      <c r="G75" s="96"/>
      <c r="H75" s="96"/>
      <c r="I75" s="96"/>
      <c r="J75" s="96"/>
      <c r="K75" s="96"/>
      <c r="L75" s="96"/>
      <c r="M75" s="96"/>
    </row>
    <row r="76" spans="2:41" x14ac:dyDescent="0.35">
      <c r="C76" s="40"/>
      <c r="D76" s="340"/>
      <c r="E76" s="340"/>
      <c r="F76" s="340"/>
      <c r="G76" s="340"/>
      <c r="H76" s="340"/>
      <c r="I76" s="340"/>
      <c r="J76" s="340"/>
      <c r="K76" s="340"/>
      <c r="L76" s="340"/>
      <c r="M76" s="340"/>
    </row>
    <row r="77" spans="2:41" x14ac:dyDescent="0.35">
      <c r="C77" s="337"/>
      <c r="D77" s="340"/>
      <c r="E77" s="340"/>
      <c r="F77" s="340"/>
      <c r="G77" s="340"/>
      <c r="H77" s="340"/>
      <c r="I77" s="340"/>
      <c r="J77" s="340"/>
      <c r="K77" s="340"/>
      <c r="L77" s="340"/>
      <c r="M77" s="340"/>
    </row>
    <row r="78" spans="2:41" x14ac:dyDescent="0.35">
      <c r="C78" s="337"/>
      <c r="D78" s="340"/>
      <c r="E78" s="340"/>
      <c r="F78" s="340"/>
      <c r="G78" s="340"/>
      <c r="H78" s="340"/>
      <c r="I78" s="340"/>
      <c r="J78" s="340"/>
      <c r="K78" s="340"/>
      <c r="L78" s="340"/>
      <c r="M78" s="340"/>
    </row>
    <row r="79" spans="2:41" x14ac:dyDescent="0.35">
      <c r="C79" s="337"/>
      <c r="D79" s="340"/>
      <c r="E79" s="340"/>
      <c r="F79" s="340"/>
      <c r="G79" s="340"/>
      <c r="H79" s="340"/>
      <c r="I79" s="340"/>
      <c r="J79" s="340"/>
      <c r="K79" s="340"/>
      <c r="L79" s="340"/>
      <c r="M79" s="340"/>
    </row>
    <row r="80" spans="2:41" x14ac:dyDescent="0.35">
      <c r="C80" s="337"/>
      <c r="D80" s="340"/>
      <c r="E80" s="340"/>
      <c r="F80" s="340"/>
      <c r="G80" s="340"/>
      <c r="H80" s="340"/>
      <c r="I80" s="340"/>
      <c r="J80" s="340"/>
      <c r="K80" s="340"/>
      <c r="L80" s="340"/>
      <c r="M80" s="340"/>
    </row>
  </sheetData>
  <mergeCells count="34">
    <mergeCell ref="AK9:AN9"/>
    <mergeCell ref="D34:AB34"/>
    <mergeCell ref="I9:L9"/>
    <mergeCell ref="M9:P9"/>
    <mergeCell ref="AG9:AJ9"/>
    <mergeCell ref="E9:H9"/>
    <mergeCell ref="Q9:R9"/>
    <mergeCell ref="AK56:AN56"/>
    <mergeCell ref="AK35:AN35"/>
    <mergeCell ref="U56:X56"/>
    <mergeCell ref="E56:H56"/>
    <mergeCell ref="AG56:AJ56"/>
    <mergeCell ref="AG35:AJ35"/>
    <mergeCell ref="AC56:AF56"/>
    <mergeCell ref="B55:E55"/>
    <mergeCell ref="Q56:R56"/>
    <mergeCell ref="M56:P56"/>
    <mergeCell ref="I56:L56"/>
    <mergeCell ref="B1:AC1"/>
    <mergeCell ref="B2:AC4"/>
    <mergeCell ref="B34:C36"/>
    <mergeCell ref="E35:H35"/>
    <mergeCell ref="I35:L35"/>
    <mergeCell ref="M35:P35"/>
    <mergeCell ref="B8:C10"/>
    <mergeCell ref="AC9:AF9"/>
    <mergeCell ref="Q35:T35"/>
    <mergeCell ref="B7:F7"/>
    <mergeCell ref="AC35:AF35"/>
    <mergeCell ref="B22:AN22"/>
    <mergeCell ref="B11:AN11"/>
    <mergeCell ref="D8:V8"/>
    <mergeCell ref="AG8:AN8"/>
    <mergeCell ref="AG34:AN34"/>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H19" sqref="H19"/>
    </sheetView>
  </sheetViews>
  <sheetFormatPr defaultColWidth="10.90625" defaultRowHeight="14.5" x14ac:dyDescent="0.35"/>
  <cols>
    <col min="1" max="1" width="70.81640625" customWidth="1"/>
    <col min="2" max="2" width="14.08984375" customWidth="1"/>
  </cols>
  <sheetData>
    <row r="1" spans="1:45" ht="15.65" customHeight="1" x14ac:dyDescent="0.45">
      <c r="A1" s="15" t="s">
        <v>1971</v>
      </c>
    </row>
    <row r="2" spans="1:45" ht="31.4" customHeight="1" x14ac:dyDescent="0.35">
      <c r="A2" s="343" t="s">
        <v>74</v>
      </c>
      <c r="B2" s="344" t="s">
        <v>249</v>
      </c>
      <c r="C2" s="344" t="s">
        <v>250</v>
      </c>
      <c r="D2" s="344" t="s">
        <v>226</v>
      </c>
      <c r="E2" s="344" t="s">
        <v>248</v>
      </c>
      <c r="F2" s="344" t="s">
        <v>1972</v>
      </c>
      <c r="G2" s="344" t="s">
        <v>1973</v>
      </c>
      <c r="H2" s="344" t="s">
        <v>1974</v>
      </c>
      <c r="I2" s="344" t="s">
        <v>1975</v>
      </c>
      <c r="J2" s="344" t="s">
        <v>1976</v>
      </c>
      <c r="K2" s="344" t="s">
        <v>1977</v>
      </c>
      <c r="L2" s="344" t="s">
        <v>1978</v>
      </c>
      <c r="M2" s="344" t="s">
        <v>1979</v>
      </c>
      <c r="N2" s="344" t="s">
        <v>1980</v>
      </c>
      <c r="O2" s="344" t="s">
        <v>1981</v>
      </c>
      <c r="P2" s="344" t="s">
        <v>1982</v>
      </c>
      <c r="Q2" s="344" t="s">
        <v>1983</v>
      </c>
      <c r="R2" s="344" t="s">
        <v>1984</v>
      </c>
      <c r="S2" s="348" t="s">
        <v>241</v>
      </c>
      <c r="T2" s="345" t="s">
        <v>278</v>
      </c>
    </row>
    <row r="3" spans="1:45" ht="15.65" customHeight="1" x14ac:dyDescent="0.35">
      <c r="A3" s="346" t="s">
        <v>1985</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6"/>
      <c r="AD3" s="96"/>
      <c r="AE3" s="96"/>
      <c r="AF3" s="96"/>
      <c r="AG3" s="96"/>
      <c r="AH3" s="96"/>
      <c r="AI3" s="96"/>
      <c r="AJ3" s="96"/>
      <c r="AK3" s="96"/>
      <c r="AL3" s="96"/>
      <c r="AM3" s="96"/>
      <c r="AN3" s="96"/>
      <c r="AO3" s="96"/>
      <c r="AP3" s="96"/>
      <c r="AQ3" s="96"/>
      <c r="AR3" s="96"/>
      <c r="AS3" s="96"/>
    </row>
    <row r="4" spans="1:45" ht="15.65" customHeight="1" x14ac:dyDescent="0.35">
      <c r="A4" s="347" t="s">
        <v>1986</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93"/>
      <c r="V4" s="93"/>
      <c r="W4" s="93"/>
      <c r="X4" s="93"/>
      <c r="Y4" s="93"/>
      <c r="Z4" s="93"/>
      <c r="AA4" s="93"/>
      <c r="AC4" s="96"/>
      <c r="AD4" s="96"/>
      <c r="AE4" s="96"/>
      <c r="AF4" s="96"/>
      <c r="AG4" s="96"/>
      <c r="AH4" s="96"/>
      <c r="AI4" s="96"/>
      <c r="AJ4" s="96"/>
      <c r="AK4" s="96"/>
      <c r="AL4" s="96"/>
      <c r="AM4" s="96"/>
      <c r="AN4" s="96"/>
    </row>
    <row r="5" spans="1:45" ht="15.65" customHeight="1" x14ac:dyDescent="0.35">
      <c r="A5" s="346" t="s">
        <v>1987</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93"/>
      <c r="V5" s="93"/>
      <c r="W5" s="93"/>
      <c r="X5" s="93"/>
      <c r="Y5" s="93"/>
      <c r="Z5" s="93"/>
      <c r="AA5" s="93"/>
      <c r="AC5" s="96"/>
      <c r="AD5" s="96"/>
      <c r="AE5" s="96"/>
      <c r="AF5" s="96"/>
      <c r="AG5" s="96"/>
      <c r="AH5" s="96"/>
      <c r="AI5" s="96"/>
      <c r="AJ5" s="96"/>
      <c r="AK5" s="96"/>
      <c r="AL5" s="96"/>
      <c r="AM5" s="96"/>
      <c r="AN5" s="96"/>
    </row>
    <row r="6" spans="1:45" ht="15.65" customHeight="1" x14ac:dyDescent="0.35">
      <c r="A6" s="346" t="s">
        <v>1988</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93"/>
      <c r="V6" s="93"/>
      <c r="W6" s="93"/>
      <c r="X6" s="93"/>
      <c r="Y6" s="93"/>
      <c r="Z6" s="93"/>
      <c r="AA6" s="93"/>
      <c r="AC6" s="96"/>
      <c r="AD6" s="96"/>
      <c r="AE6" s="96"/>
      <c r="AF6" s="96"/>
      <c r="AG6" s="96"/>
      <c r="AH6" s="96"/>
      <c r="AI6" s="96"/>
      <c r="AJ6" s="96"/>
      <c r="AK6" s="96"/>
      <c r="AL6" s="96"/>
      <c r="AM6" s="96"/>
      <c r="AN6" s="96"/>
    </row>
    <row r="7" spans="1:45" ht="15.65" customHeight="1" x14ac:dyDescent="0.35">
      <c r="A7" s="346" t="s">
        <v>1989</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93"/>
      <c r="V7" s="93"/>
      <c r="W7" s="93"/>
      <c r="X7" s="93"/>
      <c r="Y7" s="93"/>
      <c r="Z7" s="93"/>
      <c r="AA7" s="93"/>
      <c r="AC7" s="96"/>
      <c r="AD7" s="96"/>
      <c r="AE7" s="96"/>
      <c r="AF7" s="96"/>
      <c r="AG7" s="96"/>
      <c r="AH7" s="96"/>
      <c r="AI7" s="96"/>
      <c r="AJ7" s="96"/>
      <c r="AK7" s="96"/>
      <c r="AL7" s="96"/>
      <c r="AM7" s="96"/>
      <c r="AN7" s="96"/>
    </row>
    <row r="8" spans="1:45" ht="15.65" customHeight="1" x14ac:dyDescent="0.35">
      <c r="A8" s="346" t="s">
        <v>1990</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93"/>
      <c r="V8" s="93"/>
      <c r="W8" s="93"/>
      <c r="X8" s="93"/>
      <c r="Y8" s="93"/>
      <c r="Z8" s="93"/>
      <c r="AA8" s="93"/>
      <c r="AC8" s="96"/>
      <c r="AD8" s="96"/>
      <c r="AE8" s="96"/>
      <c r="AF8" s="96"/>
      <c r="AG8" s="96"/>
      <c r="AH8" s="96"/>
      <c r="AI8" s="96"/>
      <c r="AJ8" s="96"/>
      <c r="AK8" s="96"/>
      <c r="AL8" s="96"/>
      <c r="AM8" s="96"/>
      <c r="AN8" s="96"/>
    </row>
    <row r="9" spans="1:45" ht="15.65" customHeight="1" x14ac:dyDescent="0.35">
      <c r="A9" s="346" t="s">
        <v>1991</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93"/>
      <c r="V9" s="93"/>
      <c r="W9" s="93"/>
      <c r="X9" s="93"/>
      <c r="Y9" s="93"/>
      <c r="Z9" s="93"/>
      <c r="AA9" s="93"/>
      <c r="AC9" s="96"/>
      <c r="AD9" s="96"/>
      <c r="AE9" s="96"/>
      <c r="AF9" s="96"/>
      <c r="AG9" s="96"/>
      <c r="AH9" s="96"/>
      <c r="AI9" s="96"/>
      <c r="AJ9" s="96"/>
      <c r="AK9" s="96"/>
      <c r="AL9" s="96"/>
      <c r="AM9" s="96"/>
      <c r="AN9" s="96"/>
    </row>
    <row r="10" spans="1:45" ht="15.65" customHeight="1" x14ac:dyDescent="0.35">
      <c r="A10" s="346" t="s">
        <v>1992</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93"/>
      <c r="V10" s="93"/>
      <c r="W10" s="93"/>
      <c r="X10" s="93"/>
      <c r="Y10" s="93"/>
      <c r="Z10" s="93"/>
      <c r="AA10" s="93"/>
      <c r="AC10" s="96"/>
      <c r="AD10" s="96"/>
      <c r="AE10" s="96"/>
      <c r="AF10" s="96"/>
      <c r="AG10" s="96"/>
      <c r="AH10" s="96"/>
      <c r="AI10" s="96"/>
      <c r="AJ10" s="96"/>
      <c r="AK10" s="96"/>
      <c r="AL10" s="96"/>
      <c r="AM10" s="96"/>
      <c r="AN10" s="96"/>
    </row>
    <row r="11" spans="1:45" ht="15.65" customHeight="1" x14ac:dyDescent="0.35">
      <c r="A11" s="346" t="s">
        <v>1993</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93"/>
      <c r="V11" s="93"/>
      <c r="W11" s="93"/>
      <c r="X11" s="93"/>
      <c r="Y11" s="93"/>
      <c r="Z11" s="93"/>
      <c r="AA11" s="93"/>
      <c r="AC11" s="96"/>
      <c r="AD11" s="96"/>
      <c r="AE11" s="96"/>
      <c r="AF11" s="96"/>
      <c r="AG11" s="96"/>
      <c r="AH11" s="96"/>
      <c r="AI11" s="96"/>
      <c r="AJ11" s="96"/>
      <c r="AK11" s="96"/>
      <c r="AL11" s="96"/>
      <c r="AM11" s="96"/>
      <c r="AN11" s="96"/>
    </row>
    <row r="12" spans="1:45" ht="47.15" customHeight="1" x14ac:dyDescent="0.35">
      <c r="A12" s="346" t="s">
        <v>1994</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93"/>
      <c r="V12" s="93"/>
      <c r="W12" s="93"/>
      <c r="X12" s="93"/>
      <c r="Y12" s="93"/>
      <c r="Z12" s="93"/>
      <c r="AA12" s="93"/>
      <c r="AC12" s="96"/>
      <c r="AD12" s="96"/>
      <c r="AE12" s="96"/>
      <c r="AF12" s="96"/>
      <c r="AG12" s="96"/>
      <c r="AH12" s="96"/>
      <c r="AI12" s="96"/>
      <c r="AJ12" s="96"/>
      <c r="AK12" s="96"/>
      <c r="AL12" s="96"/>
      <c r="AM12" s="96"/>
      <c r="AN12" s="96"/>
    </row>
    <row r="13" spans="1:45" ht="31.4" customHeight="1" x14ac:dyDescent="0.35">
      <c r="A13" s="347" t="s">
        <v>1995</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93"/>
      <c r="V13" s="93"/>
      <c r="W13" s="93"/>
      <c r="X13" s="93"/>
      <c r="Y13" s="93"/>
      <c r="Z13" s="93"/>
      <c r="AA13" s="93"/>
      <c r="AC13" s="96"/>
      <c r="AD13" s="96"/>
      <c r="AE13" s="96"/>
      <c r="AF13" s="96"/>
      <c r="AG13" s="96"/>
      <c r="AH13" s="96"/>
      <c r="AI13" s="96"/>
      <c r="AJ13" s="96"/>
      <c r="AK13" s="96"/>
      <c r="AL13" s="96"/>
      <c r="AM13" s="96"/>
      <c r="AN13" s="96"/>
    </row>
    <row r="14" spans="1:45" ht="47.15" customHeight="1" x14ac:dyDescent="0.35">
      <c r="A14" s="346" t="s">
        <v>1996</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93"/>
      <c r="V14" s="93"/>
      <c r="W14" s="93"/>
      <c r="X14" s="93"/>
      <c r="Y14" s="93"/>
      <c r="Z14" s="93"/>
      <c r="AA14" s="93"/>
      <c r="AC14" s="96"/>
      <c r="AD14" s="96"/>
      <c r="AE14" s="96"/>
      <c r="AF14" s="96"/>
      <c r="AG14" s="96"/>
      <c r="AH14" s="96"/>
      <c r="AI14" s="96"/>
      <c r="AJ14" s="96"/>
      <c r="AK14" s="96"/>
      <c r="AL14" s="96"/>
      <c r="AM14" s="96"/>
      <c r="AN14" s="96"/>
    </row>
    <row r="15" spans="1:45" ht="15.75" customHeight="1" x14ac:dyDescent="0.35">
      <c r="A15" s="346" t="s">
        <v>1997</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1998</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1999</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2000</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2001</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2002</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W7" activePane="bottomRight" state="frozen"/>
      <selection pane="topRight" activeCell="C1" sqref="C1"/>
      <selection pane="bottomLeft" activeCell="A7" sqref="A7"/>
      <selection pane="bottomRight" activeCell="AF20" sqref="AF20"/>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87" t="s">
        <v>44</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c r="AD1" s="241"/>
      <c r="AE1" s="241"/>
      <c r="AF1" s="241"/>
      <c r="AG1" s="241"/>
      <c r="AH1" s="241"/>
    </row>
    <row r="2" spans="2:41" ht="14.25" customHeight="1" x14ac:dyDescent="0.35">
      <c r="B2" s="1426" t="s">
        <v>244</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c r="AD2" s="351"/>
      <c r="AE2" s="351"/>
      <c r="AF2" s="351"/>
      <c r="AG2" s="351"/>
      <c r="AH2" s="351"/>
    </row>
    <row r="3" spans="2:4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c r="AD3" s="351"/>
      <c r="AE3" s="351"/>
      <c r="AF3" s="351"/>
      <c r="AG3" s="351"/>
      <c r="AH3" s="351"/>
    </row>
    <row r="4" spans="2:4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c r="AD4" s="351"/>
      <c r="AE4" s="351"/>
      <c r="AF4" s="351"/>
      <c r="AG4" s="351"/>
      <c r="AH4" s="351"/>
    </row>
    <row r="5" spans="2:4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c r="AD5" s="351"/>
      <c r="AE5" s="351"/>
      <c r="AF5" s="351"/>
      <c r="AG5" s="351"/>
      <c r="AH5" s="351"/>
    </row>
    <row r="6" spans="2:41" ht="38.9" customHeight="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c r="AD6" s="351"/>
      <c r="AE6" s="351"/>
      <c r="AF6" s="351"/>
      <c r="AG6" s="351"/>
      <c r="AH6" s="351"/>
    </row>
    <row r="7" spans="2:41" x14ac:dyDescent="0.35">
      <c r="B7" s="387"/>
      <c r="C7" s="387"/>
      <c r="D7" s="387"/>
      <c r="E7" s="387"/>
      <c r="F7" s="387"/>
      <c r="G7" s="387"/>
      <c r="H7" s="388"/>
      <c r="I7" s="388"/>
      <c r="J7" s="388"/>
      <c r="K7" s="388"/>
      <c r="L7" s="388"/>
      <c r="M7" s="388"/>
      <c r="N7" s="388"/>
      <c r="O7" s="388"/>
      <c r="P7" s="388"/>
      <c r="Q7" s="388"/>
      <c r="R7" s="388"/>
      <c r="S7" s="388"/>
      <c r="T7" s="388"/>
      <c r="U7" s="388"/>
      <c r="V7" s="388"/>
    </row>
    <row r="8" spans="2:41" ht="14.9" customHeight="1" x14ac:dyDescent="0.35">
      <c r="B8" s="1389" t="s">
        <v>245</v>
      </c>
      <c r="C8" s="1390"/>
      <c r="D8" s="1427" t="s">
        <v>246</v>
      </c>
      <c r="E8" s="1427"/>
      <c r="F8" s="1427"/>
      <c r="G8" s="1427"/>
      <c r="H8" s="1427"/>
      <c r="I8" s="1427"/>
      <c r="J8" s="1427"/>
      <c r="K8" s="1427"/>
      <c r="L8" s="1427"/>
      <c r="M8" s="1427"/>
      <c r="N8" s="1427"/>
      <c r="O8" s="1427"/>
      <c r="P8" s="1427"/>
      <c r="Q8" s="1427"/>
      <c r="R8" s="1427"/>
      <c r="S8" s="1427"/>
      <c r="T8" s="1427"/>
      <c r="U8" s="1427"/>
      <c r="V8" s="1427"/>
      <c r="W8" s="1427"/>
      <c r="X8" s="1427"/>
      <c r="Y8" s="1427"/>
      <c r="Z8" s="1427"/>
      <c r="AA8" s="1427"/>
      <c r="AB8" s="1427"/>
      <c r="AC8" s="261"/>
      <c r="AD8" s="260"/>
      <c r="AE8" s="260"/>
      <c r="AF8" s="260"/>
      <c r="AG8" s="1420" t="s">
        <v>247</v>
      </c>
      <c r="AH8" s="1420"/>
      <c r="AI8" s="1420"/>
      <c r="AJ8" s="1420"/>
      <c r="AK8" s="1420"/>
      <c r="AL8" s="1420"/>
      <c r="AM8" s="1420"/>
      <c r="AN8" s="1421"/>
    </row>
    <row r="9" spans="2:41" ht="12.75" customHeight="1" x14ac:dyDescent="0.35">
      <c r="B9" s="1391"/>
      <c r="C9" s="1392"/>
      <c r="D9" s="244">
        <v>2018</v>
      </c>
      <c r="E9" s="1395">
        <v>2019</v>
      </c>
      <c r="F9" s="1396"/>
      <c r="G9" s="1396"/>
      <c r="H9" s="1425"/>
      <c r="I9" s="1395">
        <v>2020</v>
      </c>
      <c r="J9" s="1396"/>
      <c r="K9" s="1396"/>
      <c r="L9" s="1425"/>
      <c r="M9" s="1395">
        <v>2021</v>
      </c>
      <c r="N9" s="1396"/>
      <c r="O9" s="1396"/>
      <c r="P9" s="1425"/>
      <c r="Q9" s="1395">
        <v>2022</v>
      </c>
      <c r="R9" s="1396"/>
      <c r="S9" s="1396"/>
      <c r="T9" s="1425"/>
      <c r="U9" s="1395">
        <v>2023</v>
      </c>
      <c r="V9" s="1396"/>
      <c r="W9" s="1396"/>
      <c r="X9" s="1425"/>
      <c r="Y9" s="404"/>
      <c r="Z9" s="355">
        <v>2024</v>
      </c>
      <c r="AA9" s="355"/>
      <c r="AB9" s="354"/>
      <c r="AC9" s="1398">
        <v>2025</v>
      </c>
      <c r="AD9" s="1399"/>
      <c r="AE9" s="1399"/>
      <c r="AF9" s="1399"/>
      <c r="AG9" s="1412">
        <v>2026</v>
      </c>
      <c r="AH9" s="1424"/>
      <c r="AI9" s="1424"/>
      <c r="AJ9" s="1414"/>
      <c r="AK9" s="1412">
        <v>2027</v>
      </c>
      <c r="AL9" s="1424"/>
      <c r="AM9" s="1424"/>
      <c r="AN9" s="1414"/>
    </row>
    <row r="10" spans="2:41" ht="14.9" customHeight="1" x14ac:dyDescent="0.35">
      <c r="B10" s="1393"/>
      <c r="C10" s="1394"/>
      <c r="D10" s="244" t="s">
        <v>248</v>
      </c>
      <c r="E10" s="244" t="s">
        <v>249</v>
      </c>
      <c r="F10" s="245" t="s">
        <v>250</v>
      </c>
      <c r="G10" s="245" t="s">
        <v>226</v>
      </c>
      <c r="H10" s="246" t="s">
        <v>248</v>
      </c>
      <c r="I10" s="245" t="s">
        <v>249</v>
      </c>
      <c r="J10" s="245" t="s">
        <v>250</v>
      </c>
      <c r="K10" s="245" t="s">
        <v>226</v>
      </c>
      <c r="L10" s="245"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1" x14ac:dyDescent="0.35">
      <c r="B11" s="376" t="s">
        <v>90</v>
      </c>
      <c r="C11" s="390" t="s">
        <v>251</v>
      </c>
      <c r="D11" s="378">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5">
        <f>'Haver Pivoted'!HB14</f>
        <v>24.4</v>
      </c>
      <c r="R11" s="265">
        <f>'Haver Pivoted'!HC14</f>
        <v>21.8</v>
      </c>
      <c r="S11" s="245">
        <f>'Haver Pivoted'!HD14</f>
        <v>23.2</v>
      </c>
      <c r="T11" s="245">
        <f>'Haver Pivoted'!HE14</f>
        <v>25.8</v>
      </c>
      <c r="U11" s="245">
        <f>'Haver Pivoted'!HF14</f>
        <v>30</v>
      </c>
      <c r="V11" s="245">
        <f>'Haver Pivoted'!HG14</f>
        <v>32.799999999999997</v>
      </c>
      <c r="W11" s="245">
        <f>'Haver Pivoted'!HH14</f>
        <v>34.9</v>
      </c>
      <c r="X11" s="245">
        <f>'Haver Pivoted'!HI14</f>
        <v>35.5</v>
      </c>
      <c r="Y11" s="245">
        <f>'Haver Pivoted'!HJ14</f>
        <v>35.5</v>
      </c>
      <c r="Z11" s="245">
        <f>'Haver Pivoted'!HK14</f>
        <v>36.1</v>
      </c>
      <c r="AA11" s="245">
        <f>'Haver Pivoted'!HL14</f>
        <v>37</v>
      </c>
      <c r="AB11" s="245">
        <f>'Haver Pivoted'!HM14</f>
        <v>37.299999999999997</v>
      </c>
      <c r="AC11" s="245">
        <f>'Haver Pivoted'!HN14</f>
        <v>37.1</v>
      </c>
      <c r="AD11" s="245">
        <f>'Haver Pivoted'!HO14</f>
        <v>38</v>
      </c>
      <c r="AE11" s="245">
        <f>'Haver Pivoted'!HP14</f>
        <v>38.5</v>
      </c>
      <c r="AF11" s="245">
        <f>'Haver Pivoted'!HQ14</f>
        <v>38.299999999999997</v>
      </c>
      <c r="AG11" s="357">
        <f t="shared" ref="AG11" si="0">AG13+AG14+AG21</f>
        <v>35.700000000000003</v>
      </c>
      <c r="AH11" s="357">
        <f>AH13+AH14+AH21</f>
        <v>35.700000000000003</v>
      </c>
      <c r="AI11" s="357">
        <f t="shared" ref="AI11:AN11" si="1">AI13+AI14+AI21</f>
        <v>35.700000000000003</v>
      </c>
      <c r="AJ11" s="357">
        <f t="shared" si="1"/>
        <v>35.700000000000003</v>
      </c>
      <c r="AK11" s="357">
        <f t="shared" si="1"/>
        <v>36.700000000000003</v>
      </c>
      <c r="AL11" s="357">
        <f t="shared" si="1"/>
        <v>37.700000000000003</v>
      </c>
      <c r="AM11" s="357">
        <f t="shared" si="1"/>
        <v>38.700000000000003</v>
      </c>
      <c r="AN11" s="357">
        <f t="shared" si="1"/>
        <v>39.700000000000003</v>
      </c>
      <c r="AO11" s="268" t="s">
        <v>252</v>
      </c>
    </row>
    <row r="12" spans="2:41" x14ac:dyDescent="0.35">
      <c r="B12" s="403" t="s">
        <v>1902</v>
      </c>
      <c r="C12" s="356"/>
      <c r="D12" s="392"/>
      <c r="E12" s="265"/>
      <c r="F12" s="265"/>
      <c r="G12" s="265"/>
      <c r="H12" s="265"/>
      <c r="I12" s="265"/>
      <c r="J12" s="265"/>
      <c r="K12" s="265"/>
      <c r="L12" s="265"/>
      <c r="M12" s="265"/>
      <c r="N12" s="265"/>
      <c r="O12" s="265"/>
      <c r="P12" s="265"/>
      <c r="Q12" s="265"/>
      <c r="R12" s="265"/>
      <c r="S12" s="245"/>
      <c r="T12" s="245"/>
      <c r="U12" s="245"/>
      <c r="V12" s="245"/>
      <c r="W12" s="245"/>
      <c r="X12" s="245"/>
      <c r="Y12" s="245"/>
      <c r="Z12" s="245"/>
      <c r="AA12" s="245"/>
      <c r="AB12" s="245"/>
      <c r="AC12" s="245"/>
      <c r="AD12" s="245"/>
      <c r="AE12" s="245"/>
      <c r="AF12" s="245"/>
      <c r="AG12" s="357"/>
      <c r="AH12" s="357"/>
      <c r="AI12" s="357"/>
      <c r="AJ12" s="357"/>
      <c r="AK12" s="357"/>
      <c r="AL12" s="357"/>
      <c r="AM12" s="357"/>
      <c r="AN12" s="357"/>
    </row>
    <row r="13" spans="2:41" x14ac:dyDescent="0.35">
      <c r="B13" s="386" t="s">
        <v>253</v>
      </c>
      <c r="C13" s="379" t="s">
        <v>254</v>
      </c>
      <c r="D13" s="392">
        <f>'Haver Pivoted'!GO63</f>
        <v>0</v>
      </c>
      <c r="E13" s="265">
        <f>'Haver Pivoted'!GP63</f>
        <v>0</v>
      </c>
      <c r="F13" s="265">
        <f>'Haver Pivoted'!GQ63</f>
        <v>0</v>
      </c>
      <c r="G13" s="265">
        <f>'Haver Pivoted'!GR63</f>
        <v>0</v>
      </c>
      <c r="H13" s="265">
        <f>'Haver Pivoted'!GS63</f>
        <v>0</v>
      </c>
      <c r="I13" s="265">
        <f>'Haver Pivoted'!GT63</f>
        <v>0</v>
      </c>
      <c r="J13" s="265">
        <f>'Haver Pivoted'!GU63</f>
        <v>0.1</v>
      </c>
      <c r="K13" s="265">
        <f>'Haver Pivoted'!GV63</f>
        <v>3.7</v>
      </c>
      <c r="L13" s="265">
        <f>'Haver Pivoted'!GW63</f>
        <v>12.9</v>
      </c>
      <c r="M13" s="265">
        <f>'Haver Pivoted'!GX63</f>
        <v>25.5</v>
      </c>
      <c r="N13" s="265">
        <f>'Haver Pivoted'!GY63</f>
        <v>3.8</v>
      </c>
      <c r="O13" s="265">
        <f>'Haver Pivoted'!GZ63</f>
        <v>1.8</v>
      </c>
      <c r="P13" s="265">
        <f>'Haver Pivoted'!HA63</f>
        <v>0.6</v>
      </c>
      <c r="Q13" s="265">
        <f>'Haver Pivoted'!HB63</f>
        <v>0.2</v>
      </c>
      <c r="R13" s="265">
        <f>'Haver Pivoted'!HC63</f>
        <v>0.1</v>
      </c>
      <c r="S13" s="245">
        <f>'Haver Pivoted'!HD63</f>
        <v>0</v>
      </c>
      <c r="T13" s="245">
        <f>'Haver Pivoted'!HE63</f>
        <v>0</v>
      </c>
      <c r="U13" s="245">
        <f>'Haver Pivoted'!HF63</f>
        <v>0</v>
      </c>
      <c r="V13" s="245">
        <f>'Haver Pivoted'!HG63</f>
        <v>0</v>
      </c>
      <c r="W13" s="245">
        <f>'Haver Pivoted'!HH63</f>
        <v>0</v>
      </c>
      <c r="X13" s="245">
        <f>'Haver Pivoted'!HI63</f>
        <v>0</v>
      </c>
      <c r="Y13" s="245">
        <f>'Haver Pivoted'!HJ63</f>
        <v>0</v>
      </c>
      <c r="Z13" s="245">
        <f>'Haver Pivoted'!HK63</f>
        <v>0</v>
      </c>
      <c r="AA13" s="245">
        <f>'Haver Pivoted'!HL63</f>
        <v>0</v>
      </c>
      <c r="AB13" s="245">
        <f>'Haver Pivoted'!HM63</f>
        <v>0</v>
      </c>
      <c r="AC13" s="245">
        <f>'Haver Pivoted'!HN63</f>
        <v>0</v>
      </c>
      <c r="AD13" s="245">
        <f>'Haver Pivoted'!HO63</f>
        <v>0</v>
      </c>
      <c r="AE13" s="245">
        <f>'Haver Pivoted'!HP63</f>
        <v>0</v>
      </c>
      <c r="AF13" s="245">
        <f>'Haver Pivoted'!HQ63</f>
        <v>0</v>
      </c>
      <c r="AG13" s="357">
        <f t="shared" ref="AG13:AH13" si="2">AF13*AG24/AF24</f>
        <v>0</v>
      </c>
      <c r="AH13" s="357">
        <f t="shared" si="2"/>
        <v>0</v>
      </c>
      <c r="AI13" s="357">
        <f t="shared" ref="AI13" si="3">AH13*AI24/AH24</f>
        <v>0</v>
      </c>
      <c r="AJ13" s="357">
        <f>AI13*AJ24/AI24</f>
        <v>0</v>
      </c>
      <c r="AK13" s="357">
        <f t="shared" ref="AK13:AN13" si="4">AJ13*AK24/AJ24</f>
        <v>0</v>
      </c>
      <c r="AL13" s="357">
        <f t="shared" si="4"/>
        <v>0</v>
      </c>
      <c r="AM13" s="357">
        <f t="shared" si="4"/>
        <v>0</v>
      </c>
      <c r="AN13" s="357">
        <f t="shared" si="4"/>
        <v>0</v>
      </c>
    </row>
    <row r="14" spans="2:41" x14ac:dyDescent="0.35">
      <c r="B14" s="386" t="s">
        <v>255</v>
      </c>
      <c r="C14" s="379"/>
      <c r="D14" s="392"/>
      <c r="E14" s="265"/>
      <c r="F14" s="265"/>
      <c r="G14" s="265"/>
      <c r="H14" s="361">
        <f>SUM(H15:H18)</f>
        <v>0</v>
      </c>
      <c r="I14" s="361">
        <f t="shared" ref="I14:M14" si="5">SUM(I15:I18)</f>
        <v>0</v>
      </c>
      <c r="J14" s="361">
        <f t="shared" si="5"/>
        <v>779.7</v>
      </c>
      <c r="K14" s="361">
        <f t="shared" si="5"/>
        <v>582.6</v>
      </c>
      <c r="L14" s="361">
        <f t="shared" si="5"/>
        <v>216.5</v>
      </c>
      <c r="M14" s="361">
        <f t="shared" si="5"/>
        <v>497.6</v>
      </c>
      <c r="N14" s="366">
        <f>SUM(N15:N18)</f>
        <v>401.5</v>
      </c>
      <c r="O14" s="366">
        <f t="shared" ref="O14:AC14" si="6">SUM(O15:O18)</f>
        <v>207.4</v>
      </c>
      <c r="P14" s="366">
        <f t="shared" si="6"/>
        <v>5.5</v>
      </c>
      <c r="Q14" s="366">
        <v>0</v>
      </c>
      <c r="R14" s="366">
        <f t="shared" si="6"/>
        <v>1</v>
      </c>
      <c r="S14" s="366">
        <f t="shared" si="6"/>
        <v>0.5</v>
      </c>
      <c r="T14" s="366">
        <f t="shared" si="6"/>
        <v>0.30000000000000004</v>
      </c>
      <c r="U14" s="366">
        <f t="shared" si="6"/>
        <v>0</v>
      </c>
      <c r="V14" s="361">
        <f t="shared" si="6"/>
        <v>0</v>
      </c>
      <c r="W14" s="361">
        <f t="shared" si="6"/>
        <v>0</v>
      </c>
      <c r="X14" s="357">
        <f>SUM(X15:X18)</f>
        <v>0</v>
      </c>
      <c r="Y14" s="357">
        <f t="shared" si="6"/>
        <v>0</v>
      </c>
      <c r="Z14" s="357">
        <f t="shared" si="6"/>
        <v>0</v>
      </c>
      <c r="AA14" s="357">
        <f t="shared" si="6"/>
        <v>0</v>
      </c>
      <c r="AB14" s="357">
        <f t="shared" si="6"/>
        <v>0</v>
      </c>
      <c r="AC14" s="357">
        <f t="shared" si="6"/>
        <v>0</v>
      </c>
      <c r="AD14" s="357">
        <f t="shared" ref="AD14:AG14" si="7">SUM(AD15:AD18)</f>
        <v>0</v>
      </c>
      <c r="AE14" s="357">
        <f t="shared" si="7"/>
        <v>0</v>
      </c>
      <c r="AF14" s="357">
        <f t="shared" si="7"/>
        <v>0</v>
      </c>
      <c r="AG14" s="357">
        <f t="shared" si="7"/>
        <v>0</v>
      </c>
      <c r="AH14" s="357">
        <f t="shared" ref="AH14:AI14" si="8">SUM(AH15:AH18)</f>
        <v>0</v>
      </c>
      <c r="AI14" s="357">
        <f t="shared" si="8"/>
        <v>0</v>
      </c>
      <c r="AJ14" s="357">
        <f>SUM(AJ15:AJ18)</f>
        <v>0</v>
      </c>
      <c r="AK14" s="357">
        <f t="shared" ref="AK14:AN14" si="9">SUM(AK15:AK18)</f>
        <v>0</v>
      </c>
      <c r="AL14" s="357">
        <f t="shared" si="9"/>
        <v>0</v>
      </c>
      <c r="AM14" s="357">
        <f t="shared" si="9"/>
        <v>0</v>
      </c>
      <c r="AN14" s="357">
        <f t="shared" si="9"/>
        <v>0</v>
      </c>
    </row>
    <row r="15" spans="2:41" ht="18" customHeight="1" x14ac:dyDescent="0.35">
      <c r="B15" s="373" t="s">
        <v>256</v>
      </c>
      <c r="C15" s="242" t="s">
        <v>254</v>
      </c>
      <c r="D15" s="391">
        <f>'Haver Pivoted'!GO63</f>
        <v>0</v>
      </c>
      <c r="E15" s="365">
        <f>'Haver Pivoted'!GP63</f>
        <v>0</v>
      </c>
      <c r="F15" s="365">
        <f>'Haver Pivoted'!GQ63</f>
        <v>0</v>
      </c>
      <c r="G15" s="365">
        <f>'Haver Pivoted'!GR63</f>
        <v>0</v>
      </c>
      <c r="H15" s="365">
        <f>'Haver Pivoted'!GS63</f>
        <v>0</v>
      </c>
      <c r="I15" s="365">
        <f>'Haver Pivoted'!GT63</f>
        <v>0</v>
      </c>
      <c r="J15" s="365">
        <f>'Haver Pivoted'!GU63</f>
        <v>0.1</v>
      </c>
      <c r="K15" s="365">
        <f>'Haver Pivoted'!GV63</f>
        <v>3.7</v>
      </c>
      <c r="L15" s="365">
        <f>'Haver Pivoted'!GW63</f>
        <v>12.9</v>
      </c>
      <c r="M15" s="365">
        <f>'Haver Pivoted'!GX63</f>
        <v>25.5</v>
      </c>
      <c r="N15" s="365">
        <f>'Haver Pivoted'!GY63</f>
        <v>3.8</v>
      </c>
      <c r="O15" s="365">
        <f>'Haver Pivoted'!GZ63</f>
        <v>1.8</v>
      </c>
      <c r="P15" s="365">
        <f>'Haver Pivoted'!HA63</f>
        <v>0.6</v>
      </c>
      <c r="Q15" s="365">
        <f>'Haver Pivoted'!HB63</f>
        <v>0.2</v>
      </c>
      <c r="R15" s="365">
        <f>'Haver Pivoted'!HC63</f>
        <v>0.1</v>
      </c>
      <c r="S15" s="367">
        <f>'Haver Pivoted'!HD63</f>
        <v>0</v>
      </c>
      <c r="T15" s="367">
        <f>'Haver Pivoted'!HE63</f>
        <v>0</v>
      </c>
      <c r="U15" s="367">
        <f>'Haver Pivoted'!HF63</f>
        <v>0</v>
      </c>
      <c r="V15" s="367">
        <f>'Haver Pivoted'!HG63</f>
        <v>0</v>
      </c>
      <c r="W15" s="367">
        <f>'Haver Pivoted'!HH63</f>
        <v>0</v>
      </c>
      <c r="X15" s="367">
        <f>'Haver Pivoted'!HI63</f>
        <v>0</v>
      </c>
      <c r="Y15" s="367">
        <f>'Haver Pivoted'!HJ63</f>
        <v>0</v>
      </c>
      <c r="Z15" s="367">
        <f>'Haver Pivoted'!HK63</f>
        <v>0</v>
      </c>
      <c r="AA15" s="367">
        <f>'Haver Pivoted'!HL63</f>
        <v>0</v>
      </c>
      <c r="AB15" s="367">
        <f>'Haver Pivoted'!HM63</f>
        <v>0</v>
      </c>
      <c r="AC15" s="367">
        <f>'Haver Pivoted'!HN63</f>
        <v>0</v>
      </c>
      <c r="AD15" s="367">
        <f>'Haver Pivoted'!HO63</f>
        <v>0</v>
      </c>
      <c r="AE15" s="367">
        <f>'Haver Pivoted'!HP63</f>
        <v>0</v>
      </c>
      <c r="AF15" s="367">
        <f>'Haver Pivoted'!HQ63</f>
        <v>0</v>
      </c>
      <c r="AG15" s="357">
        <f t="shared" ref="AG15" si="10">AG13</f>
        <v>0</v>
      </c>
      <c r="AH15" s="357">
        <f t="shared" ref="AH15:AJ15" si="11">AH13</f>
        <v>0</v>
      </c>
      <c r="AI15" s="357">
        <f t="shared" si="11"/>
        <v>0</v>
      </c>
      <c r="AJ15" s="357">
        <f t="shared" si="11"/>
        <v>0</v>
      </c>
      <c r="AK15" s="357">
        <f t="shared" ref="AK15:AN15" si="12">AK13</f>
        <v>0</v>
      </c>
      <c r="AL15" s="357">
        <f t="shared" si="12"/>
        <v>0</v>
      </c>
      <c r="AM15" s="357">
        <f t="shared" si="12"/>
        <v>0</v>
      </c>
      <c r="AN15" s="357">
        <f t="shared" si="12"/>
        <v>0</v>
      </c>
    </row>
    <row r="16" spans="2:41" ht="18" customHeight="1" x14ac:dyDescent="0.35">
      <c r="B16" s="373" t="s">
        <v>257</v>
      </c>
      <c r="C16" s="242" t="s">
        <v>258</v>
      </c>
      <c r="D16" s="391">
        <f>'Haver Pivoted'!GO59</f>
        <v>0</v>
      </c>
      <c r="E16" s="365">
        <f>'Haver Pivoted'!GP59</f>
        <v>0</v>
      </c>
      <c r="F16" s="365">
        <f>'Haver Pivoted'!GQ59</f>
        <v>0</v>
      </c>
      <c r="G16" s="365">
        <f>'Haver Pivoted'!GR59</f>
        <v>0</v>
      </c>
      <c r="H16" s="365">
        <f>'Haver Pivoted'!GS59</f>
        <v>0</v>
      </c>
      <c r="I16" s="365">
        <f>'Haver Pivoted'!GT59</f>
        <v>0</v>
      </c>
      <c r="J16" s="365">
        <f>'Haver Pivoted'!GU59</f>
        <v>6.3</v>
      </c>
      <c r="K16" s="365">
        <f>'Haver Pivoted'!GV59</f>
        <v>26.7</v>
      </c>
      <c r="L16" s="365">
        <f>'Haver Pivoted'!GW59</f>
        <v>82.1</v>
      </c>
      <c r="M16" s="365">
        <f>'Haver Pivoted'!GX59</f>
        <v>94.7</v>
      </c>
      <c r="N16" s="365">
        <f>'Haver Pivoted'!GY59</f>
        <v>92.1</v>
      </c>
      <c r="O16" s="365">
        <f>'Haver Pivoted'!GZ59</f>
        <v>51.6</v>
      </c>
      <c r="P16" s="365">
        <f>'Haver Pivoted'!HA59</f>
        <v>2.8</v>
      </c>
      <c r="Q16" s="365">
        <f>'Haver Pivoted'!HB59</f>
        <v>0.8</v>
      </c>
      <c r="R16" s="365">
        <f>'Haver Pivoted'!HC59</f>
        <v>0.5</v>
      </c>
      <c r="S16" s="367">
        <f>'Haver Pivoted'!HD59</f>
        <v>0.3</v>
      </c>
      <c r="T16" s="367">
        <f>'Haver Pivoted'!HE59</f>
        <v>0.2</v>
      </c>
      <c r="U16" s="367">
        <f>'Haver Pivoted'!HF59</f>
        <v>0</v>
      </c>
      <c r="V16" s="367">
        <f>'Haver Pivoted'!HG59</f>
        <v>0</v>
      </c>
      <c r="W16" s="367">
        <f>'Haver Pivoted'!HH59</f>
        <v>0</v>
      </c>
      <c r="X16" s="367">
        <f>'Haver Pivoted'!HI59</f>
        <v>0</v>
      </c>
      <c r="Y16" s="367">
        <f>'Haver Pivoted'!HJ59</f>
        <v>0</v>
      </c>
      <c r="Z16" s="367">
        <f>'Haver Pivoted'!HK59</f>
        <v>0</v>
      </c>
      <c r="AA16" s="367">
        <f>'Haver Pivoted'!HL59</f>
        <v>0</v>
      </c>
      <c r="AB16" s="367">
        <f>'Haver Pivoted'!HM59</f>
        <v>0</v>
      </c>
      <c r="AC16" s="367">
        <f>'Haver Pivoted'!HN59</f>
        <v>0</v>
      </c>
      <c r="AD16" s="367">
        <f>'Haver Pivoted'!HO59</f>
        <v>0</v>
      </c>
      <c r="AE16" s="367">
        <f>'Haver Pivoted'!HP59</f>
        <v>0</v>
      </c>
      <c r="AF16" s="367">
        <f>'Haver Pivoted'!HQ59</f>
        <v>0</v>
      </c>
      <c r="AG16" s="357">
        <f t="shared" ref="AG16:AH18" si="13">AF16*AG$24/AF$24</f>
        <v>0</v>
      </c>
      <c r="AH16" s="357">
        <f t="shared" si="13"/>
        <v>0</v>
      </c>
      <c r="AI16" s="357">
        <f t="shared" ref="AI16:AI18" si="14">AH16*AI$24/AH$24</f>
        <v>0</v>
      </c>
      <c r="AJ16" s="357">
        <f t="shared" ref="AJ16:AJ18" si="15">AI16*AJ$24/AI$24</f>
        <v>0</v>
      </c>
      <c r="AK16" s="357">
        <f t="shared" ref="AK16:AK18" si="16">AJ16*AK$24/AJ$24</f>
        <v>0</v>
      </c>
      <c r="AL16" s="357">
        <f t="shared" ref="AL16:AL18" si="17">AK16*AL$24/AK$24</f>
        <v>0</v>
      </c>
      <c r="AM16" s="357">
        <f t="shared" ref="AM16:AM18" si="18">AL16*AM$24/AL$24</f>
        <v>0</v>
      </c>
      <c r="AN16" s="357">
        <f t="shared" ref="AN16:AN18" si="19">AM16*AN$24/AM$24</f>
        <v>0</v>
      </c>
    </row>
    <row r="17" spans="2:69" ht="18" customHeight="1" x14ac:dyDescent="0.35">
      <c r="B17" s="373" t="s">
        <v>259</v>
      </c>
      <c r="C17" s="242" t="s">
        <v>260</v>
      </c>
      <c r="D17" s="391">
        <f>'Haver Pivoted'!GO60</f>
        <v>0</v>
      </c>
      <c r="E17" s="365">
        <f>'Haver Pivoted'!GP60</f>
        <v>0</v>
      </c>
      <c r="F17" s="365">
        <f>'Haver Pivoted'!GQ60</f>
        <v>0</v>
      </c>
      <c r="G17" s="365">
        <f>'Haver Pivoted'!GR60</f>
        <v>0</v>
      </c>
      <c r="H17" s="365">
        <f>'Haver Pivoted'!GS60</f>
        <v>0</v>
      </c>
      <c r="I17" s="365">
        <f>'Haver Pivoted'!GT60</f>
        <v>0</v>
      </c>
      <c r="J17" s="365">
        <f>'Haver Pivoted'!GU60</f>
        <v>74.400000000000006</v>
      </c>
      <c r="K17" s="365">
        <f>'Haver Pivoted'!GV60</f>
        <v>138.30000000000001</v>
      </c>
      <c r="L17" s="365">
        <f>'Haver Pivoted'!GW60</f>
        <v>106.8</v>
      </c>
      <c r="M17" s="365">
        <f>'Haver Pivoted'!GX60</f>
        <v>89.2</v>
      </c>
      <c r="N17" s="365">
        <f>'Haver Pivoted'!GY60</f>
        <v>72.3</v>
      </c>
      <c r="O17" s="365">
        <f>'Haver Pivoted'!GZ60</f>
        <v>43.5</v>
      </c>
      <c r="P17" s="365">
        <f>'Haver Pivoted'!HA60</f>
        <v>2.1</v>
      </c>
      <c r="Q17" s="365">
        <f>'Haver Pivoted'!HB60</f>
        <v>0.8</v>
      </c>
      <c r="R17" s="365">
        <f>'Haver Pivoted'!HC60</f>
        <v>0.4</v>
      </c>
      <c r="S17" s="367">
        <f>'Haver Pivoted'!HD60</f>
        <v>0.2</v>
      </c>
      <c r="T17" s="367">
        <f>'Haver Pivoted'!HE60</f>
        <v>0.1</v>
      </c>
      <c r="U17" s="367">
        <f>'Haver Pivoted'!HF60</f>
        <v>0</v>
      </c>
      <c r="V17" s="367">
        <f>'Haver Pivoted'!HG60</f>
        <v>0</v>
      </c>
      <c r="W17" s="367">
        <f>'Haver Pivoted'!HH60</f>
        <v>0</v>
      </c>
      <c r="X17" s="367">
        <f>'Haver Pivoted'!HI60</f>
        <v>0</v>
      </c>
      <c r="Y17" s="367">
        <f>'Haver Pivoted'!HJ60</f>
        <v>0</v>
      </c>
      <c r="Z17" s="367">
        <f>'Haver Pivoted'!HK60</f>
        <v>0</v>
      </c>
      <c r="AA17" s="367">
        <f>'Haver Pivoted'!HL60</f>
        <v>0</v>
      </c>
      <c r="AB17" s="367">
        <f>'Haver Pivoted'!HM60</f>
        <v>0</v>
      </c>
      <c r="AC17" s="367">
        <f>'Haver Pivoted'!HN60</f>
        <v>0</v>
      </c>
      <c r="AD17" s="367">
        <f>'Haver Pivoted'!HO60</f>
        <v>0</v>
      </c>
      <c r="AE17" s="367">
        <f>'Haver Pivoted'!HP60</f>
        <v>0</v>
      </c>
      <c r="AF17" s="367">
        <f>'Haver Pivoted'!HQ60</f>
        <v>0</v>
      </c>
      <c r="AG17" s="357">
        <f t="shared" si="13"/>
        <v>0</v>
      </c>
      <c r="AH17" s="357">
        <f t="shared" si="13"/>
        <v>0</v>
      </c>
      <c r="AI17" s="357">
        <f t="shared" si="14"/>
        <v>0</v>
      </c>
      <c r="AJ17" s="357">
        <f t="shared" si="15"/>
        <v>0</v>
      </c>
      <c r="AK17" s="357">
        <f t="shared" si="16"/>
        <v>0</v>
      </c>
      <c r="AL17" s="357">
        <f t="shared" si="17"/>
        <v>0</v>
      </c>
      <c r="AM17" s="357">
        <f t="shared" si="18"/>
        <v>0</v>
      </c>
      <c r="AN17" s="357">
        <f t="shared" si="19"/>
        <v>0</v>
      </c>
    </row>
    <row r="18" spans="2:69" ht="18" customHeight="1" x14ac:dyDescent="0.35">
      <c r="B18" s="373" t="s">
        <v>261</v>
      </c>
      <c r="C18" s="242" t="s">
        <v>262</v>
      </c>
      <c r="D18" s="391">
        <f>'Haver Pivoted'!GO61</f>
        <v>0</v>
      </c>
      <c r="E18" s="365">
        <f>'Haver Pivoted'!GP61</f>
        <v>0</v>
      </c>
      <c r="F18" s="365">
        <f>'Haver Pivoted'!GQ61</f>
        <v>0</v>
      </c>
      <c r="G18" s="365">
        <f>'Haver Pivoted'!GR61</f>
        <v>0</v>
      </c>
      <c r="H18" s="365">
        <f>'Haver Pivoted'!GS61</f>
        <v>0</v>
      </c>
      <c r="I18" s="365">
        <f>'Haver Pivoted'!GT61</f>
        <v>0</v>
      </c>
      <c r="J18" s="365">
        <f>'Haver Pivoted'!GU61</f>
        <v>698.9</v>
      </c>
      <c r="K18" s="365">
        <f>'Haver Pivoted'!GV61</f>
        <v>413.9</v>
      </c>
      <c r="L18" s="365">
        <f>'Haver Pivoted'!GW61</f>
        <v>14.7</v>
      </c>
      <c r="M18" s="365">
        <f>'Haver Pivoted'!GX61</f>
        <v>288.2</v>
      </c>
      <c r="N18" s="365">
        <f>'Haver Pivoted'!GY61</f>
        <v>233.3</v>
      </c>
      <c r="O18" s="365">
        <f>'Haver Pivoted'!GZ61</f>
        <v>110.5</v>
      </c>
      <c r="P18" s="365">
        <f>'Haver Pivoted'!HA61</f>
        <v>0</v>
      </c>
      <c r="Q18" s="365">
        <f>'Haver Pivoted'!HB61</f>
        <v>0</v>
      </c>
      <c r="R18" s="365">
        <f>'Haver Pivoted'!HC61</f>
        <v>0</v>
      </c>
      <c r="S18" s="367">
        <f>'Haver Pivoted'!HD61</f>
        <v>0</v>
      </c>
      <c r="T18" s="367">
        <f>'Haver Pivoted'!HE61</f>
        <v>0</v>
      </c>
      <c r="U18" s="367">
        <f>'Haver Pivoted'!HF61</f>
        <v>0</v>
      </c>
      <c r="V18" s="367">
        <f>'Haver Pivoted'!HG61</f>
        <v>0</v>
      </c>
      <c r="W18" s="367">
        <f>'Haver Pivoted'!HH61</f>
        <v>0</v>
      </c>
      <c r="X18" s="367">
        <f>'Haver Pivoted'!HI61</f>
        <v>0</v>
      </c>
      <c r="Y18" s="367">
        <f>'Haver Pivoted'!HJ61</f>
        <v>0</v>
      </c>
      <c r="Z18" s="367">
        <f>'Haver Pivoted'!HK61</f>
        <v>0</v>
      </c>
      <c r="AA18" s="367">
        <f>'Haver Pivoted'!HL61</f>
        <v>0</v>
      </c>
      <c r="AB18" s="367">
        <f>'Haver Pivoted'!HM61</f>
        <v>0</v>
      </c>
      <c r="AC18" s="367">
        <f>'Haver Pivoted'!HN61</f>
        <v>0</v>
      </c>
      <c r="AD18" s="367">
        <f>'Haver Pivoted'!HO61</f>
        <v>0</v>
      </c>
      <c r="AE18" s="367">
        <f>'Haver Pivoted'!HP61</f>
        <v>0</v>
      </c>
      <c r="AF18" s="367">
        <f>'Haver Pivoted'!HQ61</f>
        <v>0</v>
      </c>
      <c r="AG18" s="357">
        <f t="shared" si="13"/>
        <v>0</v>
      </c>
      <c r="AH18" s="357">
        <f t="shared" si="13"/>
        <v>0</v>
      </c>
      <c r="AI18" s="357">
        <f t="shared" si="14"/>
        <v>0</v>
      </c>
      <c r="AJ18" s="357">
        <f t="shared" si="15"/>
        <v>0</v>
      </c>
      <c r="AK18" s="357">
        <f t="shared" si="16"/>
        <v>0</v>
      </c>
      <c r="AL18" s="357">
        <f t="shared" si="17"/>
        <v>0</v>
      </c>
      <c r="AM18" s="357">
        <f t="shared" si="18"/>
        <v>0</v>
      </c>
      <c r="AN18" s="357">
        <f t="shared" si="19"/>
        <v>0</v>
      </c>
    </row>
    <row r="19" spans="2:69" x14ac:dyDescent="0.35">
      <c r="B19" s="374" t="s">
        <v>146</v>
      </c>
      <c r="C19" s="268" t="s">
        <v>263</v>
      </c>
      <c r="D19" s="392">
        <f>'Haver Pivoted'!GO64</f>
        <v>0</v>
      </c>
      <c r="E19" s="265">
        <f>'Haver Pivoted'!GP64</f>
        <v>0</v>
      </c>
      <c r="F19" s="265">
        <f>'Haver Pivoted'!GQ64</f>
        <v>0</v>
      </c>
      <c r="G19" s="265">
        <f>'Haver Pivoted'!GR64</f>
        <v>0</v>
      </c>
      <c r="H19" s="265">
        <f>'Haver Pivoted'!GS64</f>
        <v>0</v>
      </c>
      <c r="I19" s="265">
        <f>'Haver Pivoted'!GT64</f>
        <v>0</v>
      </c>
      <c r="J19" s="265">
        <f>'Haver Pivoted'!GU64</f>
        <v>0</v>
      </c>
      <c r="K19" s="265">
        <f>'Haver Pivoted'!GV64</f>
        <v>106.2</v>
      </c>
      <c r="L19" s="265">
        <f>'Haver Pivoted'!GW64</f>
        <v>35.9</v>
      </c>
      <c r="M19" s="265">
        <f>'Haver Pivoted'!GX64</f>
        <v>1.6</v>
      </c>
      <c r="N19" s="265">
        <f>'Haver Pivoted'!GY64</f>
        <v>0.6</v>
      </c>
      <c r="O19" s="265">
        <f>'Haver Pivoted'!GZ64</f>
        <v>0.1</v>
      </c>
      <c r="P19" s="265">
        <f>'Haver Pivoted'!HA64</f>
        <v>0</v>
      </c>
      <c r="Q19" s="365">
        <f>'Haver Pivoted'!HB64</f>
        <v>0</v>
      </c>
      <c r="R19" s="365">
        <f>'Haver Pivoted'!HC64</f>
        <v>0</v>
      </c>
      <c r="S19" s="367">
        <f>'Haver Pivoted'!HD64</f>
        <v>0</v>
      </c>
      <c r="T19" s="367">
        <f>'Haver Pivoted'!HE64</f>
        <v>0</v>
      </c>
      <c r="U19" s="367">
        <f>'Haver Pivoted'!HF64</f>
        <v>0</v>
      </c>
      <c r="V19" s="367">
        <f>'Haver Pivoted'!HG64</f>
        <v>0</v>
      </c>
      <c r="W19" s="367">
        <f>'Haver Pivoted'!HH64</f>
        <v>0</v>
      </c>
      <c r="X19" s="367">
        <f>'Haver Pivoted'!HI64</f>
        <v>0</v>
      </c>
      <c r="Y19" s="367">
        <f>'Haver Pivoted'!HJ64</f>
        <v>0</v>
      </c>
      <c r="Z19" s="367">
        <f>'Haver Pivoted'!HK64</f>
        <v>0</v>
      </c>
      <c r="AA19" s="367">
        <f>'Haver Pivoted'!HL64</f>
        <v>0</v>
      </c>
      <c r="AB19" s="367">
        <f>'Haver Pivoted'!HM64</f>
        <v>0</v>
      </c>
      <c r="AC19" s="367">
        <f>'Haver Pivoted'!HN64</f>
        <v>0</v>
      </c>
      <c r="AD19" s="367">
        <f>'Haver Pivoted'!HO64</f>
        <v>0</v>
      </c>
      <c r="AE19" s="367">
        <f>'Haver Pivoted'!HP64</f>
        <v>0</v>
      </c>
      <c r="AF19" s="367">
        <f>'Haver Pivoted'!HQ64</f>
        <v>0</v>
      </c>
      <c r="AG19" s="357"/>
      <c r="AH19" s="357"/>
      <c r="AI19" s="357"/>
      <c r="AJ19" s="357"/>
      <c r="AK19" s="357"/>
      <c r="AL19" s="357"/>
      <c r="AM19" s="357"/>
      <c r="AN19" s="357"/>
    </row>
    <row r="20" spans="2:69" ht="14.9" customHeight="1" x14ac:dyDescent="0.35">
      <c r="B20" s="389" t="s">
        <v>264</v>
      </c>
      <c r="C20" s="380"/>
      <c r="D20" s="384">
        <f t="shared" ref="D20:U20" si="20">D11-D21</f>
        <v>0</v>
      </c>
      <c r="E20" s="363">
        <f t="shared" si="20"/>
        <v>0</v>
      </c>
      <c r="F20" s="363">
        <f t="shared" si="20"/>
        <v>0</v>
      </c>
      <c r="G20" s="363">
        <f t="shared" si="20"/>
        <v>0</v>
      </c>
      <c r="H20" s="363">
        <f t="shared" si="20"/>
        <v>0</v>
      </c>
      <c r="I20" s="363">
        <f t="shared" si="20"/>
        <v>0</v>
      </c>
      <c r="J20" s="363">
        <f t="shared" si="20"/>
        <v>779.80000000000007</v>
      </c>
      <c r="K20" s="363">
        <f t="shared" si="20"/>
        <v>586.29999999999995</v>
      </c>
      <c r="L20" s="363">
        <f t="shared" si="20"/>
        <v>229.4</v>
      </c>
      <c r="M20" s="363">
        <f t="shared" si="20"/>
        <v>523.1</v>
      </c>
      <c r="N20" s="364">
        <f t="shared" si="20"/>
        <v>405.3</v>
      </c>
      <c r="O20" s="364">
        <f t="shared" si="20"/>
        <v>209.20000000000002</v>
      </c>
      <c r="P20" s="364">
        <f t="shared" si="20"/>
        <v>6.1000000000000014</v>
      </c>
      <c r="Q20" s="364">
        <f t="shared" si="20"/>
        <v>0.19999999999999929</v>
      </c>
      <c r="R20" s="364">
        <f t="shared" si="20"/>
        <v>1.1000000000000014</v>
      </c>
      <c r="S20" s="364">
        <f t="shared" si="20"/>
        <v>0.5</v>
      </c>
      <c r="T20" s="364">
        <f t="shared" si="20"/>
        <v>0.30000000000000071</v>
      </c>
      <c r="U20" s="364">
        <f t="shared" si="20"/>
        <v>0</v>
      </c>
      <c r="V20" s="363">
        <v>0</v>
      </c>
      <c r="W20" s="363">
        <v>0</v>
      </c>
      <c r="X20" s="368">
        <f t="shared" ref="X20:AH20" si="21">X11-X21</f>
        <v>5.2171428571428606</v>
      </c>
      <c r="Y20" s="368">
        <f t="shared" si="21"/>
        <v>4.0771428571428601</v>
      </c>
      <c r="Z20" s="368">
        <f t="shared" si="21"/>
        <v>1.2000000000000028</v>
      </c>
      <c r="AA20" s="368">
        <f t="shared" si="21"/>
        <v>1.2999999999999972</v>
      </c>
      <c r="AB20" s="368">
        <f t="shared" si="21"/>
        <v>1.5999999999999943</v>
      </c>
      <c r="AC20" s="368">
        <f t="shared" si="21"/>
        <v>1.3999999999999986</v>
      </c>
      <c r="AD20" s="368">
        <f t="shared" si="21"/>
        <v>2.2999999999999972</v>
      </c>
      <c r="AE20" s="368">
        <f t="shared" si="21"/>
        <v>2.7999999999999972</v>
      </c>
      <c r="AF20" s="368">
        <f t="shared" si="21"/>
        <v>2.5999999999999943</v>
      </c>
      <c r="AG20" s="368">
        <f t="shared" si="21"/>
        <v>0</v>
      </c>
      <c r="AH20" s="368">
        <f t="shared" si="21"/>
        <v>0</v>
      </c>
      <c r="AI20" s="368">
        <f t="shared" ref="AI20:AJ20" si="22">AI11-AI21</f>
        <v>0</v>
      </c>
      <c r="AJ20" s="368">
        <f t="shared" si="22"/>
        <v>0</v>
      </c>
      <c r="AK20" s="368">
        <f t="shared" ref="AK20:AN20" si="23">AK11-AK21</f>
        <v>0</v>
      </c>
      <c r="AL20" s="368">
        <f t="shared" si="23"/>
        <v>0</v>
      </c>
      <c r="AM20" s="368">
        <f t="shared" si="23"/>
        <v>0</v>
      </c>
      <c r="AN20" s="368">
        <f t="shared" si="23"/>
        <v>0</v>
      </c>
    </row>
    <row r="21" spans="2:69" ht="14.9" customHeight="1" x14ac:dyDescent="0.35">
      <c r="B21" s="389" t="s">
        <v>265</v>
      </c>
      <c r="C21" s="380"/>
      <c r="D21" s="384">
        <f t="shared" ref="D21:I21" si="24">D11</f>
        <v>27.1</v>
      </c>
      <c r="E21" s="363">
        <f t="shared" si="24"/>
        <v>29.6</v>
      </c>
      <c r="F21" s="363">
        <f t="shared" si="24"/>
        <v>27.3</v>
      </c>
      <c r="G21" s="363">
        <f t="shared" si="24"/>
        <v>26.4</v>
      </c>
      <c r="H21" s="363">
        <f t="shared" si="24"/>
        <v>26.7</v>
      </c>
      <c r="I21" s="363">
        <f t="shared" si="24"/>
        <v>39.200000000000003</v>
      </c>
      <c r="J21" s="363">
        <f>J11-J14-J13</f>
        <v>169.99999999999991</v>
      </c>
      <c r="K21" s="363">
        <f>K11-K14-K13</f>
        <v>214.7</v>
      </c>
      <c r="L21" s="363">
        <f>L11-L14-L13</f>
        <v>92.6</v>
      </c>
      <c r="M21" s="363">
        <f>M11-M14-M13</f>
        <v>65.399999999999977</v>
      </c>
      <c r="N21" s="364">
        <f t="shared" ref="N21:U21" si="25">N11-N13-N14</f>
        <v>32.199999999999989</v>
      </c>
      <c r="O21" s="364">
        <f t="shared" si="25"/>
        <v>-6.2000000000000171</v>
      </c>
      <c r="P21" s="364">
        <f t="shared" si="25"/>
        <v>24.599999999999998</v>
      </c>
      <c r="Q21" s="365">
        <f t="shared" si="25"/>
        <v>24.2</v>
      </c>
      <c r="R21" s="365">
        <f t="shared" si="25"/>
        <v>20.7</v>
      </c>
      <c r="S21" s="365">
        <f t="shared" si="25"/>
        <v>22.7</v>
      </c>
      <c r="T21" s="365">
        <f t="shared" si="25"/>
        <v>25.5</v>
      </c>
      <c r="U21" s="365">
        <f t="shared" si="25"/>
        <v>30</v>
      </c>
      <c r="V21" s="363">
        <f>U21*V24/U24</f>
        <v>30.857142857142858</v>
      </c>
      <c r="W21" s="363">
        <f>V21*W24/V24</f>
        <v>30.857142857142858</v>
      </c>
      <c r="X21" s="368">
        <f t="shared" ref="X21:Y21" si="26">W21*X24/W24</f>
        <v>30.282857142857139</v>
      </c>
      <c r="Y21" s="368">
        <f t="shared" si="26"/>
        <v>31.42285714285714</v>
      </c>
      <c r="Z21" s="368">
        <v>34.9</v>
      </c>
      <c r="AA21" s="368">
        <v>35.700000000000003</v>
      </c>
      <c r="AB21" s="368">
        <v>35.700000000000003</v>
      </c>
      <c r="AC21" s="368">
        <v>35.700000000000003</v>
      </c>
      <c r="AD21" s="368">
        <v>35.700000000000003</v>
      </c>
      <c r="AE21" s="368">
        <v>35.700000000000003</v>
      </c>
      <c r="AF21" s="368">
        <v>35.700000000000003</v>
      </c>
      <c r="AG21" s="368">
        <v>35.700000000000003</v>
      </c>
      <c r="AH21" s="368">
        <v>35.700000000000003</v>
      </c>
      <c r="AI21" s="368">
        <v>35.700000000000003</v>
      </c>
      <c r="AJ21" s="368">
        <v>35.700000000000003</v>
      </c>
      <c r="AK21" s="368">
        <v>36.700000000000003</v>
      </c>
      <c r="AL21" s="368">
        <v>37.700000000000003</v>
      </c>
      <c r="AM21" s="368">
        <v>38.700000000000003</v>
      </c>
      <c r="AN21" s="368">
        <v>39.700000000000003</v>
      </c>
      <c r="AO21" s="385" t="s">
        <v>266</v>
      </c>
    </row>
    <row r="22" spans="2:69" x14ac:dyDescent="0.35">
      <c r="B22" s="374"/>
      <c r="C22" s="375"/>
      <c r="D22" s="391"/>
      <c r="E22" s="365"/>
      <c r="F22" s="365"/>
      <c r="G22" s="365"/>
      <c r="H22" s="361"/>
      <c r="I22" s="361"/>
      <c r="J22" s="361"/>
      <c r="K22" s="361"/>
      <c r="L22" s="361"/>
      <c r="M22" s="361"/>
      <c r="N22" s="361"/>
      <c r="O22" s="361"/>
      <c r="P22" s="361"/>
      <c r="Q22" s="361"/>
      <c r="R22" s="361"/>
      <c r="S22" s="361"/>
      <c r="T22" s="377"/>
      <c r="U22" s="361"/>
      <c r="V22" s="361"/>
      <c r="W22" s="357"/>
      <c r="X22" s="357"/>
      <c r="Y22" s="357"/>
      <c r="Z22" s="357"/>
      <c r="AA22" s="357"/>
      <c r="AB22" s="357"/>
      <c r="AC22" s="357"/>
      <c r="AD22" s="357"/>
      <c r="AE22" s="357"/>
      <c r="AF22" s="357"/>
      <c r="AG22" s="357"/>
      <c r="AH22" s="357"/>
      <c r="AI22" s="353"/>
      <c r="AJ22" s="353"/>
      <c r="AK22" s="353"/>
      <c r="AL22" s="353"/>
      <c r="AM22" s="353"/>
      <c r="AN22" s="353"/>
    </row>
    <row r="23" spans="2:69" x14ac:dyDescent="0.35">
      <c r="B23" s="401" t="s">
        <v>2037</v>
      </c>
      <c r="C23" s="375"/>
      <c r="D23" s="365"/>
      <c r="E23" s="365"/>
      <c r="F23" s="365"/>
      <c r="G23" s="365"/>
      <c r="H23" s="361"/>
      <c r="I23" s="361"/>
      <c r="J23" s="361"/>
      <c r="K23" s="361"/>
      <c r="L23" s="361"/>
      <c r="M23" s="361">
        <v>6.2329999999999997</v>
      </c>
      <c r="N23" s="361">
        <v>5.9329999999999998</v>
      </c>
      <c r="O23" s="361">
        <v>5.0659999999999998</v>
      </c>
      <c r="P23" s="361">
        <v>4.1660000000000004</v>
      </c>
      <c r="Q23" s="361">
        <v>3.8</v>
      </c>
      <c r="R23" s="361">
        <v>3.633</v>
      </c>
      <c r="S23" s="361">
        <v>3.5329999999999999</v>
      </c>
      <c r="T23" s="377">
        <v>3.5659999999999998</v>
      </c>
      <c r="U23" s="360">
        <v>3.5329999999999999</v>
      </c>
      <c r="V23" s="360">
        <v>3.5329999999999999</v>
      </c>
      <c r="W23" s="359">
        <v>3.6659999999999999</v>
      </c>
      <c r="X23" s="359">
        <v>3.8</v>
      </c>
      <c r="Y23" s="359">
        <v>3.8330000000000002</v>
      </c>
      <c r="Z23" s="359">
        <v>4</v>
      </c>
      <c r="AA23" s="359">
        <v>4.1660000000000004</v>
      </c>
      <c r="AB23" s="359">
        <v>4.133</v>
      </c>
      <c r="AC23" s="359">
        <v>4.0999999999999996</v>
      </c>
      <c r="AD23" s="359">
        <v>4.1660000000000004</v>
      </c>
      <c r="AE23" s="359">
        <v>4.3</v>
      </c>
      <c r="AF23" s="359">
        <v>4.532</v>
      </c>
      <c r="AG23" s="359">
        <v>4.5490000000000004</v>
      </c>
      <c r="AH23" s="359">
        <v>4.5579999999999998</v>
      </c>
      <c r="AI23" s="405">
        <v>4.5599999999999996</v>
      </c>
      <c r="AJ23" s="405">
        <v>4.5570000000000004</v>
      </c>
      <c r="AK23" s="405">
        <v>4.55</v>
      </c>
      <c r="AL23" s="405">
        <v>4.5410000000000004</v>
      </c>
      <c r="AM23" s="405">
        <v>4.53</v>
      </c>
      <c r="AN23" s="405">
        <v>4.5190000000000001</v>
      </c>
      <c r="AO23" s="268">
        <v>4.399</v>
      </c>
      <c r="AP23" s="268">
        <v>4.4189999999999996</v>
      </c>
      <c r="AQ23" s="268">
        <v>4.4359999999999999</v>
      </c>
      <c r="AR23" s="268">
        <v>4.4489999999999998</v>
      </c>
      <c r="AS23" s="268">
        <v>4.4630000000000001</v>
      </c>
      <c r="AT23" s="268">
        <v>4.4710000000000001</v>
      </c>
      <c r="AU23" s="268">
        <v>4.476</v>
      </c>
      <c r="AV23" s="268">
        <v>4.4790000000000001</v>
      </c>
      <c r="AW23" s="268">
        <v>4.484</v>
      </c>
      <c r="AX23" s="268">
        <v>4.4850000000000003</v>
      </c>
      <c r="AY23" s="268">
        <v>4.484</v>
      </c>
      <c r="AZ23" s="268">
        <v>4.4829999999999997</v>
      </c>
      <c r="BA23" s="268">
        <v>4.4829999999999997</v>
      </c>
      <c r="BB23" s="268">
        <v>4.4809999999999999</v>
      </c>
      <c r="BC23" s="268">
        <v>4.4779999999999998</v>
      </c>
      <c r="BD23" s="268">
        <v>4.4749999999999996</v>
      </c>
      <c r="BE23" s="268">
        <v>4.4749999999999996</v>
      </c>
      <c r="BF23" s="268">
        <v>4.4710000000000001</v>
      </c>
      <c r="BG23" s="268">
        <v>4.4669999999999996</v>
      </c>
      <c r="BH23" s="268">
        <v>4.4619999999999997</v>
      </c>
      <c r="BI23" s="268">
        <v>4.4589999999999996</v>
      </c>
      <c r="BJ23" s="268">
        <v>4.4539999999999997</v>
      </c>
      <c r="BK23" s="268">
        <v>4.4480000000000004</v>
      </c>
      <c r="BL23" s="268">
        <v>4.4429999999999996</v>
      </c>
      <c r="BM23" s="268">
        <v>4.4379999999999997</v>
      </c>
      <c r="BN23" s="268">
        <v>4.4329999999999998</v>
      </c>
      <c r="BO23" s="268">
        <v>4.4279999999999999</v>
      </c>
      <c r="BP23" s="268">
        <v>4.4219999999999997</v>
      </c>
      <c r="BQ23" s="268">
        <v>4.4219999999999997</v>
      </c>
    </row>
    <row r="24" spans="2:69" x14ac:dyDescent="0.35">
      <c r="B24" s="374" t="s">
        <v>1775</v>
      </c>
      <c r="C24" s="268"/>
      <c r="D24" s="392"/>
      <c r="E24" s="265"/>
      <c r="F24" s="265"/>
      <c r="G24" s="265"/>
      <c r="H24" s="361"/>
      <c r="I24" s="361"/>
      <c r="J24" s="361"/>
      <c r="K24" s="361"/>
      <c r="L24" s="361"/>
      <c r="M24" s="361">
        <f t="shared" ref="M24:U24" si="27">GETPIVOTDATA("Monthly UR",$E$30,"Quarters",M25,"Years",M26)</f>
        <v>6.166666666666667</v>
      </c>
      <c r="N24" s="361">
        <f t="shared" si="27"/>
        <v>5.7666666666666657</v>
      </c>
      <c r="O24" s="361">
        <f t="shared" si="27"/>
        <v>5.1333333333333337</v>
      </c>
      <c r="P24" s="361">
        <f t="shared" si="27"/>
        <v>4.2333333333333334</v>
      </c>
      <c r="Q24" s="361">
        <f t="shared" si="27"/>
        <v>3.8000000000000003</v>
      </c>
      <c r="R24" s="361">
        <f t="shared" si="27"/>
        <v>3.6</v>
      </c>
      <c r="S24" s="361">
        <f t="shared" si="27"/>
        <v>3.5666666666666664</v>
      </c>
      <c r="T24" s="361">
        <f t="shared" si="27"/>
        <v>3.6</v>
      </c>
      <c r="U24" s="362">
        <f t="shared" si="27"/>
        <v>3.5</v>
      </c>
      <c r="V24" s="369">
        <v>3.6</v>
      </c>
      <c r="W24" s="369">
        <v>3.6</v>
      </c>
      <c r="X24" s="369">
        <f>V23</f>
        <v>3.5329999999999999</v>
      </c>
      <c r="Y24" s="369">
        <f t="shared" ref="Y24:AC24" si="28">W23</f>
        <v>3.6659999999999999</v>
      </c>
      <c r="Z24" s="369">
        <f t="shared" si="28"/>
        <v>3.8</v>
      </c>
      <c r="AA24" s="369">
        <f t="shared" si="28"/>
        <v>3.8330000000000002</v>
      </c>
      <c r="AB24" s="369">
        <f t="shared" si="28"/>
        <v>4</v>
      </c>
      <c r="AC24" s="369">
        <f t="shared" si="28"/>
        <v>4.1660000000000004</v>
      </c>
      <c r="AD24" s="369">
        <f>AB23</f>
        <v>4.133</v>
      </c>
      <c r="AE24" s="369">
        <f t="shared" ref="AE24:AN24" si="29">AE23</f>
        <v>4.3</v>
      </c>
      <c r="AF24" s="369">
        <f t="shared" si="29"/>
        <v>4.532</v>
      </c>
      <c r="AG24" s="369">
        <f t="shared" si="29"/>
        <v>4.5490000000000004</v>
      </c>
      <c r="AH24" s="369">
        <f t="shared" si="29"/>
        <v>4.5579999999999998</v>
      </c>
      <c r="AI24" s="369">
        <f t="shared" si="29"/>
        <v>4.5599999999999996</v>
      </c>
      <c r="AJ24" s="369">
        <f t="shared" si="29"/>
        <v>4.5570000000000004</v>
      </c>
      <c r="AK24" s="369">
        <f t="shared" si="29"/>
        <v>4.55</v>
      </c>
      <c r="AL24" s="369">
        <f t="shared" si="29"/>
        <v>4.5410000000000004</v>
      </c>
      <c r="AM24" s="369">
        <f t="shared" si="29"/>
        <v>4.53</v>
      </c>
      <c r="AN24" s="369">
        <f t="shared" si="29"/>
        <v>4.5190000000000001</v>
      </c>
    </row>
    <row r="25" spans="2:69" ht="15.75" customHeight="1" x14ac:dyDescent="0.35">
      <c r="B25" s="370" t="s">
        <v>1769</v>
      </c>
      <c r="C25" s="371"/>
      <c r="D25" s="372"/>
      <c r="E25" s="372"/>
      <c r="F25" s="372"/>
      <c r="G25" s="372"/>
      <c r="H25" s="372"/>
      <c r="I25" s="372"/>
      <c r="J25" s="372"/>
      <c r="K25" s="372"/>
      <c r="L25" s="372"/>
      <c r="M25" s="372">
        <v>1</v>
      </c>
      <c r="N25" s="372">
        <v>2</v>
      </c>
      <c r="O25" s="372">
        <v>3</v>
      </c>
      <c r="P25" s="372">
        <v>4</v>
      </c>
      <c r="Q25" s="372">
        <v>1</v>
      </c>
      <c r="R25" s="372">
        <v>2</v>
      </c>
      <c r="S25" s="372">
        <v>3</v>
      </c>
      <c r="T25" s="372">
        <v>4</v>
      </c>
      <c r="U25" s="372">
        <v>1</v>
      </c>
      <c r="V25" s="372">
        <v>2</v>
      </c>
      <c r="W25" s="372">
        <v>3</v>
      </c>
      <c r="X25" s="372">
        <v>4</v>
      </c>
      <c r="Y25" s="372">
        <v>1</v>
      </c>
      <c r="Z25" s="372">
        <v>2</v>
      </c>
      <c r="AA25" s="372">
        <v>3</v>
      </c>
      <c r="AB25" s="372">
        <v>4</v>
      </c>
      <c r="AC25" s="372">
        <v>1</v>
      </c>
      <c r="AD25" s="372">
        <v>2</v>
      </c>
      <c r="AE25" s="372">
        <v>3</v>
      </c>
      <c r="AF25" s="372">
        <v>4</v>
      </c>
      <c r="AG25" s="372">
        <v>1</v>
      </c>
      <c r="AH25" s="372">
        <v>2</v>
      </c>
      <c r="AI25" s="372">
        <v>3</v>
      </c>
      <c r="AJ25" s="372">
        <v>4</v>
      </c>
      <c r="AK25" s="372">
        <v>1</v>
      </c>
      <c r="AL25" s="372">
        <v>2</v>
      </c>
      <c r="AM25" s="372">
        <v>3</v>
      </c>
      <c r="AN25" s="372">
        <v>4</v>
      </c>
    </row>
    <row r="26" spans="2:69" x14ac:dyDescent="0.35">
      <c r="B26" s="381" t="s">
        <v>1770</v>
      </c>
      <c r="C26" s="382"/>
      <c r="D26" s="383"/>
      <c r="E26" s="383"/>
      <c r="F26" s="383"/>
      <c r="G26" s="383"/>
      <c r="H26" s="383"/>
      <c r="I26" s="383"/>
      <c r="J26" s="383"/>
      <c r="K26" s="383"/>
      <c r="L26" s="383"/>
      <c r="M26" s="383">
        <v>2021</v>
      </c>
      <c r="N26" s="383">
        <v>2021</v>
      </c>
      <c r="O26" s="383">
        <v>2021</v>
      </c>
      <c r="P26" s="383">
        <v>2021</v>
      </c>
      <c r="Q26" s="383">
        <v>2022</v>
      </c>
      <c r="R26" s="383">
        <v>2022</v>
      </c>
      <c r="S26" s="383">
        <v>2022</v>
      </c>
      <c r="T26" s="383">
        <v>2022</v>
      </c>
      <c r="U26" s="383">
        <v>2023</v>
      </c>
      <c r="V26" s="383">
        <v>2023</v>
      </c>
      <c r="W26" s="383">
        <v>2023</v>
      </c>
      <c r="X26" s="383">
        <v>2023</v>
      </c>
      <c r="Y26" s="383">
        <v>2024</v>
      </c>
      <c r="Z26" s="383">
        <v>2024</v>
      </c>
      <c r="AA26" s="383">
        <v>2024</v>
      </c>
      <c r="AB26" s="383">
        <v>2024</v>
      </c>
      <c r="AC26" s="383">
        <v>2025</v>
      </c>
      <c r="AD26" s="383">
        <v>2025</v>
      </c>
      <c r="AE26" s="383">
        <v>2025</v>
      </c>
      <c r="AF26" s="383">
        <v>2025</v>
      </c>
      <c r="AG26" s="383">
        <v>2026</v>
      </c>
      <c r="AH26" s="383">
        <v>2026</v>
      </c>
      <c r="AI26" s="383">
        <v>2026</v>
      </c>
      <c r="AJ26" s="383">
        <v>2026</v>
      </c>
      <c r="AK26" s="383">
        <v>2027</v>
      </c>
      <c r="AL26" s="383">
        <v>2027</v>
      </c>
      <c r="AM26" s="383">
        <v>2027</v>
      </c>
      <c r="AN26" s="383">
        <v>2027</v>
      </c>
    </row>
    <row r="27" spans="2:69" x14ac:dyDescent="0.35">
      <c r="B27" s="44"/>
      <c r="C27" s="268"/>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360"/>
    </row>
    <row r="28" spans="2:69" x14ac:dyDescent="0.35">
      <c r="C28" s="268"/>
      <c r="D28" s="265"/>
      <c r="E28" s="265"/>
      <c r="F28" s="265"/>
      <c r="G28" s="265"/>
      <c r="H28" s="361"/>
      <c r="I28" s="361"/>
      <c r="J28" s="361"/>
      <c r="K28" s="361"/>
      <c r="L28" s="361"/>
      <c r="M28" s="361"/>
      <c r="N28" s="361"/>
      <c r="O28" s="361"/>
      <c r="P28" s="361"/>
      <c r="AI28" s="360"/>
    </row>
    <row r="29" spans="2:69" x14ac:dyDescent="0.35">
      <c r="M29" s="268"/>
      <c r="N29" s="268"/>
      <c r="O29" s="268"/>
    </row>
    <row r="30" spans="2:69" ht="45" customHeight="1" x14ac:dyDescent="0.35">
      <c r="B30" s="397" t="s">
        <v>268</v>
      </c>
      <c r="C30" s="398" t="s">
        <v>269</v>
      </c>
      <c r="D30" s="395"/>
      <c r="E30" s="24" t="s">
        <v>1759</v>
      </c>
      <c r="F30" s="24" t="s">
        <v>1764</v>
      </c>
      <c r="G30" s="24"/>
      <c r="H30" s="24"/>
      <c r="I30" s="24"/>
      <c r="J30" s="24"/>
      <c r="O30" s="399"/>
    </row>
    <row r="31" spans="2:69" x14ac:dyDescent="0.35">
      <c r="B31" s="393">
        <v>44197</v>
      </c>
      <c r="C31" s="266">
        <v>6.3</v>
      </c>
      <c r="D31" s="396"/>
      <c r="E31" s="63" t="s">
        <v>1694</v>
      </c>
      <c r="F31" s="44"/>
      <c r="G31" s="44"/>
      <c r="H31" s="82"/>
      <c r="I31" s="44"/>
      <c r="J31" s="82"/>
      <c r="O31" s="268"/>
    </row>
    <row r="32" spans="2:69" x14ac:dyDescent="0.35">
      <c r="B32" s="393">
        <v>44228</v>
      </c>
      <c r="C32" s="266">
        <v>6.2</v>
      </c>
      <c r="D32" s="396"/>
      <c r="E32" s="139" t="s">
        <v>1760</v>
      </c>
      <c r="F32" s="77">
        <v>6.166666666666667</v>
      </c>
      <c r="G32" s="44"/>
      <c r="H32" s="82"/>
      <c r="I32" s="44"/>
      <c r="J32" s="82"/>
      <c r="O32" s="268"/>
    </row>
    <row r="33" spans="1:43" x14ac:dyDescent="0.35">
      <c r="B33" s="393">
        <v>44256</v>
      </c>
      <c r="C33" s="266">
        <v>6</v>
      </c>
      <c r="D33" s="396"/>
      <c r="E33" s="139" t="s">
        <v>1761</v>
      </c>
      <c r="F33" s="77">
        <v>5.7666666666666657</v>
      </c>
      <c r="G33" s="44"/>
      <c r="H33" s="82"/>
      <c r="I33" s="44"/>
      <c r="J33" s="82"/>
      <c r="O33" s="268"/>
    </row>
    <row r="34" spans="1:43" x14ac:dyDescent="0.35">
      <c r="B34" s="393">
        <v>44287</v>
      </c>
      <c r="C34" s="266">
        <v>6.1</v>
      </c>
      <c r="D34" s="396"/>
      <c r="E34" s="139" t="s">
        <v>1762</v>
      </c>
      <c r="F34" s="77">
        <v>5.1333333333333337</v>
      </c>
      <c r="G34" s="44"/>
      <c r="H34" s="82"/>
      <c r="I34" s="44"/>
      <c r="J34" s="82"/>
      <c r="O34" s="268"/>
    </row>
    <row r="35" spans="1:43" x14ac:dyDescent="0.35">
      <c r="A35" s="44"/>
      <c r="B35" s="393">
        <v>44317</v>
      </c>
      <c r="C35" s="266">
        <v>5.8</v>
      </c>
      <c r="D35" s="396"/>
      <c r="E35" s="139" t="s">
        <v>1763</v>
      </c>
      <c r="F35" s="77">
        <v>4.2333333333333334</v>
      </c>
      <c r="G35" s="44"/>
      <c r="H35" s="82"/>
      <c r="I35" s="44"/>
      <c r="J35" s="82"/>
      <c r="O35" s="268"/>
    </row>
    <row r="36" spans="1:43" x14ac:dyDescent="0.35">
      <c r="A36" s="44"/>
      <c r="B36" s="393">
        <v>44348</v>
      </c>
      <c r="C36" s="266">
        <v>5.4</v>
      </c>
      <c r="D36" s="396"/>
      <c r="E36" s="63" t="s">
        <v>1683</v>
      </c>
      <c r="F36" s="77"/>
      <c r="G36" s="44"/>
      <c r="H36" s="82"/>
      <c r="I36" s="44"/>
      <c r="J36" s="82"/>
      <c r="O36" s="268"/>
    </row>
    <row r="37" spans="1:43" x14ac:dyDescent="0.35">
      <c r="A37" s="44"/>
      <c r="B37" s="393">
        <v>44378</v>
      </c>
      <c r="C37" s="266">
        <v>5.4</v>
      </c>
      <c r="D37" s="396"/>
      <c r="E37" s="139" t="s">
        <v>1760</v>
      </c>
      <c r="F37" s="77">
        <v>3.8000000000000003</v>
      </c>
      <c r="G37" s="44"/>
      <c r="H37" s="82"/>
      <c r="I37" s="44"/>
      <c r="J37" s="82"/>
      <c r="O37" s="268"/>
    </row>
    <row r="38" spans="1:43" x14ac:dyDescent="0.35">
      <c r="A38" s="44"/>
      <c r="B38" s="393">
        <v>44409</v>
      </c>
      <c r="C38" s="266">
        <v>5.2</v>
      </c>
      <c r="D38" s="396"/>
      <c r="E38" s="139" t="s">
        <v>1761</v>
      </c>
      <c r="F38" s="77">
        <v>3.6</v>
      </c>
      <c r="G38" s="44"/>
      <c r="H38" s="82"/>
      <c r="I38" s="44"/>
      <c r="J38" s="82"/>
      <c r="O38" s="268"/>
    </row>
    <row r="39" spans="1:43" x14ac:dyDescent="0.35">
      <c r="A39" s="44"/>
      <c r="B39" s="393">
        <v>44440</v>
      </c>
      <c r="C39" s="266">
        <v>4.8</v>
      </c>
      <c r="D39" s="396"/>
      <c r="E39" s="139" t="s">
        <v>1762</v>
      </c>
      <c r="F39" s="77">
        <v>3.5666666666666664</v>
      </c>
      <c r="G39" s="44"/>
      <c r="H39" s="82"/>
      <c r="I39" s="44"/>
      <c r="J39" s="82"/>
      <c r="O39" s="268"/>
    </row>
    <row r="40" spans="1:43" x14ac:dyDescent="0.35">
      <c r="A40" s="44"/>
      <c r="B40" s="393">
        <v>44470</v>
      </c>
      <c r="C40" s="266">
        <v>4.5999999999999996</v>
      </c>
      <c r="D40" s="396"/>
      <c r="E40" s="139" t="s">
        <v>1763</v>
      </c>
      <c r="F40" s="77">
        <v>3.6</v>
      </c>
      <c r="G40" s="44"/>
      <c r="H40" s="82"/>
      <c r="I40" s="44"/>
      <c r="J40" s="82"/>
      <c r="O40" s="268"/>
    </row>
    <row r="41" spans="1:43" x14ac:dyDescent="0.35">
      <c r="A41" s="44"/>
      <c r="B41" s="393">
        <v>44501</v>
      </c>
      <c r="C41" s="266">
        <v>4.2</v>
      </c>
      <c r="D41" s="396"/>
      <c r="E41" s="63" t="s">
        <v>1765</v>
      </c>
      <c r="F41" s="77"/>
      <c r="G41" s="44"/>
      <c r="H41" s="82"/>
      <c r="I41" s="44"/>
      <c r="J41" s="82"/>
      <c r="O41" s="268"/>
      <c r="AI41" s="268"/>
      <c r="AJ41" s="268"/>
      <c r="AK41" s="268"/>
      <c r="AL41" s="268"/>
      <c r="AM41" s="268"/>
      <c r="AN41" s="268"/>
      <c r="AO41" s="268"/>
      <c r="AP41" s="268"/>
      <c r="AQ41" s="268"/>
    </row>
    <row r="42" spans="1:43" x14ac:dyDescent="0.35">
      <c r="A42" s="44"/>
      <c r="B42" s="393">
        <v>44531</v>
      </c>
      <c r="C42" s="266">
        <v>3.9</v>
      </c>
      <c r="D42" s="396"/>
      <c r="E42" s="139" t="s">
        <v>1760</v>
      </c>
      <c r="F42" s="77">
        <v>3.5</v>
      </c>
      <c r="G42" s="44"/>
      <c r="H42" s="82"/>
      <c r="I42" s="44"/>
      <c r="J42" s="82"/>
      <c r="O42" s="268"/>
      <c r="AI42" s="268"/>
      <c r="AJ42" s="268"/>
      <c r="AK42" s="268"/>
      <c r="AL42" s="268"/>
      <c r="AM42" s="268"/>
      <c r="AN42" s="268"/>
      <c r="AO42" s="268"/>
      <c r="AP42" s="268"/>
      <c r="AQ42" s="268"/>
    </row>
    <row r="43" spans="1:43" x14ac:dyDescent="0.35">
      <c r="A43" s="44"/>
      <c r="B43" s="393">
        <v>44562</v>
      </c>
      <c r="C43" s="266">
        <v>4</v>
      </c>
      <c r="D43" s="44"/>
      <c r="E43" s="139" t="s">
        <v>1761</v>
      </c>
      <c r="F43" s="77"/>
      <c r="G43" s="44"/>
      <c r="H43" s="82"/>
      <c r="I43" s="44"/>
      <c r="J43" s="82"/>
      <c r="O43" s="268"/>
    </row>
    <row r="44" spans="1:43" x14ac:dyDescent="0.35">
      <c r="A44" s="44"/>
      <c r="B44" s="393">
        <v>44593</v>
      </c>
      <c r="C44" s="266">
        <v>3.8</v>
      </c>
      <c r="D44" s="44"/>
      <c r="E44" s="139" t="s">
        <v>1762</v>
      </c>
      <c r="F44" s="77"/>
      <c r="G44" s="44"/>
      <c r="H44" s="82"/>
      <c r="I44" s="44"/>
      <c r="J44" s="82"/>
    </row>
    <row r="45" spans="1:43" x14ac:dyDescent="0.35">
      <c r="A45" s="44"/>
      <c r="B45" s="393">
        <v>44621</v>
      </c>
      <c r="C45" s="266">
        <v>3.6</v>
      </c>
      <c r="D45" s="44"/>
      <c r="E45" s="139" t="s">
        <v>1763</v>
      </c>
      <c r="F45" s="77"/>
      <c r="G45" s="44"/>
      <c r="H45" s="82"/>
      <c r="I45" s="44"/>
      <c r="J45" s="82"/>
    </row>
    <row r="46" spans="1:43" x14ac:dyDescent="0.35">
      <c r="A46" s="44"/>
      <c r="B46" s="393">
        <v>44652</v>
      </c>
      <c r="C46" s="266">
        <v>3.6</v>
      </c>
      <c r="D46" s="44"/>
      <c r="E46" s="63" t="s">
        <v>1766</v>
      </c>
      <c r="F46" s="77"/>
      <c r="G46" s="44"/>
      <c r="H46" s="82"/>
      <c r="I46" s="44"/>
      <c r="J46" s="82"/>
    </row>
    <row r="47" spans="1:43" x14ac:dyDescent="0.35">
      <c r="A47" s="44"/>
      <c r="B47" s="393">
        <v>44682</v>
      </c>
      <c r="C47" s="266">
        <v>3.6</v>
      </c>
      <c r="D47" s="44"/>
      <c r="E47" s="139" t="s">
        <v>1760</v>
      </c>
      <c r="F47" s="77"/>
      <c r="G47" s="44"/>
      <c r="H47" s="82"/>
      <c r="I47" s="44"/>
      <c r="J47" s="82"/>
    </row>
    <row r="48" spans="1:43" x14ac:dyDescent="0.35">
      <c r="A48" s="44"/>
      <c r="B48" s="393">
        <v>44713</v>
      </c>
      <c r="C48" s="266">
        <v>3.6</v>
      </c>
      <c r="D48" s="44"/>
      <c r="E48" s="139" t="s">
        <v>1761</v>
      </c>
      <c r="F48" s="77"/>
      <c r="G48" s="44"/>
      <c r="H48" s="82"/>
      <c r="I48" s="44"/>
      <c r="J48" s="82"/>
    </row>
    <row r="49" spans="1:10" x14ac:dyDescent="0.35">
      <c r="A49" s="44"/>
      <c r="B49" s="393">
        <v>44743</v>
      </c>
      <c r="C49" s="266">
        <v>3.5</v>
      </c>
      <c r="D49" s="44"/>
      <c r="E49" s="139" t="s">
        <v>1762</v>
      </c>
      <c r="F49" s="77"/>
      <c r="G49" s="44"/>
      <c r="H49" s="82"/>
      <c r="I49" s="44"/>
      <c r="J49" s="82"/>
    </row>
    <row r="50" spans="1:10" x14ac:dyDescent="0.35">
      <c r="A50" s="44"/>
      <c r="B50" s="393">
        <v>44774</v>
      </c>
      <c r="C50" s="266">
        <v>3.7</v>
      </c>
      <c r="D50" s="44"/>
      <c r="E50" s="139" t="s">
        <v>1763</v>
      </c>
      <c r="F50" s="77"/>
      <c r="G50" s="44"/>
      <c r="H50" s="82"/>
      <c r="I50" s="44"/>
      <c r="J50" s="82"/>
    </row>
    <row r="51" spans="1:10" x14ac:dyDescent="0.35">
      <c r="A51" s="44"/>
      <c r="B51" s="393">
        <v>44805</v>
      </c>
      <c r="C51" s="266">
        <v>3.5</v>
      </c>
      <c r="D51" s="44"/>
      <c r="E51" s="63" t="s">
        <v>1767</v>
      </c>
      <c r="F51" s="77"/>
      <c r="G51" s="44"/>
      <c r="H51" s="44"/>
      <c r="I51" s="44"/>
      <c r="J51" s="44"/>
    </row>
    <row r="52" spans="1:10" x14ac:dyDescent="0.35">
      <c r="A52" s="44"/>
      <c r="B52" s="393">
        <v>44835</v>
      </c>
      <c r="C52" s="266">
        <v>3.7</v>
      </c>
      <c r="D52" s="44"/>
      <c r="E52" s="139" t="s">
        <v>1760</v>
      </c>
      <c r="F52" s="77"/>
      <c r="G52" s="44"/>
      <c r="H52" s="44"/>
      <c r="I52" s="44"/>
      <c r="J52" s="44"/>
    </row>
    <row r="53" spans="1:10" x14ac:dyDescent="0.35">
      <c r="A53" s="44"/>
      <c r="B53" s="393">
        <v>44866</v>
      </c>
      <c r="C53" s="266">
        <v>3.6</v>
      </c>
      <c r="D53" s="44"/>
      <c r="E53" s="139" t="s">
        <v>1761</v>
      </c>
      <c r="F53" s="77"/>
      <c r="G53" s="44"/>
      <c r="H53" s="44"/>
      <c r="I53" s="44"/>
      <c r="J53" s="44"/>
    </row>
    <row r="54" spans="1:10" x14ac:dyDescent="0.35">
      <c r="A54" s="44"/>
      <c r="B54" s="393">
        <v>44896</v>
      </c>
      <c r="C54" s="266">
        <v>3.5</v>
      </c>
      <c r="D54" s="44"/>
      <c r="E54" s="139" t="s">
        <v>1762</v>
      </c>
      <c r="F54" s="77"/>
      <c r="G54" s="44"/>
      <c r="H54" s="44"/>
      <c r="I54" s="44"/>
      <c r="J54" s="44"/>
    </row>
    <row r="55" spans="1:10" x14ac:dyDescent="0.35">
      <c r="B55" s="393">
        <v>44927</v>
      </c>
      <c r="C55" s="266">
        <v>3.4</v>
      </c>
      <c r="D55" s="44"/>
      <c r="E55" s="139" t="s">
        <v>1763</v>
      </c>
      <c r="F55" s="77"/>
      <c r="G55" s="44"/>
      <c r="H55" s="44"/>
      <c r="I55" s="44"/>
      <c r="J55" s="44"/>
    </row>
    <row r="56" spans="1:10" x14ac:dyDescent="0.35">
      <c r="B56" s="393">
        <v>44958</v>
      </c>
      <c r="C56" s="266">
        <v>3.6</v>
      </c>
      <c r="D56" s="44"/>
      <c r="E56" s="63" t="s">
        <v>1768</v>
      </c>
      <c r="F56" s="77"/>
      <c r="G56" s="44"/>
      <c r="H56" s="44"/>
      <c r="I56" s="44"/>
      <c r="J56" s="44"/>
    </row>
    <row r="57" spans="1:10" x14ac:dyDescent="0.35">
      <c r="B57" s="393">
        <v>44986</v>
      </c>
      <c r="C57" s="266">
        <v>3.5</v>
      </c>
      <c r="D57" s="44"/>
      <c r="E57" s="139" t="s">
        <v>1760</v>
      </c>
      <c r="F57" s="77"/>
      <c r="G57" s="44"/>
      <c r="H57" s="44"/>
      <c r="I57" s="44"/>
      <c r="J57" s="44"/>
    </row>
    <row r="58" spans="1:10" x14ac:dyDescent="0.35">
      <c r="B58" s="393">
        <v>45017</v>
      </c>
      <c r="C58" s="266"/>
      <c r="D58" s="44"/>
      <c r="E58" s="139" t="s">
        <v>1761</v>
      </c>
      <c r="F58" s="77"/>
      <c r="G58" s="44"/>
      <c r="H58" s="44"/>
      <c r="I58" s="44"/>
      <c r="J58" s="44"/>
    </row>
    <row r="59" spans="1:10" x14ac:dyDescent="0.35">
      <c r="B59" s="393">
        <v>45047</v>
      </c>
      <c r="C59" s="266"/>
      <c r="D59" s="44"/>
      <c r="E59" s="139" t="s">
        <v>1762</v>
      </c>
      <c r="F59" s="77"/>
      <c r="G59" s="44"/>
      <c r="H59" s="44"/>
      <c r="I59" s="44"/>
      <c r="J59" s="44"/>
    </row>
    <row r="60" spans="1:10" x14ac:dyDescent="0.35">
      <c r="B60" s="393">
        <v>45078</v>
      </c>
      <c r="C60" s="266"/>
      <c r="D60" s="44"/>
      <c r="E60" s="139" t="s">
        <v>1763</v>
      </c>
      <c r="F60" s="77"/>
      <c r="G60" s="44"/>
      <c r="H60" s="44"/>
      <c r="I60" s="44"/>
      <c r="J60" s="44"/>
    </row>
    <row r="61" spans="1:10" x14ac:dyDescent="0.35">
      <c r="B61" s="393">
        <v>45108</v>
      </c>
      <c r="C61" s="266"/>
      <c r="D61" s="44"/>
      <c r="E61" s="44"/>
      <c r="F61" s="44"/>
      <c r="G61" s="44"/>
      <c r="H61" s="44"/>
      <c r="I61" s="44"/>
      <c r="J61" s="44"/>
    </row>
    <row r="62" spans="1:10" x14ac:dyDescent="0.35">
      <c r="B62" s="393">
        <v>45139</v>
      </c>
      <c r="C62" s="266"/>
      <c r="D62" s="44"/>
      <c r="E62" s="44"/>
      <c r="F62" s="44"/>
      <c r="G62" s="44"/>
      <c r="H62" s="44"/>
      <c r="I62" s="44"/>
      <c r="J62" s="44"/>
    </row>
    <row r="63" spans="1:10" x14ac:dyDescent="0.35">
      <c r="B63" s="393">
        <v>45170</v>
      </c>
      <c r="C63" s="266"/>
      <c r="D63" s="44"/>
      <c r="E63" s="44"/>
      <c r="F63" s="44"/>
      <c r="G63" s="44"/>
      <c r="H63" s="44"/>
      <c r="I63" s="44"/>
      <c r="J63" s="44"/>
    </row>
    <row r="64" spans="1:10" x14ac:dyDescent="0.35">
      <c r="B64" s="393">
        <v>45200</v>
      </c>
      <c r="C64" s="266"/>
      <c r="D64" s="44"/>
      <c r="E64" s="44"/>
      <c r="F64" s="44"/>
      <c r="G64" s="44"/>
      <c r="H64" s="44"/>
      <c r="I64" s="44"/>
      <c r="J64" s="44"/>
    </row>
    <row r="65" spans="2:10" x14ac:dyDescent="0.35">
      <c r="B65" s="393">
        <v>45231</v>
      </c>
      <c r="C65" s="266"/>
      <c r="D65" s="44"/>
      <c r="E65" s="44"/>
      <c r="F65" s="44"/>
      <c r="G65" s="44"/>
      <c r="H65" s="44"/>
      <c r="I65" s="44"/>
      <c r="J65" s="44"/>
    </row>
    <row r="66" spans="2:10" x14ac:dyDescent="0.35">
      <c r="B66" s="393">
        <v>45261</v>
      </c>
      <c r="C66" s="266"/>
      <c r="D66" s="44"/>
      <c r="E66" s="44"/>
      <c r="F66" s="44"/>
      <c r="G66" s="44"/>
      <c r="H66" s="44"/>
      <c r="I66" s="44"/>
      <c r="J66" s="44"/>
    </row>
    <row r="67" spans="2:10" x14ac:dyDescent="0.35">
      <c r="B67" s="393">
        <v>45292</v>
      </c>
      <c r="C67" s="266"/>
      <c r="D67" s="44"/>
      <c r="E67" s="44"/>
      <c r="F67" s="44"/>
      <c r="G67" s="44"/>
      <c r="H67" s="44"/>
      <c r="I67" s="44"/>
      <c r="J67" s="44"/>
    </row>
    <row r="68" spans="2:10" x14ac:dyDescent="0.35">
      <c r="B68" s="393">
        <v>45323</v>
      </c>
      <c r="C68" s="266"/>
      <c r="D68" s="44"/>
      <c r="E68" s="44"/>
      <c r="F68" s="44"/>
      <c r="G68" s="44"/>
      <c r="H68" s="44"/>
      <c r="I68" s="44"/>
      <c r="J68" s="44"/>
    </row>
    <row r="69" spans="2:10" x14ac:dyDescent="0.35">
      <c r="B69" s="393">
        <v>45352</v>
      </c>
      <c r="C69" s="266"/>
      <c r="D69" s="44"/>
      <c r="E69" s="44"/>
      <c r="F69" s="44"/>
      <c r="G69" s="44"/>
      <c r="H69" s="44"/>
      <c r="I69" s="44"/>
      <c r="J69" s="44"/>
    </row>
    <row r="70" spans="2:10" x14ac:dyDescent="0.35">
      <c r="B70" s="393">
        <v>45383</v>
      </c>
      <c r="C70" s="266"/>
      <c r="D70" s="44"/>
      <c r="E70" s="44"/>
      <c r="F70" s="44"/>
      <c r="G70" s="44"/>
      <c r="H70" s="44"/>
      <c r="I70" s="44"/>
      <c r="J70" s="44"/>
    </row>
    <row r="71" spans="2:10" x14ac:dyDescent="0.35">
      <c r="B71" s="393">
        <v>45413</v>
      </c>
      <c r="C71" s="266"/>
      <c r="D71" s="44"/>
      <c r="E71" s="44"/>
      <c r="F71" s="44"/>
      <c r="G71" s="44"/>
      <c r="H71" s="44"/>
      <c r="I71" s="44"/>
      <c r="J71" s="44"/>
    </row>
    <row r="72" spans="2:10" x14ac:dyDescent="0.35">
      <c r="B72" s="393">
        <v>45444</v>
      </c>
      <c r="C72" s="266"/>
      <c r="D72" s="44"/>
      <c r="E72" s="44"/>
      <c r="F72" s="44"/>
      <c r="G72" s="44"/>
      <c r="H72" s="44"/>
      <c r="I72" s="44"/>
      <c r="J72" s="44"/>
    </row>
    <row r="73" spans="2:10" x14ac:dyDescent="0.35">
      <c r="B73" s="393">
        <v>45474</v>
      </c>
      <c r="C73" s="266"/>
      <c r="D73" s="44"/>
      <c r="E73" s="44"/>
      <c r="F73" s="44"/>
      <c r="G73" s="44"/>
      <c r="H73" s="44"/>
      <c r="I73" s="44"/>
      <c r="J73" s="44"/>
    </row>
    <row r="74" spans="2:10" x14ac:dyDescent="0.35">
      <c r="B74" s="393">
        <v>45505</v>
      </c>
      <c r="C74" s="266"/>
      <c r="D74" s="44"/>
      <c r="E74" s="44"/>
      <c r="F74" s="44"/>
      <c r="G74" s="44"/>
      <c r="H74" s="44"/>
      <c r="I74" s="44"/>
      <c r="J74" s="44"/>
    </row>
    <row r="75" spans="2:10" x14ac:dyDescent="0.35">
      <c r="B75" s="393">
        <v>45536</v>
      </c>
      <c r="C75" s="266"/>
      <c r="D75" s="44"/>
      <c r="E75" s="44"/>
      <c r="F75" s="44"/>
      <c r="G75" s="44"/>
      <c r="H75" s="44"/>
      <c r="I75" s="44"/>
      <c r="J75" s="44"/>
    </row>
    <row r="76" spans="2:10" x14ac:dyDescent="0.35">
      <c r="B76" s="393">
        <v>45566</v>
      </c>
      <c r="C76" s="266"/>
      <c r="D76" s="44"/>
      <c r="E76" s="44"/>
      <c r="F76" s="44"/>
      <c r="G76" s="44"/>
      <c r="H76" s="44"/>
      <c r="I76" s="44"/>
      <c r="J76" s="44"/>
    </row>
    <row r="77" spans="2:10" x14ac:dyDescent="0.35">
      <c r="B77" s="393">
        <v>45597</v>
      </c>
      <c r="C77" s="266"/>
      <c r="D77" s="44"/>
      <c r="E77" s="44"/>
      <c r="F77" s="44"/>
      <c r="G77" s="44"/>
      <c r="H77" s="44"/>
      <c r="I77" s="44"/>
      <c r="J77" s="44"/>
    </row>
    <row r="78" spans="2:10" x14ac:dyDescent="0.35">
      <c r="B78" s="393">
        <v>45627</v>
      </c>
      <c r="C78" s="266"/>
      <c r="D78" s="44"/>
      <c r="E78" s="44"/>
      <c r="F78" s="44"/>
      <c r="G78" s="44"/>
      <c r="H78" s="44"/>
      <c r="I78" s="44"/>
      <c r="J78" s="44"/>
    </row>
    <row r="79" spans="2:10" x14ac:dyDescent="0.35">
      <c r="B79" s="393">
        <v>45658</v>
      </c>
      <c r="C79" s="266"/>
      <c r="D79" s="44"/>
      <c r="E79" s="44"/>
      <c r="F79" s="44"/>
      <c r="G79" s="44"/>
      <c r="H79" s="44"/>
      <c r="I79" s="44"/>
      <c r="J79" s="44"/>
    </row>
    <row r="80" spans="2:10" x14ac:dyDescent="0.35">
      <c r="B80" s="393">
        <v>45689</v>
      </c>
      <c r="C80" s="266"/>
      <c r="D80" s="44"/>
      <c r="E80" s="44"/>
      <c r="F80" s="44"/>
      <c r="G80" s="44"/>
      <c r="H80" s="44"/>
      <c r="I80" s="44"/>
      <c r="J80" s="44"/>
    </row>
    <row r="81" spans="2:10" x14ac:dyDescent="0.35">
      <c r="B81" s="393">
        <v>45717</v>
      </c>
      <c r="C81" s="266"/>
      <c r="D81" s="44"/>
      <c r="E81" s="44"/>
      <c r="F81" s="44"/>
      <c r="G81" s="44"/>
      <c r="H81" s="44"/>
      <c r="I81" s="44"/>
      <c r="J81" s="44"/>
    </row>
    <row r="82" spans="2:10" x14ac:dyDescent="0.35">
      <c r="B82" s="393">
        <v>45748</v>
      </c>
      <c r="C82" s="266"/>
      <c r="D82" s="44"/>
      <c r="E82" s="44"/>
      <c r="F82" s="44"/>
      <c r="G82" s="44"/>
      <c r="H82" s="44"/>
      <c r="I82" s="44"/>
      <c r="J82" s="44"/>
    </row>
    <row r="83" spans="2:10" x14ac:dyDescent="0.35">
      <c r="B83" s="393">
        <v>45778</v>
      </c>
      <c r="C83" s="266"/>
      <c r="D83" s="44"/>
      <c r="E83" s="44"/>
      <c r="F83" s="44"/>
      <c r="G83" s="44"/>
      <c r="H83" s="44"/>
      <c r="I83" s="44"/>
      <c r="J83" s="44"/>
    </row>
    <row r="84" spans="2:10" x14ac:dyDescent="0.35">
      <c r="B84" s="393">
        <v>45809</v>
      </c>
      <c r="C84" s="266"/>
      <c r="D84" s="44"/>
      <c r="E84" s="44"/>
      <c r="F84" s="44"/>
      <c r="G84" s="44"/>
      <c r="H84" s="44"/>
      <c r="I84" s="44"/>
      <c r="J84" s="44"/>
    </row>
    <row r="85" spans="2:10" x14ac:dyDescent="0.35">
      <c r="B85" s="393">
        <v>45839</v>
      </c>
      <c r="C85" s="266"/>
      <c r="D85" s="44"/>
      <c r="E85" s="44"/>
      <c r="F85" s="44"/>
      <c r="G85" s="44"/>
      <c r="H85" s="44"/>
      <c r="I85" s="44"/>
      <c r="J85" s="44"/>
    </row>
    <row r="86" spans="2:10" x14ac:dyDescent="0.35">
      <c r="B86" s="393">
        <v>45870</v>
      </c>
      <c r="C86" s="266"/>
      <c r="D86" s="44"/>
      <c r="E86" s="44"/>
      <c r="F86" s="44"/>
      <c r="G86" s="44"/>
      <c r="H86" s="44"/>
      <c r="I86" s="44"/>
      <c r="J86" s="44"/>
    </row>
    <row r="87" spans="2:10" x14ac:dyDescent="0.35">
      <c r="B87" s="393">
        <v>45901</v>
      </c>
      <c r="C87" s="266"/>
      <c r="D87" s="44"/>
      <c r="E87" s="44"/>
      <c r="F87" s="44"/>
      <c r="G87" s="44"/>
      <c r="H87" s="44"/>
      <c r="I87" s="44"/>
      <c r="J87" s="44"/>
    </row>
    <row r="88" spans="2:10" x14ac:dyDescent="0.35">
      <c r="B88" s="393">
        <v>45931</v>
      </c>
      <c r="C88" s="266"/>
      <c r="D88" s="44"/>
      <c r="E88" s="44"/>
      <c r="F88" s="44"/>
      <c r="G88" s="44"/>
      <c r="H88" s="44"/>
      <c r="I88" s="44"/>
      <c r="J88" s="44"/>
    </row>
    <row r="89" spans="2:10" x14ac:dyDescent="0.35">
      <c r="B89" s="393">
        <v>45962</v>
      </c>
      <c r="C89" s="266"/>
      <c r="D89" s="44"/>
      <c r="E89" s="44"/>
      <c r="F89" s="44"/>
      <c r="G89" s="44"/>
      <c r="H89" s="44"/>
      <c r="I89" s="44"/>
      <c r="J89" s="44"/>
    </row>
    <row r="90" spans="2:10" x14ac:dyDescent="0.35">
      <c r="B90" s="393">
        <v>45992</v>
      </c>
      <c r="C90" s="266"/>
      <c r="D90" s="44"/>
      <c r="E90" s="44"/>
      <c r="F90" s="44"/>
      <c r="G90" s="44"/>
      <c r="H90" s="44"/>
      <c r="I90" s="44"/>
      <c r="J90" s="44"/>
    </row>
    <row r="91" spans="2:10" x14ac:dyDescent="0.35">
      <c r="B91" s="393">
        <v>46023</v>
      </c>
      <c r="C91" s="266"/>
      <c r="D91" s="44"/>
      <c r="E91" s="44"/>
      <c r="F91" s="44"/>
      <c r="G91" s="44"/>
      <c r="H91" s="44"/>
      <c r="I91" s="44"/>
      <c r="J91" s="44"/>
    </row>
    <row r="92" spans="2:10" x14ac:dyDescent="0.35">
      <c r="B92" s="393">
        <v>46054</v>
      </c>
      <c r="C92" s="266"/>
      <c r="D92" s="44"/>
      <c r="E92" s="44"/>
      <c r="F92" s="44"/>
      <c r="G92" s="44"/>
      <c r="H92" s="44"/>
      <c r="I92" s="44"/>
      <c r="J92" s="44"/>
    </row>
    <row r="93" spans="2:10" x14ac:dyDescent="0.35">
      <c r="B93" s="393">
        <v>46082</v>
      </c>
      <c r="C93" s="266"/>
      <c r="D93" s="44"/>
      <c r="E93" s="44"/>
      <c r="F93" s="44"/>
      <c r="G93" s="44"/>
      <c r="H93" s="44"/>
      <c r="I93" s="44"/>
      <c r="J93" s="44"/>
    </row>
    <row r="94" spans="2:10" x14ac:dyDescent="0.35">
      <c r="B94" s="393">
        <v>46113</v>
      </c>
      <c r="C94" s="266"/>
      <c r="D94" s="44"/>
      <c r="E94" s="44"/>
      <c r="F94" s="44"/>
      <c r="G94" s="44"/>
      <c r="H94" s="44"/>
      <c r="I94" s="44"/>
      <c r="J94" s="44"/>
    </row>
    <row r="95" spans="2:10" x14ac:dyDescent="0.35">
      <c r="B95" s="393">
        <v>46143</v>
      </c>
      <c r="C95" s="266"/>
      <c r="D95" s="44"/>
      <c r="E95" s="44"/>
      <c r="F95" s="44"/>
      <c r="G95" s="44"/>
      <c r="H95" s="44"/>
      <c r="I95" s="44"/>
      <c r="J95" s="44"/>
    </row>
    <row r="96" spans="2:10" x14ac:dyDescent="0.35">
      <c r="B96" s="393">
        <v>46174</v>
      </c>
      <c r="C96" s="266"/>
      <c r="D96" s="44"/>
      <c r="E96" s="44"/>
      <c r="F96" s="44"/>
      <c r="G96" s="44"/>
      <c r="H96" s="44"/>
      <c r="I96" s="44"/>
      <c r="J96" s="44"/>
    </row>
    <row r="97" spans="2:10" x14ac:dyDescent="0.35">
      <c r="B97" s="393">
        <v>46204</v>
      </c>
      <c r="C97" s="266"/>
      <c r="D97" s="44"/>
      <c r="E97" s="44"/>
      <c r="F97" s="44"/>
      <c r="G97" s="44"/>
      <c r="H97" s="44"/>
      <c r="I97" s="44"/>
      <c r="J97" s="44"/>
    </row>
    <row r="98" spans="2:10" x14ac:dyDescent="0.35">
      <c r="B98" s="393">
        <v>46235</v>
      </c>
      <c r="C98" s="266"/>
      <c r="D98" s="44"/>
      <c r="E98" s="44"/>
      <c r="F98" s="44"/>
      <c r="G98" s="44"/>
      <c r="H98" s="44"/>
      <c r="I98" s="44"/>
      <c r="J98" s="44"/>
    </row>
    <row r="99" spans="2:10" x14ac:dyDescent="0.35">
      <c r="B99" s="393">
        <v>46266</v>
      </c>
      <c r="C99" s="266"/>
      <c r="D99" s="44"/>
      <c r="E99" s="44"/>
      <c r="F99" s="44"/>
      <c r="G99" s="44"/>
      <c r="H99" s="44"/>
      <c r="I99" s="44"/>
      <c r="J99" s="44"/>
    </row>
    <row r="100" spans="2:10" x14ac:dyDescent="0.35">
      <c r="B100" s="393">
        <v>46296</v>
      </c>
      <c r="C100" s="266"/>
      <c r="D100" s="44"/>
      <c r="E100" s="44"/>
      <c r="F100" s="44"/>
      <c r="G100" s="44"/>
      <c r="H100" s="44"/>
      <c r="I100" s="44"/>
      <c r="J100" s="44"/>
    </row>
    <row r="101" spans="2:10" x14ac:dyDescent="0.35">
      <c r="B101" s="393">
        <v>46327</v>
      </c>
      <c r="C101" s="266"/>
      <c r="D101" s="44"/>
      <c r="E101" s="44"/>
      <c r="F101" s="44"/>
      <c r="G101" s="44"/>
      <c r="H101" s="44"/>
      <c r="I101" s="44"/>
      <c r="J101" s="44"/>
    </row>
    <row r="102" spans="2:10" x14ac:dyDescent="0.35">
      <c r="B102" s="394">
        <v>46357</v>
      </c>
      <c r="C102" s="267"/>
      <c r="D102" s="44"/>
      <c r="E102" s="44"/>
      <c r="F102" s="44"/>
      <c r="G102" s="44"/>
      <c r="H102" s="44"/>
      <c r="I102" s="44"/>
      <c r="J102" s="44"/>
    </row>
  </sheetData>
  <mergeCells count="13">
    <mergeCell ref="B1:AC1"/>
    <mergeCell ref="B2:AC6"/>
    <mergeCell ref="E9:H9"/>
    <mergeCell ref="B8:C10"/>
    <mergeCell ref="I9:L9"/>
    <mergeCell ref="M9:P9"/>
    <mergeCell ref="AC9:AF9"/>
    <mergeCell ref="D8:AB8"/>
    <mergeCell ref="AK9:AN9"/>
    <mergeCell ref="Q9:T9"/>
    <mergeCell ref="U9:X9"/>
    <mergeCell ref="AG9:AJ9"/>
    <mergeCell ref="AG8:AN8"/>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87" t="s">
        <v>44</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30" ht="14.25" customHeight="1" x14ac:dyDescent="0.35">
      <c r="B2" s="1426" t="s">
        <v>244</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30"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30"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30"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2:30" ht="38.9" customHeight="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2:30" x14ac:dyDescent="0.35">
      <c r="B7" s="387"/>
      <c r="C7" s="387"/>
      <c r="D7" s="387"/>
      <c r="E7" s="387"/>
      <c r="F7" s="387"/>
      <c r="G7" s="387"/>
      <c r="H7" s="388"/>
      <c r="I7" s="388"/>
      <c r="J7" s="388"/>
      <c r="K7" s="388"/>
      <c r="L7" s="388"/>
      <c r="M7" s="388"/>
      <c r="N7" s="388"/>
      <c r="O7" s="388"/>
      <c r="P7" s="388"/>
      <c r="Q7" s="388"/>
      <c r="R7" s="388"/>
      <c r="S7" s="388"/>
      <c r="T7" s="388"/>
      <c r="U7" s="388"/>
      <c r="V7" s="388"/>
      <c r="W7" s="388"/>
      <c r="X7" s="388"/>
      <c r="Y7" s="388"/>
    </row>
    <row r="8" spans="2:30" ht="14.9" customHeight="1" x14ac:dyDescent="0.35">
      <c r="B8" s="1389" t="s">
        <v>245</v>
      </c>
      <c r="C8" s="1390"/>
      <c r="D8" s="1428" t="s">
        <v>246</v>
      </c>
      <c r="E8" s="1429"/>
      <c r="F8" s="1429"/>
      <c r="G8" s="1429"/>
      <c r="H8" s="1429"/>
      <c r="I8" s="1429"/>
      <c r="J8" s="1429"/>
      <c r="K8" s="1429"/>
      <c r="L8" s="1429"/>
      <c r="M8" s="1429"/>
      <c r="N8" s="1429"/>
      <c r="O8" s="1429"/>
      <c r="P8" s="1429"/>
      <c r="Q8" s="1429"/>
      <c r="R8" s="1429"/>
      <c r="S8" s="1429"/>
      <c r="T8" s="1430"/>
      <c r="U8" s="1419" t="s">
        <v>247</v>
      </c>
      <c r="V8" s="1420"/>
      <c r="W8" s="1420"/>
      <c r="X8" s="1420"/>
      <c r="Y8" s="1420"/>
      <c r="Z8" s="1420"/>
      <c r="AA8" s="1420"/>
      <c r="AB8" s="1420"/>
      <c r="AC8" s="1421"/>
    </row>
    <row r="9" spans="2:30" ht="12.75" customHeight="1" x14ac:dyDescent="0.35">
      <c r="B9" s="1391"/>
      <c r="C9" s="1392"/>
      <c r="D9" s="249">
        <v>2018</v>
      </c>
      <c r="E9" s="1398">
        <v>2019</v>
      </c>
      <c r="F9" s="1415"/>
      <c r="G9" s="1415"/>
      <c r="H9" s="1400"/>
      <c r="I9" s="1415">
        <v>2020</v>
      </c>
      <c r="J9" s="1415"/>
      <c r="K9" s="1415"/>
      <c r="L9" s="1415"/>
      <c r="M9" s="1398">
        <v>2021</v>
      </c>
      <c r="N9" s="1415"/>
      <c r="O9" s="1415"/>
      <c r="P9" s="1415"/>
      <c r="Q9" s="1417">
        <v>2022</v>
      </c>
      <c r="R9" s="1418"/>
      <c r="S9" s="277"/>
      <c r="T9" s="279"/>
      <c r="U9" s="1424">
        <v>2023</v>
      </c>
      <c r="V9" s="1413"/>
      <c r="W9" s="1413"/>
      <c r="X9" s="1414"/>
      <c r="Y9" s="1412">
        <v>2024</v>
      </c>
      <c r="Z9" s="1413"/>
      <c r="AA9" s="1413"/>
      <c r="AB9" s="1413"/>
      <c r="AC9" s="408">
        <v>2025</v>
      </c>
    </row>
    <row r="10" spans="2:30" ht="14.9" customHeight="1" x14ac:dyDescent="0.35">
      <c r="B10" s="1391"/>
      <c r="C10" s="1392"/>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70" t="s">
        <v>249</v>
      </c>
      <c r="V10" s="270" t="s">
        <v>250</v>
      </c>
      <c r="W10" s="270" t="s">
        <v>226</v>
      </c>
      <c r="X10" s="276" t="s">
        <v>248</v>
      </c>
      <c r="Y10" s="275" t="s">
        <v>249</v>
      </c>
      <c r="Z10" s="269" t="s">
        <v>250</v>
      </c>
      <c r="AA10" s="270" t="s">
        <v>226</v>
      </c>
      <c r="AB10" s="270" t="s">
        <v>248</v>
      </c>
      <c r="AC10" s="409" t="s">
        <v>249</v>
      </c>
    </row>
    <row r="11" spans="2:30" x14ac:dyDescent="0.35">
      <c r="B11" s="376" t="s">
        <v>90</v>
      </c>
      <c r="C11" s="390" t="s">
        <v>251</v>
      </c>
      <c r="D11" s="378">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50">
        <f>'Haver Pivoted'!HD14</f>
        <v>23.2</v>
      </c>
      <c r="T11" s="251">
        <f>'Haver Pivoted'!HE14</f>
        <v>25.8</v>
      </c>
      <c r="U11" s="251">
        <f>'Haver Pivoted'!HF14</f>
        <v>30</v>
      </c>
      <c r="V11" s="406">
        <f t="shared" ref="V11:AC11" si="0">V12+V13+V20</f>
        <v>39.42</v>
      </c>
      <c r="W11" s="406">
        <f t="shared" si="0"/>
        <v>41.991428571428571</v>
      </c>
      <c r="X11" s="406">
        <f t="shared" si="0"/>
        <v>43.834285714285713</v>
      </c>
      <c r="Y11" s="406">
        <f t="shared" si="0"/>
        <v>43.705714285714286</v>
      </c>
      <c r="Z11" s="406">
        <f t="shared" si="0"/>
        <v>42.368571428571421</v>
      </c>
      <c r="AA11" s="406">
        <f t="shared" si="0"/>
        <v>41.648571428571422</v>
      </c>
      <c r="AB11" s="406">
        <f t="shared" si="0"/>
        <v>41.13428571428571</v>
      </c>
      <c r="AC11" s="411">
        <f t="shared" si="0"/>
        <v>40.937142857142852</v>
      </c>
      <c r="AD11" s="268" t="s">
        <v>252</v>
      </c>
    </row>
    <row r="12" spans="2:30" x14ac:dyDescent="0.35">
      <c r="B12" s="386" t="s">
        <v>253</v>
      </c>
      <c r="C12" s="379" t="s">
        <v>254</v>
      </c>
      <c r="D12" s="392">
        <f>'Haver Pivoted'!GO63</f>
        <v>0</v>
      </c>
      <c r="E12" s="265">
        <f>'Haver Pivoted'!GP63</f>
        <v>0</v>
      </c>
      <c r="F12" s="265">
        <f>'Haver Pivoted'!GQ63</f>
        <v>0</v>
      </c>
      <c r="G12" s="265">
        <f>'Haver Pivoted'!GR63</f>
        <v>0</v>
      </c>
      <c r="H12" s="265">
        <f>'Haver Pivoted'!GS63</f>
        <v>0</v>
      </c>
      <c r="I12" s="265">
        <f>'Haver Pivoted'!GT63</f>
        <v>0</v>
      </c>
      <c r="J12" s="265">
        <f>'Haver Pivoted'!GU63</f>
        <v>0.1</v>
      </c>
      <c r="K12" s="265">
        <f>'Haver Pivoted'!GV63</f>
        <v>3.7</v>
      </c>
      <c r="L12" s="265">
        <f>'Haver Pivoted'!GW63</f>
        <v>12.9</v>
      </c>
      <c r="M12" s="265">
        <f>'Haver Pivoted'!GX63</f>
        <v>25.5</v>
      </c>
      <c r="N12" s="265">
        <f>'Haver Pivoted'!GY63</f>
        <v>3.8</v>
      </c>
      <c r="O12" s="265">
        <f>'Haver Pivoted'!GZ63</f>
        <v>1.8</v>
      </c>
      <c r="P12" s="265">
        <f>'Haver Pivoted'!HA63</f>
        <v>0.6</v>
      </c>
      <c r="Q12" s="265">
        <f>'Haver Pivoted'!HB63</f>
        <v>0.2</v>
      </c>
      <c r="R12" s="265">
        <f>'Haver Pivoted'!HC63</f>
        <v>0.1</v>
      </c>
      <c r="S12" s="245">
        <f>'Haver Pivoted'!HD63</f>
        <v>0</v>
      </c>
      <c r="T12" s="246">
        <f>'Haver Pivoted'!HE63</f>
        <v>0</v>
      </c>
      <c r="U12" s="246">
        <f>'Haver Pivoted'!HF63</f>
        <v>0</v>
      </c>
      <c r="V12" s="357">
        <f>U12*V23/U23</f>
        <v>0</v>
      </c>
      <c r="W12" s="357">
        <f t="shared" ref="W12:AB12" si="1">V12*W23/V23</f>
        <v>0</v>
      </c>
      <c r="X12" s="357">
        <f t="shared" si="1"/>
        <v>0</v>
      </c>
      <c r="Y12" s="357">
        <f t="shared" si="1"/>
        <v>0</v>
      </c>
      <c r="Z12" s="357">
        <f t="shared" si="1"/>
        <v>0</v>
      </c>
      <c r="AA12" s="357">
        <f t="shared" si="1"/>
        <v>0</v>
      </c>
      <c r="AB12" s="357">
        <f t="shared" si="1"/>
        <v>0</v>
      </c>
      <c r="AC12" s="416">
        <f>AB12*AC23/AB23</f>
        <v>0</v>
      </c>
    </row>
    <row r="13" spans="2:30" x14ac:dyDescent="0.35">
      <c r="B13" s="386" t="s">
        <v>255</v>
      </c>
      <c r="C13" s="379"/>
      <c r="D13" s="392"/>
      <c r="E13" s="265"/>
      <c r="F13" s="265"/>
      <c r="G13" s="265"/>
      <c r="H13" s="361">
        <f>SUM(H14:H17)</f>
        <v>0</v>
      </c>
      <c r="I13" s="361">
        <f t="shared" ref="I13:M13" si="2">SUM(I14:I17)</f>
        <v>0</v>
      </c>
      <c r="J13" s="361">
        <f t="shared" si="2"/>
        <v>779.7</v>
      </c>
      <c r="K13" s="361">
        <f t="shared" si="2"/>
        <v>582.6</v>
      </c>
      <c r="L13" s="361">
        <f t="shared" si="2"/>
        <v>216.5</v>
      </c>
      <c r="M13" s="361">
        <f t="shared" si="2"/>
        <v>497.6</v>
      </c>
      <c r="N13" s="366">
        <f>SUM(N14:N17)</f>
        <v>401.5</v>
      </c>
      <c r="O13" s="366">
        <f t="shared" ref="O13:AC13" si="3">SUM(O14:O17)</f>
        <v>207.4</v>
      </c>
      <c r="P13" s="366">
        <f t="shared" si="3"/>
        <v>5.5</v>
      </c>
      <c r="Q13" s="366">
        <v>0</v>
      </c>
      <c r="R13" s="366">
        <f t="shared" si="3"/>
        <v>1</v>
      </c>
      <c r="S13" s="278">
        <f t="shared" si="3"/>
        <v>0.5</v>
      </c>
      <c r="T13" s="417">
        <f t="shared" si="3"/>
        <v>0.30000000000000004</v>
      </c>
      <c r="U13" s="417">
        <f t="shared" si="3"/>
        <v>0</v>
      </c>
      <c r="V13" s="357">
        <f t="shared" si="3"/>
        <v>0</v>
      </c>
      <c r="W13" s="357">
        <f t="shared" si="3"/>
        <v>0</v>
      </c>
      <c r="X13" s="357">
        <f t="shared" si="3"/>
        <v>0</v>
      </c>
      <c r="Y13" s="357">
        <f t="shared" si="3"/>
        <v>0</v>
      </c>
      <c r="Z13" s="357">
        <f t="shared" si="3"/>
        <v>0</v>
      </c>
      <c r="AA13" s="357">
        <f t="shared" si="3"/>
        <v>0</v>
      </c>
      <c r="AB13" s="357">
        <f t="shared" si="3"/>
        <v>0</v>
      </c>
      <c r="AC13" s="416">
        <f t="shared" si="3"/>
        <v>0</v>
      </c>
    </row>
    <row r="14" spans="2:30" ht="18" customHeight="1" x14ac:dyDescent="0.35">
      <c r="B14" s="373" t="s">
        <v>256</v>
      </c>
      <c r="C14" s="242" t="s">
        <v>254</v>
      </c>
      <c r="D14" s="391">
        <f>'Haver Pivoted'!GO63</f>
        <v>0</v>
      </c>
      <c r="E14" s="365">
        <f>'Haver Pivoted'!GP63</f>
        <v>0</v>
      </c>
      <c r="F14" s="365">
        <f>'Haver Pivoted'!GQ63</f>
        <v>0</v>
      </c>
      <c r="G14" s="365">
        <f>'Haver Pivoted'!GR63</f>
        <v>0</v>
      </c>
      <c r="H14" s="365">
        <f>'Haver Pivoted'!GS63</f>
        <v>0</v>
      </c>
      <c r="I14" s="365">
        <f>'Haver Pivoted'!GT63</f>
        <v>0</v>
      </c>
      <c r="J14" s="365">
        <f>'Haver Pivoted'!GU63</f>
        <v>0.1</v>
      </c>
      <c r="K14" s="365">
        <f>'Haver Pivoted'!GV63</f>
        <v>3.7</v>
      </c>
      <c r="L14" s="365">
        <f>'Haver Pivoted'!GW63</f>
        <v>12.9</v>
      </c>
      <c r="M14" s="365">
        <f>'Haver Pivoted'!GX63</f>
        <v>25.5</v>
      </c>
      <c r="N14" s="365">
        <f>'Haver Pivoted'!GY63</f>
        <v>3.8</v>
      </c>
      <c r="O14" s="365">
        <f>'Haver Pivoted'!GZ63</f>
        <v>1.8</v>
      </c>
      <c r="P14" s="365">
        <f>'Haver Pivoted'!HA63</f>
        <v>0.6</v>
      </c>
      <c r="Q14" s="365">
        <f>'Haver Pivoted'!HB63</f>
        <v>0.2</v>
      </c>
      <c r="R14" s="365">
        <f>'Haver Pivoted'!HC63</f>
        <v>0.1</v>
      </c>
      <c r="S14" s="367">
        <f>'Haver Pivoted'!HD63</f>
        <v>0</v>
      </c>
      <c r="T14" s="415">
        <f>'Haver Pivoted'!HE63</f>
        <v>0</v>
      </c>
      <c r="U14" s="415">
        <f>'Haver Pivoted'!HF63</f>
        <v>0</v>
      </c>
      <c r="V14" s="357">
        <f t="shared" ref="V14:X14" si="4">V12</f>
        <v>0</v>
      </c>
      <c r="W14" s="357">
        <f t="shared" si="4"/>
        <v>0</v>
      </c>
      <c r="X14" s="357">
        <f t="shared" si="4"/>
        <v>0</v>
      </c>
      <c r="Y14" s="357">
        <f>Y12</f>
        <v>0</v>
      </c>
      <c r="Z14" s="357">
        <f t="shared" ref="Z14:AC14" si="5">Z12</f>
        <v>0</v>
      </c>
      <c r="AA14" s="357">
        <f t="shared" si="5"/>
        <v>0</v>
      </c>
      <c r="AB14" s="357">
        <f t="shared" si="5"/>
        <v>0</v>
      </c>
      <c r="AC14" s="416">
        <f t="shared" si="5"/>
        <v>0</v>
      </c>
    </row>
    <row r="15" spans="2:30" ht="18" customHeight="1" x14ac:dyDescent="0.35">
      <c r="B15" s="373" t="s">
        <v>257</v>
      </c>
      <c r="C15" s="242" t="s">
        <v>258</v>
      </c>
      <c r="D15" s="391">
        <f>'Haver Pivoted'!GO59</f>
        <v>0</v>
      </c>
      <c r="E15" s="365">
        <f>'Haver Pivoted'!GP59</f>
        <v>0</v>
      </c>
      <c r="F15" s="365">
        <f>'Haver Pivoted'!GQ59</f>
        <v>0</v>
      </c>
      <c r="G15" s="365">
        <f>'Haver Pivoted'!GR59</f>
        <v>0</v>
      </c>
      <c r="H15" s="365">
        <f>'Haver Pivoted'!GS59</f>
        <v>0</v>
      </c>
      <c r="I15" s="365">
        <f>'Haver Pivoted'!GT59</f>
        <v>0</v>
      </c>
      <c r="J15" s="365">
        <f>'Haver Pivoted'!GU59</f>
        <v>6.3</v>
      </c>
      <c r="K15" s="365">
        <f>'Haver Pivoted'!GV59</f>
        <v>26.7</v>
      </c>
      <c r="L15" s="365">
        <f>'Haver Pivoted'!GW59</f>
        <v>82.1</v>
      </c>
      <c r="M15" s="365">
        <f>'Haver Pivoted'!GX59</f>
        <v>94.7</v>
      </c>
      <c r="N15" s="365">
        <f>'Haver Pivoted'!GY59</f>
        <v>92.1</v>
      </c>
      <c r="O15" s="365">
        <f>'Haver Pivoted'!GZ59</f>
        <v>51.6</v>
      </c>
      <c r="P15" s="365">
        <f>'Haver Pivoted'!HA59</f>
        <v>2.8</v>
      </c>
      <c r="Q15" s="365">
        <f>'Haver Pivoted'!HB59</f>
        <v>0.8</v>
      </c>
      <c r="R15" s="365">
        <f>'Haver Pivoted'!HC59</f>
        <v>0.5</v>
      </c>
      <c r="S15" s="367">
        <f>'Haver Pivoted'!HD59</f>
        <v>0.3</v>
      </c>
      <c r="T15" s="415">
        <f>'Haver Pivoted'!HE59</f>
        <v>0.2</v>
      </c>
      <c r="U15" s="415">
        <f>'Haver Pivoted'!HF59</f>
        <v>0</v>
      </c>
      <c r="V15" s="357">
        <f t="shared" ref="V15:AB17" si="6">U15*V$23/U$23</f>
        <v>0</v>
      </c>
      <c r="W15" s="357">
        <f t="shared" si="6"/>
        <v>0</v>
      </c>
      <c r="X15" s="357">
        <f t="shared" si="6"/>
        <v>0</v>
      </c>
      <c r="Y15" s="357">
        <f t="shared" si="6"/>
        <v>0</v>
      </c>
      <c r="Z15" s="357">
        <f t="shared" si="6"/>
        <v>0</v>
      </c>
      <c r="AA15" s="357">
        <f t="shared" si="6"/>
        <v>0</v>
      </c>
      <c r="AB15" s="357">
        <f t="shared" si="6"/>
        <v>0</v>
      </c>
      <c r="AC15" s="416">
        <f>AB15*AC$23/AB$23</f>
        <v>0</v>
      </c>
    </row>
    <row r="16" spans="2:30" ht="18" customHeight="1" x14ac:dyDescent="0.35">
      <c r="B16" s="373" t="s">
        <v>259</v>
      </c>
      <c r="C16" s="242" t="s">
        <v>260</v>
      </c>
      <c r="D16" s="391">
        <f>'Haver Pivoted'!GO60</f>
        <v>0</v>
      </c>
      <c r="E16" s="365">
        <f>'Haver Pivoted'!GP60</f>
        <v>0</v>
      </c>
      <c r="F16" s="365">
        <f>'Haver Pivoted'!GQ60</f>
        <v>0</v>
      </c>
      <c r="G16" s="365">
        <f>'Haver Pivoted'!GR60</f>
        <v>0</v>
      </c>
      <c r="H16" s="365">
        <f>'Haver Pivoted'!GS60</f>
        <v>0</v>
      </c>
      <c r="I16" s="365">
        <f>'Haver Pivoted'!GT60</f>
        <v>0</v>
      </c>
      <c r="J16" s="365">
        <f>'Haver Pivoted'!GU60</f>
        <v>74.400000000000006</v>
      </c>
      <c r="K16" s="365">
        <f>'Haver Pivoted'!GV60</f>
        <v>138.30000000000001</v>
      </c>
      <c r="L16" s="365">
        <f>'Haver Pivoted'!GW60</f>
        <v>106.8</v>
      </c>
      <c r="M16" s="365">
        <f>'Haver Pivoted'!GX60</f>
        <v>89.2</v>
      </c>
      <c r="N16" s="365">
        <f>'Haver Pivoted'!GY60</f>
        <v>72.3</v>
      </c>
      <c r="O16" s="365">
        <f>'Haver Pivoted'!GZ60</f>
        <v>43.5</v>
      </c>
      <c r="P16" s="365">
        <f>'Haver Pivoted'!HA60</f>
        <v>2.1</v>
      </c>
      <c r="Q16" s="365">
        <f>'Haver Pivoted'!HB60</f>
        <v>0.8</v>
      </c>
      <c r="R16" s="365">
        <f>'Haver Pivoted'!HC60</f>
        <v>0.4</v>
      </c>
      <c r="S16" s="367">
        <f>'Haver Pivoted'!HD60</f>
        <v>0.2</v>
      </c>
      <c r="T16" s="415">
        <f>'Haver Pivoted'!HE60</f>
        <v>0.1</v>
      </c>
      <c r="U16" s="415">
        <f>'Haver Pivoted'!HF60</f>
        <v>0</v>
      </c>
      <c r="V16" s="357">
        <f t="shared" si="6"/>
        <v>0</v>
      </c>
      <c r="W16" s="357">
        <f t="shared" si="6"/>
        <v>0</v>
      </c>
      <c r="X16" s="357">
        <f t="shared" si="6"/>
        <v>0</v>
      </c>
      <c r="Y16" s="357">
        <f t="shared" si="6"/>
        <v>0</v>
      </c>
      <c r="Z16" s="357">
        <f t="shared" si="6"/>
        <v>0</v>
      </c>
      <c r="AA16" s="357">
        <f t="shared" si="6"/>
        <v>0</v>
      </c>
      <c r="AB16" s="357">
        <f t="shared" si="6"/>
        <v>0</v>
      </c>
      <c r="AC16" s="416">
        <f>AB16*AC$23/AB$23</f>
        <v>0</v>
      </c>
    </row>
    <row r="17" spans="1:32" ht="18" customHeight="1" x14ac:dyDescent="0.35">
      <c r="B17" s="373" t="s">
        <v>261</v>
      </c>
      <c r="C17" s="242" t="s">
        <v>262</v>
      </c>
      <c r="D17" s="391">
        <f>'Haver Pivoted'!GO61</f>
        <v>0</v>
      </c>
      <c r="E17" s="365">
        <f>'Haver Pivoted'!GP61</f>
        <v>0</v>
      </c>
      <c r="F17" s="365">
        <f>'Haver Pivoted'!GQ61</f>
        <v>0</v>
      </c>
      <c r="G17" s="365">
        <f>'Haver Pivoted'!GR61</f>
        <v>0</v>
      </c>
      <c r="H17" s="365">
        <f>'Haver Pivoted'!GS61</f>
        <v>0</v>
      </c>
      <c r="I17" s="365">
        <f>'Haver Pivoted'!GT61</f>
        <v>0</v>
      </c>
      <c r="J17" s="365">
        <f>'Haver Pivoted'!GU61</f>
        <v>698.9</v>
      </c>
      <c r="K17" s="365">
        <f>'Haver Pivoted'!GV61</f>
        <v>413.9</v>
      </c>
      <c r="L17" s="365">
        <f>'Haver Pivoted'!GW61</f>
        <v>14.7</v>
      </c>
      <c r="M17" s="365">
        <f>'Haver Pivoted'!GX61</f>
        <v>288.2</v>
      </c>
      <c r="N17" s="365">
        <f>'Haver Pivoted'!GY61</f>
        <v>233.3</v>
      </c>
      <c r="O17" s="365">
        <f>'Haver Pivoted'!GZ61</f>
        <v>110.5</v>
      </c>
      <c r="P17" s="365">
        <f>'Haver Pivoted'!HA61</f>
        <v>0</v>
      </c>
      <c r="Q17" s="365">
        <f>'Haver Pivoted'!HB61</f>
        <v>0</v>
      </c>
      <c r="R17" s="365">
        <f>'Haver Pivoted'!HC61</f>
        <v>0</v>
      </c>
      <c r="S17" s="367">
        <f>'Haver Pivoted'!HD61</f>
        <v>0</v>
      </c>
      <c r="T17" s="415">
        <f>'Haver Pivoted'!HE61</f>
        <v>0</v>
      </c>
      <c r="U17" s="415">
        <f>'Haver Pivoted'!HF61</f>
        <v>0</v>
      </c>
      <c r="V17" s="357">
        <f t="shared" si="6"/>
        <v>0</v>
      </c>
      <c r="W17" s="357">
        <f t="shared" si="6"/>
        <v>0</v>
      </c>
      <c r="X17" s="357">
        <f t="shared" si="6"/>
        <v>0</v>
      </c>
      <c r="Y17" s="357">
        <f t="shared" si="6"/>
        <v>0</v>
      </c>
      <c r="Z17" s="357">
        <f t="shared" si="6"/>
        <v>0</v>
      </c>
      <c r="AA17" s="357">
        <f t="shared" si="6"/>
        <v>0</v>
      </c>
      <c r="AB17" s="357">
        <f t="shared" si="6"/>
        <v>0</v>
      </c>
      <c r="AC17" s="416">
        <f>AB17*AC$23/AB$23</f>
        <v>0</v>
      </c>
    </row>
    <row r="18" spans="1:32" x14ac:dyDescent="0.35">
      <c r="B18" s="374" t="s">
        <v>146</v>
      </c>
      <c r="C18" s="268" t="s">
        <v>263</v>
      </c>
      <c r="D18" s="392">
        <f>'Haver Pivoted'!GO64</f>
        <v>0</v>
      </c>
      <c r="E18" s="265">
        <f>'Haver Pivoted'!GP64</f>
        <v>0</v>
      </c>
      <c r="F18" s="265">
        <f>'Haver Pivoted'!GQ64</f>
        <v>0</v>
      </c>
      <c r="G18" s="265">
        <f>'Haver Pivoted'!GR64</f>
        <v>0</v>
      </c>
      <c r="H18" s="265">
        <f>'Haver Pivoted'!GS64</f>
        <v>0</v>
      </c>
      <c r="I18" s="265">
        <f>'Haver Pivoted'!GT64</f>
        <v>0</v>
      </c>
      <c r="J18" s="265">
        <f>'Haver Pivoted'!GU64</f>
        <v>0</v>
      </c>
      <c r="K18" s="265">
        <f>'Haver Pivoted'!GV64</f>
        <v>106.2</v>
      </c>
      <c r="L18" s="265">
        <f>'Haver Pivoted'!GW64</f>
        <v>35.9</v>
      </c>
      <c r="M18" s="265">
        <f>'Haver Pivoted'!GX64</f>
        <v>1.6</v>
      </c>
      <c r="N18" s="265">
        <f>'Haver Pivoted'!GY64</f>
        <v>0.6</v>
      </c>
      <c r="O18" s="265">
        <f>'Haver Pivoted'!GZ64</f>
        <v>0.1</v>
      </c>
      <c r="P18" s="265">
        <f>'Haver Pivoted'!HA64</f>
        <v>0</v>
      </c>
      <c r="Q18" s="365">
        <f>'Haver Pivoted'!HB64</f>
        <v>0</v>
      </c>
      <c r="R18" s="365">
        <f>'Haver Pivoted'!HC64</f>
        <v>0</v>
      </c>
      <c r="S18" s="367">
        <f>'Haver Pivoted'!HD64</f>
        <v>0</v>
      </c>
      <c r="T18" s="415">
        <f>'Haver Pivoted'!HE64</f>
        <v>0</v>
      </c>
      <c r="U18" s="415">
        <f>'Haver Pivoted'!HF64</f>
        <v>0</v>
      </c>
      <c r="V18" s="357"/>
      <c r="W18" s="357"/>
      <c r="X18" s="357"/>
      <c r="Y18" s="357"/>
      <c r="Z18" s="357"/>
      <c r="AA18" s="357"/>
      <c r="AB18" s="357"/>
      <c r="AC18" s="416"/>
    </row>
    <row r="19" spans="1:32" ht="14.9" customHeight="1" x14ac:dyDescent="0.35">
      <c r="B19" s="389" t="s">
        <v>264</v>
      </c>
      <c r="C19" s="380"/>
      <c r="D19" s="384">
        <f t="shared" ref="D19:N19" si="7">D11-D20</f>
        <v>0</v>
      </c>
      <c r="E19" s="363">
        <f t="shared" si="7"/>
        <v>0</v>
      </c>
      <c r="F19" s="363">
        <f t="shared" si="7"/>
        <v>0</v>
      </c>
      <c r="G19" s="363">
        <f t="shared" si="7"/>
        <v>0</v>
      </c>
      <c r="H19" s="363">
        <f t="shared" si="7"/>
        <v>0</v>
      </c>
      <c r="I19" s="363">
        <f t="shared" si="7"/>
        <v>0</v>
      </c>
      <c r="J19" s="363">
        <f t="shared" si="7"/>
        <v>779.80000000000007</v>
      </c>
      <c r="K19" s="363">
        <f t="shared" si="7"/>
        <v>586.29999999999995</v>
      </c>
      <c r="L19" s="363">
        <f t="shared" si="7"/>
        <v>229.4</v>
      </c>
      <c r="M19" s="363">
        <f t="shared" si="7"/>
        <v>523.1</v>
      </c>
      <c r="N19" s="364">
        <f t="shared" si="7"/>
        <v>405.3</v>
      </c>
      <c r="O19" s="364">
        <f>O11-O20</f>
        <v>209.20000000000002</v>
      </c>
      <c r="P19" s="364">
        <f t="shared" ref="P19" si="8">P11-P20</f>
        <v>6.1000000000000014</v>
      </c>
      <c r="Q19" s="364">
        <f>Q11-Q20</f>
        <v>0.19999999999999929</v>
      </c>
      <c r="R19" s="364">
        <f>R11-R20</f>
        <v>1.1000000000000014</v>
      </c>
      <c r="S19" s="410">
        <f>S11-S20</f>
        <v>0.5</v>
      </c>
      <c r="T19" s="414">
        <f>T11-T20</f>
        <v>0.30000000000000071</v>
      </c>
      <c r="U19" s="414">
        <f>U11-U20</f>
        <v>0</v>
      </c>
      <c r="V19" s="368">
        <f t="shared" ref="V19:AC19" si="9">V11-V20</f>
        <v>0</v>
      </c>
      <c r="W19" s="368">
        <f t="shared" si="9"/>
        <v>0</v>
      </c>
      <c r="X19" s="368">
        <f t="shared" si="9"/>
        <v>0</v>
      </c>
      <c r="Y19" s="368">
        <f t="shared" si="9"/>
        <v>0</v>
      </c>
      <c r="Z19" s="368">
        <f t="shared" si="9"/>
        <v>0</v>
      </c>
      <c r="AA19" s="368">
        <f t="shared" si="9"/>
        <v>0</v>
      </c>
      <c r="AB19" s="368">
        <f t="shared" si="9"/>
        <v>0</v>
      </c>
      <c r="AC19" s="368">
        <f t="shared" si="9"/>
        <v>0</v>
      </c>
    </row>
    <row r="20" spans="1:32" ht="14.9" customHeight="1" x14ac:dyDescent="0.35">
      <c r="B20" s="389" t="s">
        <v>265</v>
      </c>
      <c r="C20" s="380"/>
      <c r="D20" s="384">
        <f t="shared" ref="D20:H20" si="10">D11</f>
        <v>27.1</v>
      </c>
      <c r="E20" s="363">
        <f t="shared" si="10"/>
        <v>29.6</v>
      </c>
      <c r="F20" s="363">
        <f t="shared" si="10"/>
        <v>27.3</v>
      </c>
      <c r="G20" s="363">
        <f t="shared" si="10"/>
        <v>26.4</v>
      </c>
      <c r="H20" s="363">
        <f t="shared" si="10"/>
        <v>26.7</v>
      </c>
      <c r="I20" s="363">
        <f>I11</f>
        <v>39.200000000000003</v>
      </c>
      <c r="J20" s="363">
        <f>J11-J13-J12</f>
        <v>169.99999999999991</v>
      </c>
      <c r="K20" s="363">
        <f>K11-K13-K12</f>
        <v>214.7</v>
      </c>
      <c r="L20" s="363">
        <f>L11-L13-L12</f>
        <v>92.6</v>
      </c>
      <c r="M20" s="363">
        <f>M11-M13-M12</f>
        <v>65.399999999999977</v>
      </c>
      <c r="N20" s="364">
        <f t="shared" ref="N20:U20" si="11">N11-N12-N13</f>
        <v>32.199999999999989</v>
      </c>
      <c r="O20" s="364">
        <f t="shared" si="11"/>
        <v>-6.2000000000000171</v>
      </c>
      <c r="P20" s="364">
        <f t="shared" si="11"/>
        <v>24.599999999999998</v>
      </c>
      <c r="Q20" s="365">
        <f t="shared" si="11"/>
        <v>24.2</v>
      </c>
      <c r="R20" s="365">
        <f t="shared" si="11"/>
        <v>20.7</v>
      </c>
      <c r="S20" s="367">
        <f t="shared" si="11"/>
        <v>22.7</v>
      </c>
      <c r="T20" s="415">
        <f t="shared" si="11"/>
        <v>25.5</v>
      </c>
      <c r="U20" s="415">
        <f t="shared" si="11"/>
        <v>30</v>
      </c>
      <c r="V20" s="368">
        <f t="shared" ref="V20:AB20" si="12">U20*V23/U23</f>
        <v>39.42</v>
      </c>
      <c r="W20" s="368">
        <f t="shared" si="12"/>
        <v>41.991428571428571</v>
      </c>
      <c r="X20" s="368">
        <f t="shared" si="12"/>
        <v>43.834285714285713</v>
      </c>
      <c r="Y20" s="368">
        <f t="shared" si="12"/>
        <v>43.705714285714286</v>
      </c>
      <c r="Z20" s="368">
        <f t="shared" si="12"/>
        <v>42.368571428571421</v>
      </c>
      <c r="AA20" s="368">
        <f t="shared" si="12"/>
        <v>41.648571428571422</v>
      </c>
      <c r="AB20" s="368">
        <f t="shared" si="12"/>
        <v>41.13428571428571</v>
      </c>
      <c r="AC20" s="413">
        <f>AB20*AC23/AB23</f>
        <v>40.937142857142852</v>
      </c>
      <c r="AD20" s="385" t="s">
        <v>266</v>
      </c>
    </row>
    <row r="21" spans="1:32" x14ac:dyDescent="0.35">
      <c r="B21" s="374"/>
      <c r="C21" s="375"/>
      <c r="D21" s="391"/>
      <c r="E21" s="365"/>
      <c r="F21" s="365"/>
      <c r="G21" s="365"/>
      <c r="H21" s="361"/>
      <c r="I21" s="361"/>
      <c r="J21" s="361"/>
      <c r="K21" s="361"/>
      <c r="L21" s="361"/>
      <c r="M21" s="361"/>
      <c r="N21" s="361"/>
      <c r="O21" s="361"/>
      <c r="P21" s="361"/>
      <c r="Q21" s="361"/>
      <c r="R21" s="361"/>
      <c r="S21" s="361"/>
      <c r="T21" s="425"/>
      <c r="U21" s="361"/>
      <c r="V21" s="357"/>
      <c r="W21" s="357"/>
      <c r="X21" s="357"/>
      <c r="Y21" s="357"/>
      <c r="Z21" s="357"/>
      <c r="AA21" s="357"/>
      <c r="AB21" s="357"/>
      <c r="AC21" s="416"/>
    </row>
    <row r="22" spans="1:32" x14ac:dyDescent="0.35">
      <c r="B22" s="268" t="s">
        <v>1696</v>
      </c>
      <c r="C22" s="375"/>
      <c r="D22" s="365"/>
      <c r="E22" s="365"/>
      <c r="F22" s="365"/>
      <c r="G22" s="365"/>
      <c r="H22" s="361"/>
      <c r="I22" s="361"/>
      <c r="J22" s="361"/>
      <c r="K22" s="361"/>
      <c r="L22" s="361"/>
      <c r="M22" s="361"/>
      <c r="N22" s="361"/>
      <c r="O22" s="361"/>
      <c r="P22" s="361"/>
      <c r="Q22" s="361"/>
      <c r="R22" s="361"/>
      <c r="S22" s="361"/>
      <c r="T22" s="377"/>
      <c r="U22" s="360"/>
      <c r="V22" s="359">
        <v>4.5990000000000002</v>
      </c>
      <c r="W22" s="359">
        <v>4.899</v>
      </c>
      <c r="X22" s="359">
        <v>5.1139999999999999</v>
      </c>
      <c r="Y22" s="359">
        <v>5.0990000000000002</v>
      </c>
      <c r="Z22" s="359">
        <v>4.9429999999999996</v>
      </c>
      <c r="AA22" s="359">
        <v>4.859</v>
      </c>
      <c r="AB22" s="359">
        <v>4.7990000000000004</v>
      </c>
      <c r="AC22" s="359">
        <v>4.7759999999999998</v>
      </c>
    </row>
    <row r="23" spans="1:32" x14ac:dyDescent="0.35">
      <c r="B23" s="374" t="s">
        <v>1755</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60" t="s">
        <v>267</v>
      </c>
    </row>
    <row r="24" spans="1:32" ht="15.75" customHeight="1" x14ac:dyDescent="0.35">
      <c r="B24" s="423" t="s">
        <v>1769</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5">
        <v>2</v>
      </c>
      <c r="AE24" s="265">
        <v>3</v>
      </c>
      <c r="AF24" s="265">
        <v>4</v>
      </c>
    </row>
    <row r="25" spans="1:32" x14ac:dyDescent="0.35">
      <c r="B25" s="424" t="s">
        <v>1770</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60"/>
    </row>
    <row r="26" spans="1:32" x14ac:dyDescent="0.35">
      <c r="C26" s="268"/>
      <c r="D26" s="265"/>
      <c r="E26" s="265"/>
      <c r="F26" s="265"/>
      <c r="G26" s="265"/>
      <c r="H26" s="361"/>
      <c r="I26" s="361"/>
      <c r="J26" s="361"/>
      <c r="K26" s="361"/>
      <c r="L26" s="361"/>
      <c r="M26" s="361"/>
      <c r="N26" s="361"/>
      <c r="O26" s="361"/>
      <c r="P26" s="361"/>
      <c r="AD26" s="360"/>
    </row>
    <row r="27" spans="1:32" x14ac:dyDescent="0.35">
      <c r="M27" s="268"/>
      <c r="N27" s="268"/>
      <c r="O27" s="268"/>
    </row>
    <row r="28" spans="1:32" ht="43.5" customHeight="1" x14ac:dyDescent="0.35">
      <c r="B28" s="397" t="s">
        <v>268</v>
      </c>
      <c r="C28" s="398" t="s">
        <v>269</v>
      </c>
      <c r="D28" s="395"/>
      <c r="E28" s="24" t="s">
        <v>1759</v>
      </c>
      <c r="F28" s="24" t="s">
        <v>1764</v>
      </c>
      <c r="G28" s="24"/>
      <c r="H28" s="24"/>
      <c r="I28" s="24"/>
      <c r="J28" s="24"/>
      <c r="O28" s="399"/>
    </row>
    <row r="29" spans="1:32" x14ac:dyDescent="0.35">
      <c r="A29" s="44"/>
      <c r="B29" s="393">
        <v>44197</v>
      </c>
      <c r="C29" s="266">
        <v>6.3</v>
      </c>
      <c r="D29" s="396"/>
      <c r="E29" s="63" t="s">
        <v>1694</v>
      </c>
      <c r="F29" s="44"/>
      <c r="G29" s="44"/>
      <c r="H29" s="82"/>
      <c r="I29" s="44"/>
      <c r="J29" s="82"/>
      <c r="O29" s="268"/>
    </row>
    <row r="30" spans="1:32" x14ac:dyDescent="0.35">
      <c r="A30" s="44"/>
      <c r="B30" s="393">
        <v>44228</v>
      </c>
      <c r="C30" s="266">
        <v>6.2</v>
      </c>
      <c r="D30" s="396"/>
      <c r="E30" s="139" t="s">
        <v>1760</v>
      </c>
      <c r="F30" s="77">
        <v>6.166666666666667</v>
      </c>
      <c r="G30" s="44"/>
      <c r="H30" s="82"/>
      <c r="I30" s="44"/>
      <c r="J30" s="82"/>
      <c r="O30" s="268"/>
    </row>
    <row r="31" spans="1:32" x14ac:dyDescent="0.35">
      <c r="A31" s="44"/>
      <c r="B31" s="393">
        <v>44256</v>
      </c>
      <c r="C31" s="266">
        <v>6</v>
      </c>
      <c r="D31" s="396"/>
      <c r="E31" s="139" t="s">
        <v>1761</v>
      </c>
      <c r="F31" s="77">
        <v>5.7666666666666657</v>
      </c>
      <c r="G31" s="44"/>
      <c r="H31" s="82"/>
      <c r="I31" s="44"/>
      <c r="J31" s="82"/>
      <c r="O31" s="268"/>
    </row>
    <row r="32" spans="1:32" x14ac:dyDescent="0.35">
      <c r="A32" s="44"/>
      <c r="B32" s="393">
        <v>44287</v>
      </c>
      <c r="C32" s="266">
        <v>6.1</v>
      </c>
      <c r="D32" s="396"/>
      <c r="E32" s="139" t="s">
        <v>1762</v>
      </c>
      <c r="F32" s="77">
        <v>5.1333333333333337</v>
      </c>
      <c r="G32" s="44"/>
      <c r="H32" s="82"/>
      <c r="I32" s="44"/>
      <c r="J32" s="82"/>
      <c r="O32" s="268"/>
    </row>
    <row r="33" spans="1:38" x14ac:dyDescent="0.35">
      <c r="A33" s="44"/>
      <c r="B33" s="393">
        <v>44317</v>
      </c>
      <c r="C33" s="266">
        <v>5.8</v>
      </c>
      <c r="D33" s="396"/>
      <c r="E33" s="139" t="s">
        <v>1763</v>
      </c>
      <c r="F33" s="77">
        <v>4.2333333333333334</v>
      </c>
      <c r="G33" s="44"/>
      <c r="H33" s="82"/>
      <c r="I33" s="44"/>
      <c r="J33" s="82"/>
      <c r="O33" s="268"/>
    </row>
    <row r="34" spans="1:38" x14ac:dyDescent="0.35">
      <c r="A34" s="44"/>
      <c r="B34" s="393">
        <v>44348</v>
      </c>
      <c r="C34" s="266">
        <v>5.4</v>
      </c>
      <c r="D34" s="396"/>
      <c r="E34" s="63" t="s">
        <v>1683</v>
      </c>
      <c r="F34" s="77"/>
      <c r="G34" s="44"/>
      <c r="H34" s="82"/>
      <c r="I34" s="44"/>
      <c r="J34" s="82"/>
      <c r="O34" s="268"/>
    </row>
    <row r="35" spans="1:38" x14ac:dyDescent="0.35">
      <c r="A35" s="44"/>
      <c r="B35" s="393">
        <v>44378</v>
      </c>
      <c r="C35" s="266">
        <v>5.4</v>
      </c>
      <c r="D35" s="396"/>
      <c r="E35" s="139" t="s">
        <v>1760</v>
      </c>
      <c r="F35" s="77">
        <v>3.8000000000000003</v>
      </c>
      <c r="G35" s="44"/>
      <c r="H35" s="82"/>
      <c r="I35" s="44"/>
      <c r="J35" s="82"/>
      <c r="O35" s="268"/>
    </row>
    <row r="36" spans="1:38" x14ac:dyDescent="0.35">
      <c r="A36" s="44"/>
      <c r="B36" s="393">
        <v>44409</v>
      </c>
      <c r="C36" s="266">
        <v>5.2</v>
      </c>
      <c r="D36" s="396"/>
      <c r="E36" s="139" t="s">
        <v>1761</v>
      </c>
      <c r="F36" s="77">
        <v>3.6</v>
      </c>
      <c r="G36" s="44"/>
      <c r="H36" s="82"/>
      <c r="I36" s="44"/>
      <c r="J36" s="82"/>
      <c r="O36" s="268"/>
    </row>
    <row r="37" spans="1:38" x14ac:dyDescent="0.35">
      <c r="A37" s="44"/>
      <c r="B37" s="393">
        <v>44440</v>
      </c>
      <c r="C37" s="266">
        <v>4.8</v>
      </c>
      <c r="D37" s="396"/>
      <c r="E37" s="139" t="s">
        <v>1762</v>
      </c>
      <c r="F37" s="77">
        <v>3.5666666666666664</v>
      </c>
      <c r="G37" s="44"/>
      <c r="H37" s="82"/>
      <c r="I37" s="44"/>
      <c r="J37" s="82"/>
      <c r="O37" s="268"/>
    </row>
    <row r="38" spans="1:38" x14ac:dyDescent="0.35">
      <c r="A38" s="44"/>
      <c r="B38" s="393">
        <v>44470</v>
      </c>
      <c r="C38" s="266">
        <v>4.5999999999999996</v>
      </c>
      <c r="D38" s="396"/>
      <c r="E38" s="139" t="s">
        <v>1763</v>
      </c>
      <c r="F38" s="77">
        <v>3.6</v>
      </c>
      <c r="G38" s="44"/>
      <c r="H38" s="82"/>
      <c r="I38" s="44"/>
      <c r="J38" s="82"/>
      <c r="O38" s="268"/>
    </row>
    <row r="39" spans="1:38" x14ac:dyDescent="0.35">
      <c r="A39" s="44"/>
      <c r="B39" s="393">
        <v>44501</v>
      </c>
      <c r="C39" s="266">
        <v>4.2</v>
      </c>
      <c r="D39" s="396"/>
      <c r="E39" s="63" t="s">
        <v>1765</v>
      </c>
      <c r="F39" s="77"/>
      <c r="G39" s="44"/>
      <c r="H39" s="82"/>
      <c r="I39" s="44"/>
      <c r="J39" s="82"/>
      <c r="O39" s="268"/>
      <c r="AD39" s="268"/>
      <c r="AE39" s="268"/>
      <c r="AF39" s="268"/>
      <c r="AG39" s="268"/>
      <c r="AH39" s="268"/>
      <c r="AI39" s="268"/>
      <c r="AJ39" s="268"/>
      <c r="AK39" s="268"/>
      <c r="AL39" s="268"/>
    </row>
    <row r="40" spans="1:38" x14ac:dyDescent="0.35">
      <c r="A40" s="44"/>
      <c r="B40" s="393">
        <v>44531</v>
      </c>
      <c r="C40" s="266">
        <v>3.9</v>
      </c>
      <c r="D40" s="396"/>
      <c r="E40" s="139" t="s">
        <v>1760</v>
      </c>
      <c r="F40" s="77">
        <v>3.5</v>
      </c>
      <c r="G40" s="44"/>
      <c r="H40" s="82"/>
      <c r="I40" s="44"/>
      <c r="J40" s="82"/>
      <c r="O40" s="268"/>
      <c r="AD40" s="268"/>
      <c r="AE40" s="268"/>
      <c r="AF40" s="268"/>
      <c r="AG40" s="268"/>
      <c r="AH40" s="268"/>
      <c r="AI40" s="268"/>
      <c r="AJ40" s="268"/>
      <c r="AK40" s="268"/>
      <c r="AL40" s="268"/>
    </row>
    <row r="41" spans="1:38" x14ac:dyDescent="0.35">
      <c r="A41" s="44"/>
      <c r="B41" s="393">
        <v>44562</v>
      </c>
      <c r="C41" s="266">
        <v>4</v>
      </c>
      <c r="D41" s="44"/>
      <c r="E41" s="139" t="s">
        <v>1761</v>
      </c>
      <c r="F41" s="77"/>
      <c r="G41" s="44"/>
      <c r="H41" s="82"/>
      <c r="I41" s="44"/>
      <c r="J41" s="82"/>
      <c r="O41" s="268"/>
    </row>
    <row r="42" spans="1:38" x14ac:dyDescent="0.35">
      <c r="A42" s="44"/>
      <c r="B42" s="393">
        <v>44593</v>
      </c>
      <c r="C42" s="266">
        <v>3.8</v>
      </c>
      <c r="D42" s="44"/>
      <c r="E42" s="139" t="s">
        <v>1762</v>
      </c>
      <c r="F42" s="77"/>
      <c r="G42" s="44"/>
      <c r="H42" s="82"/>
      <c r="I42" s="44"/>
      <c r="J42" s="82"/>
    </row>
    <row r="43" spans="1:38" x14ac:dyDescent="0.35">
      <c r="A43" s="44"/>
      <c r="B43" s="393">
        <v>44621</v>
      </c>
      <c r="C43" s="266">
        <v>3.6</v>
      </c>
      <c r="D43" s="44"/>
      <c r="E43" s="139" t="s">
        <v>1763</v>
      </c>
      <c r="F43" s="77"/>
      <c r="G43" s="44"/>
      <c r="H43" s="82"/>
      <c r="I43" s="44"/>
      <c r="J43" s="82"/>
    </row>
    <row r="44" spans="1:38" x14ac:dyDescent="0.35">
      <c r="A44" s="44"/>
      <c r="B44" s="393">
        <v>44652</v>
      </c>
      <c r="C44" s="266">
        <v>3.6</v>
      </c>
      <c r="D44" s="44"/>
      <c r="E44" s="63" t="s">
        <v>1766</v>
      </c>
      <c r="F44" s="77"/>
      <c r="G44" s="44"/>
      <c r="H44" s="82"/>
      <c r="I44" s="44"/>
      <c r="J44" s="82"/>
    </row>
    <row r="45" spans="1:38" x14ac:dyDescent="0.35">
      <c r="A45" s="44"/>
      <c r="B45" s="393">
        <v>44682</v>
      </c>
      <c r="C45" s="266">
        <v>3.6</v>
      </c>
      <c r="D45" s="44"/>
      <c r="E45" s="139" t="s">
        <v>1760</v>
      </c>
      <c r="F45" s="77"/>
      <c r="G45" s="44"/>
      <c r="H45" s="82"/>
      <c r="I45" s="44"/>
      <c r="J45" s="82"/>
    </row>
    <row r="46" spans="1:38" x14ac:dyDescent="0.35">
      <c r="A46" s="44"/>
      <c r="B46" s="393">
        <v>44713</v>
      </c>
      <c r="C46" s="266">
        <v>3.6</v>
      </c>
      <c r="D46" s="44"/>
      <c r="E46" s="139" t="s">
        <v>1761</v>
      </c>
      <c r="F46" s="77"/>
      <c r="G46" s="44"/>
      <c r="H46" s="82"/>
      <c r="I46" s="44"/>
      <c r="J46" s="82"/>
    </row>
    <row r="47" spans="1:38" x14ac:dyDescent="0.35">
      <c r="A47" s="44"/>
      <c r="B47" s="393">
        <v>44743</v>
      </c>
      <c r="C47" s="266">
        <v>3.5</v>
      </c>
      <c r="D47" s="44"/>
      <c r="E47" s="139" t="s">
        <v>1762</v>
      </c>
      <c r="F47" s="77"/>
      <c r="G47" s="44"/>
      <c r="H47" s="82"/>
      <c r="I47" s="44"/>
      <c r="J47" s="82"/>
    </row>
    <row r="48" spans="1:38" x14ac:dyDescent="0.35">
      <c r="A48" s="44"/>
      <c r="B48" s="393">
        <v>44774</v>
      </c>
      <c r="C48" s="266">
        <v>3.7</v>
      </c>
      <c r="D48" s="44"/>
      <c r="E48" s="139" t="s">
        <v>1763</v>
      </c>
      <c r="F48" s="77"/>
      <c r="G48" s="44"/>
      <c r="H48" s="82"/>
      <c r="I48" s="44"/>
      <c r="J48" s="82"/>
    </row>
    <row r="49" spans="2:10" x14ac:dyDescent="0.35">
      <c r="B49" s="393">
        <v>44805</v>
      </c>
      <c r="C49" s="266">
        <v>3.5</v>
      </c>
      <c r="D49" s="44"/>
      <c r="E49" s="63" t="s">
        <v>1767</v>
      </c>
      <c r="F49" s="77"/>
      <c r="G49" s="44"/>
      <c r="H49" s="44"/>
      <c r="I49" s="44"/>
      <c r="J49" s="44"/>
    </row>
    <row r="50" spans="2:10" x14ac:dyDescent="0.35">
      <c r="B50" s="393">
        <v>44835</v>
      </c>
      <c r="C50" s="266">
        <v>3.7</v>
      </c>
      <c r="D50" s="44"/>
      <c r="E50" s="139" t="s">
        <v>1760</v>
      </c>
      <c r="F50" s="77"/>
      <c r="G50" s="44"/>
      <c r="H50" s="44"/>
      <c r="I50" s="44"/>
      <c r="J50" s="44"/>
    </row>
    <row r="51" spans="2:10" x14ac:dyDescent="0.35">
      <c r="B51" s="393">
        <v>44866</v>
      </c>
      <c r="C51" s="266">
        <v>3.6</v>
      </c>
      <c r="D51" s="44"/>
      <c r="E51" s="139" t="s">
        <v>1761</v>
      </c>
      <c r="F51" s="77"/>
      <c r="G51" s="44"/>
      <c r="H51" s="44"/>
      <c r="I51" s="44"/>
      <c r="J51" s="44"/>
    </row>
    <row r="52" spans="2:10" x14ac:dyDescent="0.35">
      <c r="B52" s="393">
        <v>44896</v>
      </c>
      <c r="C52" s="266">
        <v>3.5</v>
      </c>
      <c r="D52" s="44"/>
      <c r="E52" s="139" t="s">
        <v>1762</v>
      </c>
      <c r="F52" s="77"/>
      <c r="G52" s="44"/>
      <c r="H52" s="44"/>
      <c r="I52" s="44"/>
      <c r="J52" s="44"/>
    </row>
    <row r="53" spans="2:10" x14ac:dyDescent="0.35">
      <c r="B53" s="393">
        <v>44927</v>
      </c>
      <c r="C53" s="266">
        <v>3.4</v>
      </c>
      <c r="D53" s="44"/>
      <c r="E53" s="139" t="s">
        <v>1763</v>
      </c>
      <c r="F53" s="77"/>
      <c r="G53" s="44"/>
      <c r="H53" s="44"/>
      <c r="I53" s="44"/>
      <c r="J53" s="44"/>
    </row>
    <row r="54" spans="2:10" x14ac:dyDescent="0.35">
      <c r="B54" s="393">
        <v>44958</v>
      </c>
      <c r="C54" s="266">
        <v>3.6</v>
      </c>
      <c r="D54" s="44"/>
      <c r="E54" s="63" t="s">
        <v>1768</v>
      </c>
      <c r="F54" s="77"/>
      <c r="G54" s="44"/>
      <c r="H54" s="44"/>
      <c r="I54" s="44"/>
      <c r="J54" s="44"/>
    </row>
    <row r="55" spans="2:10" x14ac:dyDescent="0.35">
      <c r="B55" s="393">
        <v>44986</v>
      </c>
      <c r="C55" s="266">
        <v>3.5</v>
      </c>
      <c r="D55" s="44"/>
      <c r="E55" s="139" t="s">
        <v>1760</v>
      </c>
      <c r="F55" s="77"/>
      <c r="G55" s="44"/>
      <c r="H55" s="44"/>
      <c r="I55" s="44"/>
      <c r="J55" s="44"/>
    </row>
    <row r="56" spans="2:10" x14ac:dyDescent="0.35">
      <c r="B56" s="393">
        <v>45017</v>
      </c>
      <c r="C56" s="266"/>
      <c r="D56" s="44"/>
      <c r="E56" s="139" t="s">
        <v>1761</v>
      </c>
      <c r="F56" s="77"/>
      <c r="G56" s="44"/>
      <c r="H56" s="44"/>
      <c r="I56" s="44"/>
      <c r="J56" s="44"/>
    </row>
    <row r="57" spans="2:10" x14ac:dyDescent="0.35">
      <c r="B57" s="393">
        <v>45047</v>
      </c>
      <c r="C57" s="266"/>
      <c r="D57" s="44"/>
      <c r="E57" s="139" t="s">
        <v>1762</v>
      </c>
      <c r="F57" s="77"/>
      <c r="G57" s="44"/>
      <c r="H57" s="44"/>
      <c r="I57" s="44"/>
      <c r="J57" s="44"/>
    </row>
    <row r="58" spans="2:10" x14ac:dyDescent="0.35">
      <c r="B58" s="393">
        <v>45078</v>
      </c>
      <c r="C58" s="266"/>
      <c r="D58" s="44"/>
      <c r="E58" s="139" t="s">
        <v>1763</v>
      </c>
      <c r="F58" s="77"/>
      <c r="G58" s="44"/>
      <c r="H58" s="44"/>
      <c r="I58" s="44"/>
      <c r="J58" s="44"/>
    </row>
    <row r="59" spans="2:10" x14ac:dyDescent="0.35">
      <c r="B59" s="393">
        <v>45108</v>
      </c>
      <c r="C59" s="266"/>
      <c r="D59" s="44"/>
      <c r="E59" s="44"/>
      <c r="F59" s="44"/>
      <c r="G59" s="44"/>
      <c r="H59" s="44"/>
      <c r="I59" s="44"/>
      <c r="J59" s="44"/>
    </row>
    <row r="60" spans="2:10" x14ac:dyDescent="0.35">
      <c r="B60" s="393">
        <v>45139</v>
      </c>
      <c r="C60" s="266"/>
      <c r="D60" s="44"/>
      <c r="E60" s="44"/>
      <c r="F60" s="44"/>
      <c r="G60" s="44"/>
      <c r="H60" s="44"/>
      <c r="I60" s="44"/>
      <c r="J60" s="44"/>
    </row>
    <row r="61" spans="2:10" x14ac:dyDescent="0.35">
      <c r="B61" s="393">
        <v>45170</v>
      </c>
      <c r="C61" s="266"/>
      <c r="D61" s="44"/>
      <c r="E61" s="44"/>
      <c r="F61" s="44"/>
      <c r="G61" s="44"/>
      <c r="H61" s="44"/>
      <c r="I61" s="44"/>
      <c r="J61" s="44"/>
    </row>
    <row r="62" spans="2:10" x14ac:dyDescent="0.35">
      <c r="B62" s="393">
        <v>45200</v>
      </c>
      <c r="C62" s="266"/>
      <c r="D62" s="44"/>
      <c r="E62" s="44"/>
      <c r="F62" s="44"/>
      <c r="G62" s="44"/>
      <c r="H62" s="44"/>
      <c r="I62" s="44"/>
      <c r="J62" s="44"/>
    </row>
    <row r="63" spans="2:10" x14ac:dyDescent="0.35">
      <c r="B63" s="393">
        <v>45231</v>
      </c>
      <c r="C63" s="266"/>
      <c r="D63" s="44"/>
      <c r="E63" s="44"/>
      <c r="F63" s="44"/>
      <c r="G63" s="44"/>
      <c r="H63" s="44"/>
      <c r="I63" s="44"/>
      <c r="J63" s="44"/>
    </row>
    <row r="64" spans="2:10" x14ac:dyDescent="0.35">
      <c r="B64" s="393">
        <v>45261</v>
      </c>
      <c r="C64" s="266"/>
      <c r="D64" s="44"/>
      <c r="E64" s="44"/>
      <c r="F64" s="44"/>
      <c r="G64" s="44"/>
      <c r="H64" s="44"/>
      <c r="I64" s="44"/>
      <c r="J64" s="44"/>
    </row>
    <row r="65" spans="2:10" x14ac:dyDescent="0.35">
      <c r="B65" s="393">
        <v>45292</v>
      </c>
      <c r="C65" s="266"/>
      <c r="D65" s="44"/>
      <c r="E65" s="44"/>
      <c r="F65" s="44"/>
      <c r="G65" s="44"/>
      <c r="H65" s="44"/>
      <c r="I65" s="44"/>
      <c r="J65" s="44"/>
    </row>
    <row r="66" spans="2:10" x14ac:dyDescent="0.35">
      <c r="B66" s="393">
        <v>45323</v>
      </c>
      <c r="C66" s="266"/>
      <c r="D66" s="44"/>
      <c r="E66" s="44"/>
      <c r="F66" s="44"/>
      <c r="G66" s="44"/>
      <c r="H66" s="44"/>
      <c r="I66" s="44"/>
      <c r="J66" s="44"/>
    </row>
    <row r="67" spans="2:10" x14ac:dyDescent="0.35">
      <c r="B67" s="393">
        <v>45352</v>
      </c>
      <c r="C67" s="266"/>
      <c r="D67" s="44"/>
      <c r="E67" s="44"/>
      <c r="F67" s="44"/>
      <c r="G67" s="44"/>
      <c r="H67" s="44"/>
      <c r="I67" s="44"/>
      <c r="J67" s="44"/>
    </row>
    <row r="68" spans="2:10" x14ac:dyDescent="0.35">
      <c r="B68" s="393">
        <v>45383</v>
      </c>
      <c r="C68" s="266"/>
      <c r="D68" s="44"/>
      <c r="E68" s="44"/>
      <c r="F68" s="44"/>
      <c r="G68" s="44"/>
      <c r="H68" s="44"/>
      <c r="I68" s="44"/>
      <c r="J68" s="44"/>
    </row>
    <row r="69" spans="2:10" x14ac:dyDescent="0.35">
      <c r="B69" s="393">
        <v>45413</v>
      </c>
      <c r="C69" s="266"/>
      <c r="D69" s="44"/>
      <c r="E69" s="44"/>
      <c r="F69" s="44"/>
      <c r="G69" s="44"/>
      <c r="H69" s="44"/>
      <c r="I69" s="44"/>
      <c r="J69" s="44"/>
    </row>
    <row r="70" spans="2:10" x14ac:dyDescent="0.35">
      <c r="B70" s="393">
        <v>45444</v>
      </c>
      <c r="C70" s="266"/>
      <c r="D70" s="44"/>
      <c r="E70" s="44"/>
      <c r="F70" s="44"/>
      <c r="G70" s="44"/>
      <c r="H70" s="44"/>
      <c r="I70" s="44"/>
      <c r="J70" s="44"/>
    </row>
    <row r="71" spans="2:10" x14ac:dyDescent="0.35">
      <c r="B71" s="393">
        <v>45474</v>
      </c>
      <c r="C71" s="266"/>
      <c r="D71" s="44"/>
      <c r="E71" s="44"/>
      <c r="F71" s="44"/>
      <c r="G71" s="44"/>
      <c r="H71" s="44"/>
      <c r="I71" s="44"/>
      <c r="J71" s="44"/>
    </row>
    <row r="72" spans="2:10" x14ac:dyDescent="0.35">
      <c r="B72" s="393">
        <v>45505</v>
      </c>
      <c r="C72" s="266"/>
      <c r="D72" s="44"/>
      <c r="E72" s="44"/>
      <c r="F72" s="44"/>
      <c r="G72" s="44"/>
      <c r="H72" s="44"/>
      <c r="I72" s="44"/>
      <c r="J72" s="44"/>
    </row>
    <row r="73" spans="2:10" x14ac:dyDescent="0.35">
      <c r="B73" s="393">
        <v>45536</v>
      </c>
      <c r="C73" s="266"/>
      <c r="D73" s="44"/>
      <c r="E73" s="44"/>
      <c r="F73" s="44"/>
      <c r="G73" s="44"/>
      <c r="H73" s="44"/>
      <c r="I73" s="44"/>
      <c r="J73" s="44"/>
    </row>
    <row r="74" spans="2:10" x14ac:dyDescent="0.35">
      <c r="B74" s="393">
        <v>45566</v>
      </c>
      <c r="C74" s="266"/>
      <c r="D74" s="44"/>
      <c r="E74" s="44"/>
      <c r="F74" s="44"/>
      <c r="G74" s="44"/>
      <c r="H74" s="44"/>
      <c r="I74" s="44"/>
      <c r="J74" s="44"/>
    </row>
    <row r="75" spans="2:10" x14ac:dyDescent="0.35">
      <c r="B75" s="393">
        <v>45597</v>
      </c>
      <c r="C75" s="266"/>
      <c r="D75" s="44"/>
      <c r="E75" s="44"/>
      <c r="F75" s="44"/>
      <c r="G75" s="44"/>
      <c r="H75" s="44"/>
      <c r="I75" s="44"/>
      <c r="J75" s="44"/>
    </row>
    <row r="76" spans="2:10" x14ac:dyDescent="0.35">
      <c r="B76" s="393">
        <v>45627</v>
      </c>
      <c r="C76" s="266"/>
      <c r="D76" s="44"/>
      <c r="E76" s="44"/>
      <c r="F76" s="44"/>
      <c r="G76" s="44"/>
      <c r="H76" s="44"/>
      <c r="I76" s="44"/>
      <c r="J76" s="44"/>
    </row>
    <row r="77" spans="2:10" x14ac:dyDescent="0.35">
      <c r="B77" s="393">
        <v>45658</v>
      </c>
      <c r="C77" s="266"/>
      <c r="D77" s="44"/>
      <c r="E77" s="44"/>
      <c r="F77" s="44"/>
      <c r="G77" s="44"/>
      <c r="H77" s="44"/>
      <c r="I77" s="44"/>
      <c r="J77" s="44"/>
    </row>
    <row r="78" spans="2:10" x14ac:dyDescent="0.35">
      <c r="B78" s="393">
        <v>45689</v>
      </c>
      <c r="C78" s="266"/>
      <c r="D78" s="44"/>
      <c r="E78" s="44"/>
      <c r="F78" s="44"/>
      <c r="G78" s="44"/>
      <c r="H78" s="44"/>
      <c r="I78" s="44"/>
      <c r="J78" s="44"/>
    </row>
    <row r="79" spans="2:10" x14ac:dyDescent="0.35">
      <c r="B79" s="393">
        <v>45717</v>
      </c>
      <c r="C79" s="266"/>
      <c r="D79" s="44"/>
      <c r="E79" s="44"/>
      <c r="F79" s="44"/>
      <c r="G79" s="44"/>
      <c r="H79" s="44"/>
      <c r="I79" s="44"/>
      <c r="J79" s="44"/>
    </row>
    <row r="80" spans="2:10" x14ac:dyDescent="0.35">
      <c r="B80" s="393">
        <v>45748</v>
      </c>
      <c r="C80" s="266"/>
      <c r="D80" s="44"/>
      <c r="E80" s="44"/>
      <c r="F80" s="44"/>
      <c r="G80" s="44"/>
      <c r="H80" s="44"/>
      <c r="I80" s="44"/>
      <c r="J80" s="44"/>
    </row>
    <row r="81" spans="2:10" x14ac:dyDescent="0.35">
      <c r="B81" s="393">
        <v>45778</v>
      </c>
      <c r="C81" s="266"/>
      <c r="D81" s="44"/>
      <c r="E81" s="44"/>
      <c r="F81" s="44"/>
      <c r="G81" s="44"/>
      <c r="H81" s="44"/>
      <c r="I81" s="44"/>
      <c r="J81" s="44"/>
    </row>
    <row r="82" spans="2:10" x14ac:dyDescent="0.35">
      <c r="B82" s="393">
        <v>45809</v>
      </c>
      <c r="C82" s="266"/>
      <c r="D82" s="44"/>
      <c r="E82" s="44"/>
      <c r="F82" s="44"/>
      <c r="G82" s="44"/>
      <c r="H82" s="44"/>
      <c r="I82" s="44"/>
      <c r="J82" s="44"/>
    </row>
    <row r="83" spans="2:10" x14ac:dyDescent="0.35">
      <c r="B83" s="393">
        <v>45839</v>
      </c>
      <c r="C83" s="266"/>
      <c r="D83" s="44"/>
      <c r="E83" s="44"/>
      <c r="F83" s="44"/>
      <c r="G83" s="44"/>
      <c r="H83" s="44"/>
      <c r="I83" s="44"/>
      <c r="J83" s="44"/>
    </row>
    <row r="84" spans="2:10" x14ac:dyDescent="0.35">
      <c r="B84" s="393">
        <v>45870</v>
      </c>
      <c r="C84" s="266"/>
      <c r="D84" s="44"/>
      <c r="E84" s="44"/>
      <c r="F84" s="44"/>
      <c r="G84" s="44"/>
      <c r="H84" s="44"/>
      <c r="I84" s="44"/>
      <c r="J84" s="44"/>
    </row>
    <row r="85" spans="2:10" x14ac:dyDescent="0.35">
      <c r="B85" s="393">
        <v>45901</v>
      </c>
      <c r="C85" s="266"/>
      <c r="D85" s="44"/>
      <c r="E85" s="44"/>
      <c r="F85" s="44"/>
      <c r="G85" s="44"/>
      <c r="H85" s="44"/>
      <c r="I85" s="44"/>
      <c r="J85" s="44"/>
    </row>
    <row r="86" spans="2:10" x14ac:dyDescent="0.35">
      <c r="B86" s="393">
        <v>45931</v>
      </c>
      <c r="C86" s="266"/>
      <c r="D86" s="44"/>
      <c r="E86" s="44"/>
      <c r="F86" s="44"/>
      <c r="G86" s="44"/>
      <c r="H86" s="44"/>
      <c r="I86" s="44"/>
      <c r="J86" s="44"/>
    </row>
    <row r="87" spans="2:10" x14ac:dyDescent="0.35">
      <c r="B87" s="393">
        <v>45962</v>
      </c>
      <c r="C87" s="266"/>
      <c r="D87" s="44"/>
      <c r="E87" s="44"/>
      <c r="F87" s="44"/>
      <c r="G87" s="44"/>
      <c r="H87" s="44"/>
      <c r="I87" s="44"/>
      <c r="J87" s="44"/>
    </row>
    <row r="88" spans="2:10" x14ac:dyDescent="0.35">
      <c r="B88" s="393">
        <v>45992</v>
      </c>
      <c r="C88" s="266"/>
      <c r="D88" s="44"/>
      <c r="E88" s="44"/>
      <c r="F88" s="44"/>
      <c r="G88" s="44"/>
      <c r="H88" s="44"/>
      <c r="I88" s="44"/>
      <c r="J88" s="44"/>
    </row>
    <row r="89" spans="2:10" x14ac:dyDescent="0.35">
      <c r="B89" s="393">
        <v>46023</v>
      </c>
      <c r="C89" s="266"/>
      <c r="D89" s="44"/>
      <c r="E89" s="44"/>
      <c r="F89" s="44"/>
      <c r="G89" s="44"/>
      <c r="H89" s="44"/>
      <c r="I89" s="44"/>
      <c r="J89" s="44"/>
    </row>
    <row r="90" spans="2:10" x14ac:dyDescent="0.35">
      <c r="B90" s="393">
        <v>46054</v>
      </c>
      <c r="C90" s="266"/>
      <c r="D90" s="44"/>
      <c r="E90" s="44"/>
      <c r="F90" s="44"/>
      <c r="G90" s="44"/>
      <c r="H90" s="44"/>
      <c r="I90" s="44"/>
      <c r="J90" s="44"/>
    </row>
    <row r="91" spans="2:10" x14ac:dyDescent="0.35">
      <c r="B91" s="393">
        <v>46082</v>
      </c>
      <c r="C91" s="266"/>
      <c r="D91" s="44"/>
      <c r="E91" s="44"/>
      <c r="F91" s="44"/>
      <c r="G91" s="44"/>
      <c r="H91" s="44"/>
      <c r="I91" s="44"/>
      <c r="J91" s="44"/>
    </row>
    <row r="92" spans="2:10" x14ac:dyDescent="0.35">
      <c r="B92" s="393">
        <v>46113</v>
      </c>
      <c r="C92" s="266"/>
      <c r="D92" s="44"/>
      <c r="E92" s="44"/>
      <c r="F92" s="44"/>
      <c r="G92" s="44"/>
      <c r="H92" s="44"/>
      <c r="I92" s="44"/>
      <c r="J92" s="44"/>
    </row>
    <row r="93" spans="2:10" x14ac:dyDescent="0.35">
      <c r="B93" s="393">
        <v>46143</v>
      </c>
      <c r="C93" s="266"/>
      <c r="D93" s="44"/>
      <c r="E93" s="44"/>
      <c r="F93" s="44"/>
      <c r="G93" s="44"/>
      <c r="H93" s="44"/>
      <c r="I93" s="44"/>
      <c r="J93" s="44"/>
    </row>
    <row r="94" spans="2:10" x14ac:dyDescent="0.35">
      <c r="B94" s="393">
        <v>46174</v>
      </c>
      <c r="C94" s="266"/>
      <c r="D94" s="44"/>
      <c r="E94" s="44"/>
      <c r="F94" s="44"/>
      <c r="G94" s="44"/>
      <c r="H94" s="44"/>
      <c r="I94" s="44"/>
      <c r="J94" s="44"/>
    </row>
    <row r="95" spans="2:10" x14ac:dyDescent="0.35">
      <c r="B95" s="393">
        <v>46204</v>
      </c>
      <c r="C95" s="266"/>
      <c r="D95" s="44"/>
      <c r="E95" s="44"/>
      <c r="F95" s="44"/>
      <c r="G95" s="44"/>
      <c r="H95" s="44"/>
      <c r="I95" s="44"/>
      <c r="J95" s="44"/>
    </row>
    <row r="96" spans="2:10" x14ac:dyDescent="0.35">
      <c r="B96" s="393">
        <v>46235</v>
      </c>
      <c r="C96" s="266"/>
      <c r="D96" s="44"/>
      <c r="E96" s="44"/>
      <c r="F96" s="44"/>
      <c r="G96" s="44"/>
      <c r="H96" s="44"/>
      <c r="I96" s="44"/>
      <c r="J96" s="44"/>
    </row>
    <row r="97" spans="2:10" x14ac:dyDescent="0.35">
      <c r="B97" s="393">
        <v>46266</v>
      </c>
      <c r="C97" s="266"/>
      <c r="D97" s="44"/>
      <c r="E97" s="44"/>
      <c r="F97" s="44"/>
      <c r="G97" s="44"/>
      <c r="H97" s="44"/>
      <c r="I97" s="44"/>
      <c r="J97" s="44"/>
    </row>
    <row r="98" spans="2:10" x14ac:dyDescent="0.35">
      <c r="B98" s="393">
        <v>46296</v>
      </c>
      <c r="C98" s="266"/>
      <c r="D98" s="44"/>
      <c r="E98" s="44"/>
      <c r="F98" s="44"/>
      <c r="G98" s="44"/>
      <c r="H98" s="44"/>
      <c r="I98" s="44"/>
      <c r="J98" s="44"/>
    </row>
    <row r="99" spans="2:10" x14ac:dyDescent="0.35">
      <c r="B99" s="393">
        <v>46327</v>
      </c>
      <c r="C99" s="266"/>
      <c r="D99" s="44"/>
      <c r="E99" s="44"/>
      <c r="F99" s="44"/>
      <c r="G99" s="44"/>
      <c r="H99" s="44"/>
      <c r="I99" s="44"/>
      <c r="J99" s="44"/>
    </row>
    <row r="100" spans="2:10" x14ac:dyDescent="0.35">
      <c r="B100" s="394">
        <v>46357</v>
      </c>
      <c r="C100" s="26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T9" activePane="bottomRight" state="frozen"/>
      <selection activeCell="A3" sqref="A3"/>
      <selection pane="topRight" activeCell="D3" sqref="D3"/>
      <selection pane="bottomLeft" activeCell="A9" sqref="A9"/>
      <selection pane="bottomRight" activeCell="AG20" sqref="AG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87" t="s">
        <v>180</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241"/>
      <c r="AA1" s="241"/>
      <c r="AB1" s="241"/>
      <c r="AC1" s="241"/>
      <c r="AD1" s="241"/>
      <c r="AE1" s="241"/>
      <c r="AF1" s="241"/>
      <c r="AG1" s="241"/>
      <c r="AH1" s="241"/>
      <c r="AI1" s="241"/>
      <c r="AJ1" s="241"/>
      <c r="AK1" s="241"/>
      <c r="AL1" s="241"/>
      <c r="AM1" s="241"/>
      <c r="AN1" s="241"/>
      <c r="AO1" s="429"/>
      <c r="AP1" s="429"/>
    </row>
    <row r="2" spans="2:45" ht="14.25" customHeight="1" x14ac:dyDescent="0.35">
      <c r="B2" s="1426" t="s">
        <v>298</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c r="AD2" s="351"/>
      <c r="AE2" s="351"/>
      <c r="AF2" s="351"/>
      <c r="AG2" s="351"/>
      <c r="AH2" s="351"/>
      <c r="AI2" s="351"/>
      <c r="AJ2" s="351"/>
      <c r="AK2" s="351"/>
      <c r="AL2" s="351"/>
      <c r="AM2" s="351"/>
      <c r="AN2" s="351"/>
      <c r="AO2" s="351"/>
      <c r="AP2" s="351"/>
    </row>
    <row r="3" spans="2:45" ht="50.9" customHeight="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c r="AD3" s="351"/>
      <c r="AE3" s="351"/>
      <c r="AF3" s="351"/>
      <c r="AG3" s="351"/>
      <c r="AH3" s="351"/>
      <c r="AI3" s="351"/>
      <c r="AJ3" s="351"/>
      <c r="AK3" s="351"/>
      <c r="AL3" s="351"/>
      <c r="AM3" s="351"/>
      <c r="AN3" s="351"/>
      <c r="AO3" s="351"/>
      <c r="AP3" s="351"/>
    </row>
    <row r="4" spans="2:45" ht="5.25" customHeight="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c r="AD4" s="351"/>
      <c r="AE4" s="351"/>
      <c r="AF4" s="351"/>
      <c r="AG4" s="351"/>
      <c r="AH4" s="351"/>
      <c r="AI4" s="351"/>
      <c r="AJ4" s="351"/>
      <c r="AK4" s="351"/>
      <c r="AL4" s="351"/>
      <c r="AM4" s="351"/>
      <c r="AN4" s="351"/>
      <c r="AO4" s="351"/>
      <c r="AP4" s="351"/>
    </row>
    <row r="5" spans="2:45" x14ac:dyDescent="0.35">
      <c r="B5" s="506" t="s">
        <v>299</v>
      </c>
    </row>
    <row r="6" spans="2:45" ht="14.9" customHeight="1" x14ac:dyDescent="0.35">
      <c r="B6" s="1389" t="s">
        <v>300</v>
      </c>
      <c r="C6" s="1390"/>
      <c r="D6" s="1409" t="s">
        <v>246</v>
      </c>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1"/>
      <c r="AC6" s="259"/>
      <c r="AD6" s="260"/>
      <c r="AE6" s="260"/>
      <c r="AF6" s="260"/>
      <c r="AG6" s="1419" t="s">
        <v>247</v>
      </c>
      <c r="AH6" s="1420"/>
      <c r="AI6" s="1420"/>
      <c r="AJ6" s="1420"/>
      <c r="AK6" s="1420"/>
      <c r="AL6" s="1420"/>
      <c r="AM6" s="1420"/>
      <c r="AN6" s="1421"/>
      <c r="AO6" s="1437" t="s">
        <v>301</v>
      </c>
      <c r="AP6" s="1437" t="s">
        <v>302</v>
      </c>
    </row>
    <row r="7" spans="2:45" ht="24" customHeight="1" x14ac:dyDescent="0.35">
      <c r="B7" s="1391"/>
      <c r="C7" s="1392"/>
      <c r="D7" s="244">
        <v>2018</v>
      </c>
      <c r="E7" s="1395">
        <v>2019</v>
      </c>
      <c r="F7" s="1396"/>
      <c r="G7" s="1396"/>
      <c r="H7" s="1425"/>
      <c r="I7" s="1395">
        <v>2020</v>
      </c>
      <c r="J7" s="1396"/>
      <c r="K7" s="1396"/>
      <c r="L7" s="1396"/>
      <c r="M7" s="1395">
        <v>2021</v>
      </c>
      <c r="N7" s="1396"/>
      <c r="O7" s="1396"/>
      <c r="P7" s="1396"/>
      <c r="Q7" s="1395">
        <v>2022</v>
      </c>
      <c r="R7" s="1396"/>
      <c r="S7" s="1396"/>
      <c r="T7" s="1396"/>
      <c r="U7" s="432"/>
      <c r="V7" s="433">
        <v>2023</v>
      </c>
      <c r="W7" s="433"/>
      <c r="X7" s="434"/>
      <c r="Y7" s="404"/>
      <c r="Z7" s="355">
        <v>2024</v>
      </c>
      <c r="AA7" s="355"/>
      <c r="AB7" s="354"/>
      <c r="AC7" s="1395">
        <v>2025</v>
      </c>
      <c r="AD7" s="1396"/>
      <c r="AE7" s="1396"/>
      <c r="AF7" s="1396"/>
      <c r="AG7" s="1412">
        <v>2026</v>
      </c>
      <c r="AH7" s="1424"/>
      <c r="AI7" s="1424"/>
      <c r="AJ7" s="1414"/>
      <c r="AK7" s="1412">
        <v>2027</v>
      </c>
      <c r="AL7" s="1424"/>
      <c r="AM7" s="1424"/>
      <c r="AN7" s="1414"/>
      <c r="AO7" s="1438"/>
      <c r="AP7" s="1438"/>
    </row>
    <row r="8" spans="2:45" ht="14.25" customHeight="1" x14ac:dyDescent="0.35">
      <c r="B8" s="1393"/>
      <c r="C8" s="1394"/>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5" t="s">
        <v>248</v>
      </c>
      <c r="U8" s="272" t="s">
        <v>249</v>
      </c>
      <c r="V8" s="273" t="s">
        <v>250</v>
      </c>
      <c r="W8" s="273" t="s">
        <v>226</v>
      </c>
      <c r="X8" s="271" t="s">
        <v>248</v>
      </c>
      <c r="Y8" s="272" t="s">
        <v>249</v>
      </c>
      <c r="Z8" s="274" t="s">
        <v>250</v>
      </c>
      <c r="AA8" s="273" t="s">
        <v>226</v>
      </c>
      <c r="AB8" s="271" t="s">
        <v>248</v>
      </c>
      <c r="AC8" s="272" t="s">
        <v>249</v>
      </c>
      <c r="AD8" s="274" t="s">
        <v>250</v>
      </c>
      <c r="AE8" s="273" t="s">
        <v>226</v>
      </c>
      <c r="AF8" s="273" t="s">
        <v>248</v>
      </c>
      <c r="AG8" s="275" t="s">
        <v>249</v>
      </c>
      <c r="AH8" s="270" t="s">
        <v>250</v>
      </c>
      <c r="AI8" s="270" t="s">
        <v>226</v>
      </c>
      <c r="AJ8" s="276" t="s">
        <v>248</v>
      </c>
      <c r="AK8" s="275" t="s">
        <v>249</v>
      </c>
      <c r="AL8" s="270" t="s">
        <v>250</v>
      </c>
      <c r="AM8" s="270" t="s">
        <v>226</v>
      </c>
      <c r="AN8" s="276" t="s">
        <v>248</v>
      </c>
      <c r="AO8" s="1439"/>
      <c r="AP8" s="1439"/>
    </row>
    <row r="9" spans="2:45" ht="23.9" customHeight="1" x14ac:dyDescent="0.35">
      <c r="B9" s="463" t="s">
        <v>303</v>
      </c>
      <c r="C9" s="522" t="s">
        <v>304</v>
      </c>
      <c r="D9" s="475">
        <f>'Haver Pivoted'!GO32</f>
        <v>590.1</v>
      </c>
      <c r="E9" s="476">
        <f>'Haver Pivoted'!GP32</f>
        <v>591.20000000000005</v>
      </c>
      <c r="F9" s="476">
        <f>'Haver Pivoted'!GQ32</f>
        <v>610.70000000000005</v>
      </c>
      <c r="G9" s="476">
        <f>'Haver Pivoted'!GR32</f>
        <v>608.79999999999995</v>
      </c>
      <c r="H9" s="476">
        <f>'Haver Pivoted'!GS32</f>
        <v>625</v>
      </c>
      <c r="I9" s="476">
        <f>'Haver Pivoted'!GT32</f>
        <v>635.20000000000005</v>
      </c>
      <c r="J9" s="476">
        <f>'Haver Pivoted'!GU32</f>
        <v>1389.3</v>
      </c>
      <c r="K9" s="476">
        <f>'Haver Pivoted'!GV32</f>
        <v>736.6</v>
      </c>
      <c r="L9" s="476">
        <f>'Haver Pivoted'!GW32</f>
        <v>753.6</v>
      </c>
      <c r="M9" s="476">
        <f>'Haver Pivoted'!GX32</f>
        <v>778.1</v>
      </c>
      <c r="N9" s="476">
        <f>'Haver Pivoted'!GY32</f>
        <v>1646</v>
      </c>
      <c r="O9" s="476">
        <f>'Haver Pivoted'!GZ32</f>
        <v>1085.3</v>
      </c>
      <c r="P9" s="476">
        <f>'Haver Pivoted'!HA32</f>
        <v>930.9</v>
      </c>
      <c r="Q9" s="476">
        <f>'Haver Pivoted'!HB32</f>
        <v>931.1</v>
      </c>
      <c r="R9" s="476">
        <f>'Haver Pivoted'!HC32</f>
        <v>962.1</v>
      </c>
      <c r="S9" s="477">
        <f>'Haver Pivoted'!HD32</f>
        <v>951.7</v>
      </c>
      <c r="T9" s="477">
        <f>'Haver Pivoted'!HE32</f>
        <v>948.1</v>
      </c>
      <c r="U9" s="452">
        <f>'Haver Pivoted'!HF32</f>
        <v>979.3</v>
      </c>
      <c r="V9" s="452">
        <f>'Haver Pivoted'!HG32</f>
        <v>985.1</v>
      </c>
      <c r="W9" s="452">
        <f>'Haver Pivoted'!HH32</f>
        <v>907.1</v>
      </c>
      <c r="X9" s="452">
        <f>'Haver Pivoted'!HI32</f>
        <v>935.9</v>
      </c>
      <c r="Y9" s="452">
        <f>'Haver Pivoted'!HJ32</f>
        <v>936.7</v>
      </c>
      <c r="Z9" s="452">
        <f>'Haver Pivoted'!HK32</f>
        <v>947.2</v>
      </c>
      <c r="AA9" s="452">
        <f>'Haver Pivoted'!HL32</f>
        <v>979.7</v>
      </c>
      <c r="AB9" s="452">
        <f>'Haver Pivoted'!HM32</f>
        <v>982.3</v>
      </c>
      <c r="AC9" s="452">
        <f>'Haver Pivoted'!HN32</f>
        <v>955.7</v>
      </c>
      <c r="AD9" s="452">
        <f>'Haver Pivoted'!HO32</f>
        <v>973.8</v>
      </c>
      <c r="AE9" s="452">
        <f>'Haver Pivoted'!HP32</f>
        <v>1002.2</v>
      </c>
      <c r="AF9" s="452">
        <f>'Haver Pivoted'!HQ32</f>
        <v>984.8</v>
      </c>
      <c r="AG9" s="454">
        <f t="shared" ref="AG9:AM9" si="0">AG10+AG11</f>
        <v>991.1889346914121</v>
      </c>
      <c r="AH9" s="454">
        <f t="shared" si="0"/>
        <v>1008.4081481109822</v>
      </c>
      <c r="AI9" s="454">
        <f t="shared" si="0"/>
        <v>1025.6355050368063</v>
      </c>
      <c r="AJ9" s="454">
        <f t="shared" si="0"/>
        <v>1019.816123713868</v>
      </c>
      <c r="AK9" s="454">
        <f t="shared" si="0"/>
        <v>1026.0267930107352</v>
      </c>
      <c r="AL9" s="454">
        <f t="shared" si="0"/>
        <v>1033.6193940882142</v>
      </c>
      <c r="AM9" s="454">
        <f t="shared" si="0"/>
        <v>1041.629369632371</v>
      </c>
      <c r="AN9" s="454">
        <f>AN10+AN11</f>
        <v>1051.2613306049859</v>
      </c>
      <c r="AO9" s="493"/>
      <c r="AP9" s="523"/>
    </row>
    <row r="10" spans="2:45" ht="27.65" customHeight="1" x14ac:dyDescent="0.35">
      <c r="B10" s="529" t="s">
        <v>121</v>
      </c>
      <c r="C10" s="365" t="s">
        <v>305</v>
      </c>
      <c r="D10" s="481">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7">
        <f>'Haver Pivoted'!HA40</f>
        <v>564.25300000000004</v>
      </c>
      <c r="Q10" s="74">
        <f>'Haver Pivoted'!HB40</f>
        <v>590.63800000000003</v>
      </c>
      <c r="R10" s="74">
        <f>'Haver Pivoted'!HC40</f>
        <v>595.07899999999995</v>
      </c>
      <c r="S10" s="451">
        <f>'Haver Pivoted'!HD40</f>
        <v>612.76</v>
      </c>
      <c r="T10" s="451">
        <f>'Haver Pivoted'!HE40</f>
        <v>606.76599999999996</v>
      </c>
      <c r="U10" s="451">
        <f>'Haver Pivoted'!HF40</f>
        <v>633.73099999999999</v>
      </c>
      <c r="V10" s="451">
        <f>'Haver Pivoted'!HG40</f>
        <v>643.79600000000005</v>
      </c>
      <c r="W10" s="451">
        <f>'Haver Pivoted'!HH40</f>
        <v>577.25</v>
      </c>
      <c r="X10" s="451">
        <f>'Haver Pivoted'!HI40</f>
        <v>604.78800000000001</v>
      </c>
      <c r="Y10" s="451">
        <f>'Haver Pivoted'!HJ40</f>
        <v>611.28099999999995</v>
      </c>
      <c r="Z10" s="451">
        <f>'Haver Pivoted'!HK40</f>
        <v>619.77800000000002</v>
      </c>
      <c r="AA10" s="451">
        <f>'Haver Pivoted'!HL40</f>
        <v>632.45899999999995</v>
      </c>
      <c r="AB10" s="451">
        <f>'Haver Pivoted'!HM40</f>
        <v>646.39700000000005</v>
      </c>
      <c r="AC10" s="451">
        <f>'Haver Pivoted'!HN40</f>
        <v>638.73199999999997</v>
      </c>
      <c r="AD10" s="451">
        <f>'Haver Pivoted'!HO40</f>
        <v>672.36</v>
      </c>
      <c r="AE10" s="451">
        <f>'Haver Pivoted'!HP40</f>
        <v>699.33299999999997</v>
      </c>
      <c r="AF10" s="451">
        <f>'Haver Pivoted'!HQ40</f>
        <v>705.51800000000003</v>
      </c>
      <c r="AG10" s="455">
        <f>Medicaid!AG33</f>
        <v>709.15505560360305</v>
      </c>
      <c r="AH10" s="455">
        <f>Medicaid!AH33</f>
        <v>723.59527455193825</v>
      </c>
      <c r="AI10" s="455">
        <f>Medicaid!AI33</f>
        <v>738.01625444420506</v>
      </c>
      <c r="AJ10" s="455">
        <f>Medicaid!AJ33</f>
        <v>729.36284371386807</v>
      </c>
      <c r="AK10" s="455">
        <f>Medicaid!AK33</f>
        <v>732.71155875941372</v>
      </c>
      <c r="AL10" s="455">
        <f>Medicaid!AL33</f>
        <v>737.41400558680846</v>
      </c>
      <c r="AM10" s="455">
        <f>Medicaid!AM33</f>
        <v>742.50534901606557</v>
      </c>
      <c r="AN10" s="455">
        <f>Medicaid!AN33</f>
        <v>749.18991940498597</v>
      </c>
      <c r="AO10" s="467"/>
      <c r="AP10" s="512"/>
    </row>
    <row r="11" spans="2:45" ht="17.25" customHeight="1" x14ac:dyDescent="0.35">
      <c r="B11" s="374" t="s">
        <v>306</v>
      </c>
      <c r="C11" s="365"/>
      <c r="D11" s="481">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7">
        <f t="shared" si="3"/>
        <v>366.64699999999993</v>
      </c>
      <c r="Q11" s="74">
        <f t="shared" si="3"/>
        <v>340.46199999999999</v>
      </c>
      <c r="R11" s="74">
        <f t="shared" si="3"/>
        <v>367.02100000000007</v>
      </c>
      <c r="S11" s="451">
        <f t="shared" si="3"/>
        <v>338.94000000000005</v>
      </c>
      <c r="T11" s="451">
        <f t="shared" si="3"/>
        <v>341.33400000000006</v>
      </c>
      <c r="U11" s="451">
        <f t="shared" ref="U11:Z11" si="4">U9-U10</f>
        <v>345.56899999999996</v>
      </c>
      <c r="V11" s="451">
        <f t="shared" si="4"/>
        <v>341.30399999999997</v>
      </c>
      <c r="W11" s="451">
        <f t="shared" si="4"/>
        <v>329.85</v>
      </c>
      <c r="X11" s="451">
        <f t="shared" si="4"/>
        <v>331.11199999999997</v>
      </c>
      <c r="Y11" s="451">
        <f t="shared" si="4"/>
        <v>325.4190000000001</v>
      </c>
      <c r="Z11" s="451">
        <f t="shared" si="4"/>
        <v>327.42200000000003</v>
      </c>
      <c r="AA11" s="451">
        <f t="shared" ref="AA11" si="5">AA9-AA10</f>
        <v>347.2410000000001</v>
      </c>
      <c r="AB11" s="451">
        <f>AB9-AB10</f>
        <v>335.90299999999991</v>
      </c>
      <c r="AC11" s="451">
        <f>AC9-AC10</f>
        <v>316.96800000000007</v>
      </c>
      <c r="AD11" s="451">
        <f>AD9-AD10</f>
        <v>301.43999999999994</v>
      </c>
      <c r="AE11" s="451">
        <f>AE9-AE10</f>
        <v>302.86700000000008</v>
      </c>
      <c r="AF11" s="451">
        <f>AF9-AF10</f>
        <v>279.28199999999993</v>
      </c>
      <c r="AG11" s="455">
        <f t="shared" ref="AG11:AH11" si="6">SUM(AG12:AG20)</f>
        <v>282.03387908780905</v>
      </c>
      <c r="AH11" s="455">
        <f t="shared" si="6"/>
        <v>284.81287355904396</v>
      </c>
      <c r="AI11" s="455">
        <f t="shared" ref="AI11:AM11" si="7">SUM(AI12:AI20)</f>
        <v>287.6192505926013</v>
      </c>
      <c r="AJ11" s="455">
        <f t="shared" si="7"/>
        <v>290.45327999999995</v>
      </c>
      <c r="AK11" s="455">
        <f t="shared" si="7"/>
        <v>293.31523425132144</v>
      </c>
      <c r="AL11" s="455">
        <f t="shared" si="7"/>
        <v>296.20538850140576</v>
      </c>
      <c r="AM11" s="455">
        <f t="shared" si="7"/>
        <v>299.12402061630536</v>
      </c>
      <c r="AN11" s="455">
        <f>SUM(AN12:AN20)</f>
        <v>302.07141119999994</v>
      </c>
      <c r="AO11" s="467"/>
      <c r="AP11" s="512"/>
    </row>
    <row r="12" spans="2:45" ht="16.399999999999999" customHeight="1" x14ac:dyDescent="0.35">
      <c r="B12" s="472" t="s">
        <v>137</v>
      </c>
      <c r="C12" s="59" t="s">
        <v>307</v>
      </c>
      <c r="D12" s="533"/>
      <c r="E12" s="59"/>
      <c r="F12" s="59"/>
      <c r="G12" s="59"/>
      <c r="H12" s="74"/>
      <c r="I12" s="74"/>
      <c r="J12" s="74">
        <f>'Haver Pivoted'!GU56</f>
        <v>597.9</v>
      </c>
      <c r="K12" s="74"/>
      <c r="L12" s="74"/>
      <c r="M12" s="74"/>
      <c r="N12" s="74"/>
      <c r="O12" s="57">
        <v>0</v>
      </c>
      <c r="P12" s="366">
        <v>0</v>
      </c>
      <c r="Q12" s="57">
        <v>0</v>
      </c>
      <c r="R12" s="57">
        <v>0</v>
      </c>
      <c r="S12" s="57">
        <v>0</v>
      </c>
      <c r="T12" s="57">
        <v>0</v>
      </c>
      <c r="U12" s="57">
        <v>0</v>
      </c>
      <c r="V12" s="57">
        <v>0</v>
      </c>
      <c r="W12" s="57">
        <v>0</v>
      </c>
      <c r="X12" s="455">
        <v>0</v>
      </c>
      <c r="Y12" s="455">
        <v>0</v>
      </c>
      <c r="Z12" s="455">
        <v>0</v>
      </c>
      <c r="AA12" s="455">
        <v>0</v>
      </c>
      <c r="AB12" s="455">
        <v>0</v>
      </c>
      <c r="AC12" s="455">
        <v>0</v>
      </c>
      <c r="AD12" s="455">
        <v>0</v>
      </c>
      <c r="AE12" s="455"/>
      <c r="AF12" s="455"/>
      <c r="AG12" s="455"/>
      <c r="AH12" s="455"/>
      <c r="AI12" s="455"/>
      <c r="AJ12" s="455"/>
      <c r="AK12" s="455"/>
      <c r="AL12" s="455"/>
      <c r="AM12" s="455"/>
      <c r="AN12" s="455"/>
      <c r="AO12" s="467">
        <f t="shared" ref="AO12:AO17" si="8">SUM(I12:Y12)/4</f>
        <v>149.47499999999999</v>
      </c>
      <c r="AP12" s="512">
        <f>AO24</f>
        <v>150</v>
      </c>
    </row>
    <row r="13" spans="2:45" x14ac:dyDescent="0.35">
      <c r="B13" s="472" t="s">
        <v>138</v>
      </c>
      <c r="C13" s="59" t="s">
        <v>308</v>
      </c>
      <c r="D13" s="533"/>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7">
        <f>'Haver Pivoted'!HA57</f>
        <v>87.2</v>
      </c>
      <c r="Q13" s="74">
        <f>'Haver Pivoted'!HB57</f>
        <v>72.400000000000006</v>
      </c>
      <c r="R13" s="74">
        <f>'Haver Pivoted'!HC57</f>
        <v>85.9</v>
      </c>
      <c r="S13" s="451">
        <f>'Haver Pivoted'!HD57</f>
        <v>68.3</v>
      </c>
      <c r="T13" s="451">
        <f>'Haver Pivoted'!HE57</f>
        <v>64</v>
      </c>
      <c r="U13" s="453">
        <f>U25+U29+U35</f>
        <v>60.929333333333297</v>
      </c>
      <c r="V13" s="453">
        <f t="shared" ref="V13:AC13" si="9">V25+V29+V35</f>
        <v>60.929333333333297</v>
      </c>
      <c r="W13" s="453">
        <f>W25+W29+W35</f>
        <v>60.929333333333297</v>
      </c>
      <c r="X13" s="453">
        <f t="shared" si="9"/>
        <v>54.244333333333302</v>
      </c>
      <c r="Y13" s="453">
        <f t="shared" si="9"/>
        <v>50.911000000000001</v>
      </c>
      <c r="Z13" s="453">
        <f t="shared" si="9"/>
        <v>31.911000000000001</v>
      </c>
      <c r="AA13" s="453">
        <f t="shared" si="9"/>
        <v>31.911000000000001</v>
      </c>
      <c r="AB13" s="453">
        <f t="shared" si="9"/>
        <v>23.099</v>
      </c>
      <c r="AC13" s="453">
        <f t="shared" si="9"/>
        <v>23.099</v>
      </c>
      <c r="AD13" s="453">
        <f>AD25+AD29+AD35</f>
        <v>23.099</v>
      </c>
      <c r="AE13" s="453"/>
      <c r="AF13" s="453"/>
      <c r="AG13" s="453"/>
      <c r="AH13" s="453"/>
      <c r="AI13" s="453"/>
      <c r="AJ13" s="453"/>
      <c r="AK13" s="453"/>
      <c r="AL13" s="453"/>
      <c r="AM13" s="453"/>
      <c r="AN13" s="453"/>
      <c r="AO13" s="467">
        <f t="shared" si="8"/>
        <v>225.58583333333326</v>
      </c>
      <c r="AP13" s="512">
        <f>AO25+AO29+AO35</f>
        <v>225.76349999999994</v>
      </c>
      <c r="AQ13" s="63">
        <f>SUM(J13:R13)/4</f>
        <v>120.52500000000001</v>
      </c>
    </row>
    <row r="14" spans="2:45" x14ac:dyDescent="0.35">
      <c r="B14" s="472" t="s">
        <v>140</v>
      </c>
      <c r="C14" s="56" t="s">
        <v>273</v>
      </c>
      <c r="D14" s="469"/>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7">
        <f>'Haver Pivoted'!HA58</f>
        <v>18</v>
      </c>
      <c r="Q14" s="74">
        <f>'Haver Pivoted'!HB58</f>
        <v>15</v>
      </c>
      <c r="R14" s="74">
        <f>'Haver Pivoted'!HC58</f>
        <v>11.2</v>
      </c>
      <c r="S14" s="451">
        <f>'Haver Pivoted'!HD58</f>
        <v>7.5</v>
      </c>
      <c r="T14" s="451">
        <f>'Haver Pivoted'!HE58</f>
        <v>6.2</v>
      </c>
      <c r="U14" s="451">
        <f>'Haver Pivoted'!HF58</f>
        <v>0</v>
      </c>
      <c r="V14" s="451">
        <f>'Haver Pivoted'!HG58</f>
        <v>0</v>
      </c>
      <c r="W14" s="451">
        <f>'Haver Pivoted'!HH58</f>
        <v>0</v>
      </c>
      <c r="X14" s="451">
        <f>'Haver Pivoted'!HI58</f>
        <v>0</v>
      </c>
      <c r="Y14" s="451">
        <f>'Haver Pivoted'!HJ58</f>
        <v>0</v>
      </c>
      <c r="Z14" s="451">
        <f>'Haver Pivoted'!HK58</f>
        <v>0</v>
      </c>
      <c r="AA14" s="451">
        <f>'Haver Pivoted'!HL58</f>
        <v>0</v>
      </c>
      <c r="AB14" s="451">
        <f>'Haver Pivoted'!HM58</f>
        <v>0</v>
      </c>
      <c r="AC14" s="451">
        <f>'Haver Pivoted'!HN58</f>
        <v>0</v>
      </c>
      <c r="AD14" s="451">
        <f>'Haver Pivoted'!HO58</f>
        <v>0</v>
      </c>
      <c r="AE14" s="451">
        <f>'Haver Pivoted'!HP58</f>
        <v>0</v>
      </c>
      <c r="AF14" s="451">
        <f>'Haver Pivoted'!HQ58</f>
        <v>0</v>
      </c>
      <c r="AG14" s="455"/>
      <c r="AH14" s="455"/>
      <c r="AI14" s="455"/>
      <c r="AJ14" s="455"/>
      <c r="AK14" s="455"/>
      <c r="AL14" s="455"/>
      <c r="AM14" s="455"/>
      <c r="AN14" s="455"/>
      <c r="AO14" s="467">
        <f t="shared" si="8"/>
        <v>47.375</v>
      </c>
      <c r="AP14" s="512">
        <f>AO26+AO30+AO36</f>
        <v>34.125000000000007</v>
      </c>
    </row>
    <row r="15" spans="2:45" ht="15.75" customHeight="1" x14ac:dyDescent="0.35">
      <c r="B15" s="472" t="s">
        <v>309</v>
      </c>
      <c r="C15" s="56"/>
      <c r="D15" s="469"/>
      <c r="E15" s="56"/>
      <c r="F15" s="56"/>
      <c r="G15" s="56"/>
      <c r="H15" s="74"/>
      <c r="I15" s="74"/>
      <c r="J15" s="74"/>
      <c r="K15" s="74"/>
      <c r="L15" s="74"/>
      <c r="M15" s="74">
        <f>M28</f>
        <v>9.6666666666666661</v>
      </c>
      <c r="N15" s="57">
        <f t="shared" ref="N15:AC15" si="10">N28</f>
        <v>9.6666666666666661</v>
      </c>
      <c r="O15" s="57">
        <f t="shared" si="10"/>
        <v>9.6666666666666661</v>
      </c>
      <c r="P15" s="366">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5">
        <f t="shared" si="10"/>
        <v>9.6666666666666661</v>
      </c>
      <c r="Y15" s="455">
        <f t="shared" si="10"/>
        <v>0</v>
      </c>
      <c r="Z15" s="455">
        <f t="shared" si="10"/>
        <v>0</v>
      </c>
      <c r="AA15" s="455">
        <f t="shared" si="10"/>
        <v>0</v>
      </c>
      <c r="AB15" s="455">
        <f t="shared" si="10"/>
        <v>0</v>
      </c>
      <c r="AC15" s="455">
        <f t="shared" si="10"/>
        <v>0</v>
      </c>
      <c r="AD15" s="455">
        <f t="shared" ref="AD15" si="11">AD28</f>
        <v>0</v>
      </c>
      <c r="AE15" s="455"/>
      <c r="AF15" s="455"/>
      <c r="AG15" s="455"/>
      <c r="AH15" s="455"/>
      <c r="AI15" s="455"/>
      <c r="AJ15" s="455"/>
      <c r="AK15" s="455"/>
      <c r="AL15" s="455"/>
      <c r="AM15" s="455"/>
      <c r="AN15" s="455"/>
      <c r="AO15" s="467">
        <f t="shared" si="8"/>
        <v>29.000000000000004</v>
      </c>
      <c r="AP15" s="513">
        <f>AO28</f>
        <v>29.000000000000004</v>
      </c>
      <c r="AQ15" s="484" t="s">
        <v>310</v>
      </c>
      <c r="AR15" s="484"/>
      <c r="AS15" s="484"/>
    </row>
    <row r="16" spans="2:45" ht="31.4" customHeight="1" x14ac:dyDescent="0.35">
      <c r="B16" s="472" t="s">
        <v>311</v>
      </c>
      <c r="C16" s="56"/>
      <c r="D16" s="469"/>
      <c r="E16" s="56"/>
      <c r="F16" s="56"/>
      <c r="G16" s="56"/>
      <c r="H16" s="74"/>
      <c r="I16" s="74"/>
      <c r="J16" s="74"/>
      <c r="K16" s="74"/>
      <c r="L16" s="74"/>
      <c r="M16" s="74">
        <f>M32+M31</f>
        <v>12</v>
      </c>
      <c r="N16" s="57">
        <f>N32+N31</f>
        <v>12</v>
      </c>
      <c r="O16" s="57">
        <f>O32+O31</f>
        <v>12</v>
      </c>
      <c r="P16" s="366">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5">
        <f t="shared" si="12"/>
        <v>12</v>
      </c>
      <c r="Y16" s="455">
        <f t="shared" si="12"/>
        <v>0</v>
      </c>
      <c r="Z16" s="455">
        <f t="shared" si="12"/>
        <v>0</v>
      </c>
      <c r="AA16" s="455">
        <f t="shared" si="12"/>
        <v>0</v>
      </c>
      <c r="AB16" s="455">
        <f t="shared" si="12"/>
        <v>0</v>
      </c>
      <c r="AC16" s="455">
        <f t="shared" si="12"/>
        <v>0</v>
      </c>
      <c r="AD16" s="455">
        <f t="shared" ref="AD16" si="13">AD32+AD31</f>
        <v>0</v>
      </c>
      <c r="AE16" s="455"/>
      <c r="AF16" s="455"/>
      <c r="AG16" s="455"/>
      <c r="AH16" s="455"/>
      <c r="AI16" s="455"/>
      <c r="AJ16" s="455"/>
      <c r="AK16" s="455"/>
      <c r="AL16" s="455"/>
      <c r="AM16" s="455"/>
      <c r="AN16" s="455"/>
      <c r="AO16" s="467">
        <f t="shared" si="8"/>
        <v>36</v>
      </c>
      <c r="AP16" s="512">
        <f>SUM(AO31:AO32)+AO37</f>
        <v>130.3365</v>
      </c>
      <c r="AQ16" s="484" t="s">
        <v>312</v>
      </c>
      <c r="AR16" s="484"/>
      <c r="AS16" s="484"/>
    </row>
    <row r="17" spans="1:45" x14ac:dyDescent="0.35">
      <c r="B17" s="472" t="s">
        <v>313</v>
      </c>
      <c r="C17" s="56"/>
      <c r="D17" s="469"/>
      <c r="E17" s="56"/>
      <c r="F17" s="56"/>
      <c r="G17" s="56"/>
      <c r="H17" s="74"/>
      <c r="I17" s="74"/>
      <c r="J17" s="74"/>
      <c r="K17" s="74"/>
      <c r="L17" s="74"/>
      <c r="M17" s="74"/>
      <c r="N17" s="57">
        <f>N37</f>
        <v>59.256</v>
      </c>
      <c r="O17" s="57">
        <f>O37</f>
        <v>59.256</v>
      </c>
      <c r="P17" s="366">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5">
        <f t="shared" si="14"/>
        <v>9.6430000000000007</v>
      </c>
      <c r="Y17" s="455">
        <f t="shared" si="14"/>
        <v>9.6430000000000007</v>
      </c>
      <c r="Z17" s="455">
        <f t="shared" si="14"/>
        <v>9.6430000000000007</v>
      </c>
      <c r="AA17" s="455">
        <f t="shared" si="14"/>
        <v>9.6430000000000007</v>
      </c>
      <c r="AB17" s="455">
        <f t="shared" si="14"/>
        <v>4.5789999999999997</v>
      </c>
      <c r="AC17" s="455">
        <f t="shared" si="14"/>
        <v>4.5789999999999997</v>
      </c>
      <c r="AD17" s="455">
        <f>AD37</f>
        <v>4.5789999999999997</v>
      </c>
      <c r="AE17" s="455"/>
      <c r="AF17" s="455"/>
      <c r="AG17" s="455"/>
      <c r="AH17" s="455"/>
      <c r="AI17" s="455"/>
      <c r="AJ17" s="455"/>
      <c r="AK17" s="455"/>
      <c r="AL17" s="455"/>
      <c r="AM17" s="455"/>
      <c r="AN17" s="455"/>
      <c r="AO17" s="467">
        <f t="shared" si="8"/>
        <v>94.336500000000001</v>
      </c>
      <c r="AP17" s="512"/>
      <c r="AQ17" s="484"/>
      <c r="AR17" s="484"/>
      <c r="AS17" s="484"/>
    </row>
    <row r="18" spans="1:45" ht="54" customHeight="1" x14ac:dyDescent="0.35">
      <c r="B18" s="519" t="s">
        <v>743</v>
      </c>
      <c r="C18" s="56"/>
      <c r="D18" s="469"/>
      <c r="E18" s="56"/>
      <c r="F18" s="56"/>
      <c r="G18" s="56"/>
      <c r="H18" s="74"/>
      <c r="I18" s="74"/>
      <c r="J18" s="74"/>
      <c r="K18" s="74"/>
      <c r="L18" s="74"/>
      <c r="M18" s="74"/>
      <c r="N18" s="57">
        <v>-40</v>
      </c>
      <c r="O18" s="57">
        <v>-40</v>
      </c>
      <c r="P18" s="366">
        <f>-51</f>
        <v>-51</v>
      </c>
      <c r="Q18" s="57">
        <f>-51</f>
        <v>-51</v>
      </c>
      <c r="R18" s="57">
        <v>-51</v>
      </c>
      <c r="S18" s="57">
        <f>-51</f>
        <v>-51</v>
      </c>
      <c r="T18" s="57">
        <v>0</v>
      </c>
      <c r="U18" s="57">
        <v>0</v>
      </c>
      <c r="V18" s="57">
        <v>0</v>
      </c>
      <c r="W18" s="57">
        <v>0</v>
      </c>
      <c r="X18" s="455">
        <v>-4</v>
      </c>
      <c r="Y18" s="455">
        <v>-4</v>
      </c>
      <c r="Z18" s="455">
        <v>-4</v>
      </c>
      <c r="AA18" s="455">
        <v>-4</v>
      </c>
      <c r="AB18" s="455">
        <v>-4</v>
      </c>
      <c r="AC18" s="455">
        <v>-4</v>
      </c>
      <c r="AD18" s="455">
        <v>-3</v>
      </c>
      <c r="AE18" s="455">
        <v>0</v>
      </c>
      <c r="AF18" s="455">
        <v>0</v>
      </c>
      <c r="AG18" s="455">
        <v>0</v>
      </c>
      <c r="AH18" s="455">
        <v>0</v>
      </c>
      <c r="AI18" s="455">
        <v>0</v>
      </c>
      <c r="AJ18" s="455">
        <v>0</v>
      </c>
      <c r="AK18" s="455">
        <v>0</v>
      </c>
      <c r="AL18" s="455">
        <v>0</v>
      </c>
      <c r="AM18" s="455">
        <v>0</v>
      </c>
      <c r="AN18" s="455">
        <v>0</v>
      </c>
      <c r="AO18" s="467"/>
      <c r="AP18" s="512"/>
      <c r="AQ18" s="484"/>
      <c r="AR18" s="484"/>
      <c r="AS18" s="484"/>
    </row>
    <row r="19" spans="1:45" ht="15.75" customHeight="1" x14ac:dyDescent="0.35">
      <c r="B19" s="472" t="s">
        <v>314</v>
      </c>
      <c r="C19" s="59" t="s">
        <v>315</v>
      </c>
      <c r="D19" s="469"/>
      <c r="E19" s="56"/>
      <c r="F19" s="56"/>
      <c r="G19" s="56"/>
      <c r="H19" s="74"/>
      <c r="I19" s="74"/>
      <c r="J19" s="74"/>
      <c r="K19" s="74">
        <f>'Haver Pivoted'!GV56</f>
        <v>0</v>
      </c>
      <c r="L19" s="74">
        <f>'Haver Pivoted'!GW56</f>
        <v>0</v>
      </c>
      <c r="M19" s="74">
        <f>'Haver Pivoted'!GX56</f>
        <v>0</v>
      </c>
      <c r="N19" s="74">
        <f>'Haver Pivoted'!GY56</f>
        <v>785.9</v>
      </c>
      <c r="O19" s="74">
        <f>'Haver Pivoted'!GZ56</f>
        <v>187.9</v>
      </c>
      <c r="P19" s="537">
        <f>'Haver Pivoted'!HA56</f>
        <v>9.1999999999999993</v>
      </c>
      <c r="Q19" s="74">
        <f>'Haver Pivoted'!HB56</f>
        <v>0.6</v>
      </c>
      <c r="R19" s="74">
        <f>'Haver Pivoted'!HC56</f>
        <v>0</v>
      </c>
      <c r="S19" s="451">
        <f>'Haver Pivoted'!HD56</f>
        <v>0</v>
      </c>
      <c r="T19" s="451">
        <f>'Haver Pivoted'!HE56</f>
        <v>0</v>
      </c>
      <c r="U19" s="451">
        <f>'Haver Pivoted'!HF56</f>
        <v>0</v>
      </c>
      <c r="V19" s="451">
        <f>'Haver Pivoted'!HG56</f>
        <v>0</v>
      </c>
      <c r="W19" s="451">
        <f>'Haver Pivoted'!HH56</f>
        <v>0</v>
      </c>
      <c r="X19" s="451">
        <f>'Haver Pivoted'!HI56</f>
        <v>0</v>
      </c>
      <c r="Y19" s="451">
        <f>'Haver Pivoted'!HJ56</f>
        <v>0</v>
      </c>
      <c r="Z19" s="451">
        <f>'Haver Pivoted'!HK56</f>
        <v>0</v>
      </c>
      <c r="AA19" s="451">
        <f>'Haver Pivoted'!HL56</f>
        <v>0</v>
      </c>
      <c r="AB19" s="451">
        <f>'Haver Pivoted'!HM56</f>
        <v>0</v>
      </c>
      <c r="AC19" s="451">
        <f>'Haver Pivoted'!HN56</f>
        <v>0</v>
      </c>
      <c r="AD19" s="451">
        <f>'Haver Pivoted'!HO56</f>
        <v>0</v>
      </c>
      <c r="AE19" s="451">
        <f>'Haver Pivoted'!HP56</f>
        <v>0</v>
      </c>
      <c r="AF19" s="451">
        <f>'Haver Pivoted'!HQ56</f>
        <v>0</v>
      </c>
      <c r="AG19" s="448">
        <v>0</v>
      </c>
      <c r="AH19" s="448">
        <v>0</v>
      </c>
      <c r="AI19" s="448">
        <v>0</v>
      </c>
      <c r="AJ19" s="448">
        <v>0</v>
      </c>
      <c r="AK19" s="448">
        <v>0</v>
      </c>
      <c r="AL19" s="448">
        <v>0</v>
      </c>
      <c r="AM19" s="448">
        <v>0</v>
      </c>
      <c r="AN19" s="448">
        <v>0</v>
      </c>
      <c r="AO19" s="467">
        <f>SUM(I19:Y19)/4</f>
        <v>245.9</v>
      </c>
      <c r="AP19" s="512">
        <f>AO34</f>
        <v>362.04999999999995</v>
      </c>
      <c r="AQ19" s="504"/>
      <c r="AS19" s="484"/>
    </row>
    <row r="20" spans="1:45" ht="15.75" customHeight="1" x14ac:dyDescent="0.35">
      <c r="A20" s="486"/>
      <c r="B20" s="485" t="s">
        <v>316</v>
      </c>
      <c r="C20" s="496"/>
      <c r="D20" s="494">
        <f t="shared" ref="D20:T20" si="15">D11-SUM(D12:D19)</f>
        <v>198.17900000000003</v>
      </c>
      <c r="E20" s="496">
        <f t="shared" si="15"/>
        <v>185.83200000000005</v>
      </c>
      <c r="F20" s="496">
        <f t="shared" si="15"/>
        <v>196.50400000000002</v>
      </c>
      <c r="G20" s="496">
        <f t="shared" si="15"/>
        <v>190.11399999999998</v>
      </c>
      <c r="H20" s="496">
        <f t="shared" si="15"/>
        <v>208.815</v>
      </c>
      <c r="I20" s="496">
        <f t="shared" si="15"/>
        <v>212.21100000000007</v>
      </c>
      <c r="J20" s="496">
        <f t="shared" si="15"/>
        <v>193.43600000000004</v>
      </c>
      <c r="K20" s="496">
        <f t="shared" si="15"/>
        <v>212.51800000000003</v>
      </c>
      <c r="L20" s="496">
        <f t="shared" si="15"/>
        <v>217.47400000000005</v>
      </c>
      <c r="M20" s="496">
        <f t="shared" si="15"/>
        <v>215.81433333333337</v>
      </c>
      <c r="N20" s="496">
        <f t="shared" si="15"/>
        <v>218.7983333333334</v>
      </c>
      <c r="O20" s="496">
        <f t="shared" si="15"/>
        <v>221.3723333333333</v>
      </c>
      <c r="P20" s="439">
        <f t="shared" si="15"/>
        <v>245.90933333333328</v>
      </c>
      <c r="Q20" s="496">
        <f t="shared" si="15"/>
        <v>246.12433333333331</v>
      </c>
      <c r="R20" s="496">
        <f t="shared" si="15"/>
        <v>263.58333333333337</v>
      </c>
      <c r="S20" s="474">
        <f t="shared" si="15"/>
        <v>256.80233333333337</v>
      </c>
      <c r="T20" s="474">
        <f t="shared" si="15"/>
        <v>225.25133333333338</v>
      </c>
      <c r="U20" s="474">
        <f t="shared" ref="U20:Z20" si="16">U11-SUM(U12:U19)</f>
        <v>238.75700000000001</v>
      </c>
      <c r="V20" s="474">
        <f t="shared" si="16"/>
        <v>234.49200000000002</v>
      </c>
      <c r="W20" s="474">
        <f t="shared" si="16"/>
        <v>223.03800000000007</v>
      </c>
      <c r="X20" s="474">
        <f t="shared" si="16"/>
        <v>249.55799999999999</v>
      </c>
      <c r="Y20" s="474">
        <f t="shared" si="16"/>
        <v>268.86500000000012</v>
      </c>
      <c r="Z20" s="474">
        <f t="shared" si="16"/>
        <v>289.86800000000005</v>
      </c>
      <c r="AA20" s="474">
        <f t="shared" ref="AA20:AF20" si="17">AA11-SUM(AA12:AA19)</f>
        <v>309.68700000000013</v>
      </c>
      <c r="AB20" s="474">
        <f t="shared" si="17"/>
        <v>312.22499999999991</v>
      </c>
      <c r="AC20" s="474">
        <f t="shared" si="17"/>
        <v>293.29000000000008</v>
      </c>
      <c r="AD20" s="474">
        <f t="shared" si="17"/>
        <v>276.76199999999994</v>
      </c>
      <c r="AE20" s="474">
        <f t="shared" si="17"/>
        <v>302.86700000000008</v>
      </c>
      <c r="AF20" s="474">
        <f t="shared" si="17"/>
        <v>279.28199999999993</v>
      </c>
      <c r="AG20" s="269">
        <f t="shared" ref="AG20:AI20" si="18">AF20*(1.04)^0.25</f>
        <v>282.03387908780905</v>
      </c>
      <c r="AH20" s="269">
        <f t="shared" si="18"/>
        <v>284.81287355904396</v>
      </c>
      <c r="AI20" s="269">
        <f t="shared" si="18"/>
        <v>287.6192505926013</v>
      </c>
      <c r="AJ20" s="269">
        <f>AI20*(1.04)^0.25</f>
        <v>290.45327999999995</v>
      </c>
      <c r="AK20" s="269">
        <f>AJ20*(1.04)^0.25</f>
        <v>293.31523425132144</v>
      </c>
      <c r="AL20" s="269">
        <f>AK20*(1.04)^0.25</f>
        <v>296.20538850140576</v>
      </c>
      <c r="AM20" s="269">
        <f>AL20*(1.04)^0.25</f>
        <v>299.12402061630536</v>
      </c>
      <c r="AN20" s="269">
        <f>AM20*(1.04)^0.25</f>
        <v>302.07141119999994</v>
      </c>
      <c r="AO20" s="517"/>
      <c r="AP20" s="514"/>
      <c r="AQ20" s="484" t="s">
        <v>317</v>
      </c>
      <c r="AR20" s="484"/>
      <c r="AS20" s="484"/>
    </row>
    <row r="21" spans="1:45" ht="15.75" customHeight="1" x14ac:dyDescent="0.35">
      <c r="A21" s="9"/>
      <c r="B21" s="457"/>
      <c r="C21" s="56"/>
      <c r="D21" s="56"/>
      <c r="E21" s="56"/>
      <c r="F21" s="56"/>
      <c r="G21" s="56"/>
      <c r="H21" s="56"/>
      <c r="I21" s="56"/>
      <c r="J21" s="56"/>
      <c r="K21" s="56"/>
      <c r="L21" s="56"/>
      <c r="M21" s="56"/>
      <c r="N21" s="56"/>
      <c r="O21" s="56"/>
      <c r="P21" s="489"/>
      <c r="Q21" s="56"/>
      <c r="R21" s="56"/>
      <c r="AO21" s="366"/>
      <c r="AP21" s="489"/>
      <c r="AQ21" s="484"/>
      <c r="AR21" s="484"/>
      <c r="AS21" s="484"/>
    </row>
    <row r="22" spans="1:45" ht="27" customHeight="1" x14ac:dyDescent="0.35">
      <c r="B22" s="1432" t="s">
        <v>319</v>
      </c>
      <c r="C22" s="1433"/>
      <c r="D22" s="1433"/>
      <c r="E22" s="1433"/>
      <c r="F22" s="1433"/>
      <c r="G22" s="1433"/>
      <c r="H22" s="1433"/>
      <c r="I22" s="1433"/>
      <c r="J22" s="1433"/>
      <c r="K22" s="1433"/>
      <c r="L22" s="1433"/>
      <c r="M22" s="1433"/>
      <c r="N22" s="1433"/>
      <c r="O22" s="1433"/>
      <c r="P22" s="1433"/>
      <c r="Q22" s="1433"/>
      <c r="R22" s="1433"/>
      <c r="S22" s="1433"/>
      <c r="T22" s="1433"/>
      <c r="U22" s="1433"/>
      <c r="V22" s="1433"/>
      <c r="W22" s="1433"/>
      <c r="X22" s="1433"/>
      <c r="Y22" s="1433"/>
      <c r="Z22" s="1433"/>
      <c r="AA22" s="1433"/>
      <c r="AB22" s="1433"/>
      <c r="AC22" s="1433"/>
      <c r="AD22" s="428"/>
      <c r="AE22" s="428"/>
      <c r="AF22" s="428"/>
      <c r="AG22" s="428"/>
      <c r="AH22" s="428"/>
      <c r="AI22" s="428"/>
      <c r="AJ22" s="428"/>
      <c r="AK22" s="428"/>
      <c r="AL22" s="428"/>
      <c r="AM22" s="428"/>
      <c r="AN22" s="428"/>
      <c r="AO22" s="460" t="s">
        <v>301</v>
      </c>
      <c r="AP22" s="515"/>
    </row>
    <row r="23" spans="1:45" ht="17.899999999999999" customHeight="1" x14ac:dyDescent="0.35">
      <c r="B23" s="521" t="s">
        <v>320</v>
      </c>
      <c r="C23" s="56"/>
      <c r="D23" s="469"/>
      <c r="E23" s="56"/>
      <c r="F23" s="56"/>
      <c r="G23" s="56"/>
      <c r="H23" s="57"/>
      <c r="I23" s="57"/>
      <c r="J23" s="443">
        <f>SUM(J24:J26)</f>
        <v>692.8</v>
      </c>
      <c r="K23" s="443">
        <f t="shared" ref="K23:P23" si="19">SUM(K24:K26)</f>
        <v>39.200000000000003</v>
      </c>
      <c r="L23" s="443">
        <f t="shared" si="19"/>
        <v>29</v>
      </c>
      <c r="M23" s="443">
        <f t="shared" si="19"/>
        <v>27</v>
      </c>
      <c r="N23" s="443">
        <f t="shared" si="19"/>
        <v>18</v>
      </c>
      <c r="O23" s="443">
        <f t="shared" si="19"/>
        <v>0</v>
      </c>
      <c r="P23" s="362">
        <f t="shared" si="19"/>
        <v>0</v>
      </c>
      <c r="Q23" s="443"/>
      <c r="R23" s="443"/>
      <c r="S23" s="443"/>
      <c r="T23" s="448"/>
      <c r="U23" s="448"/>
      <c r="V23" s="448"/>
      <c r="W23" s="448"/>
      <c r="X23" s="448"/>
      <c r="Y23" s="448"/>
      <c r="Z23" s="448"/>
      <c r="AA23" s="448"/>
      <c r="AB23" s="448"/>
      <c r="AC23" s="448"/>
      <c r="AD23" s="448"/>
      <c r="AE23" s="448"/>
      <c r="AF23" s="448"/>
      <c r="AG23" s="448"/>
      <c r="AH23" s="448"/>
      <c r="AI23" s="448"/>
      <c r="AJ23" s="448"/>
      <c r="AK23" s="448"/>
      <c r="AL23" s="448"/>
      <c r="AM23" s="448"/>
      <c r="AN23" s="448"/>
      <c r="AO23" s="467">
        <f t="shared" ref="AO23:AO36" si="20">SUM(I23:Y23)/4</f>
        <v>201.5</v>
      </c>
      <c r="AP23" s="1436" t="s">
        <v>321</v>
      </c>
      <c r="AQ23" s="1388"/>
    </row>
    <row r="24" spans="1:45" x14ac:dyDescent="0.35">
      <c r="B24" s="487" t="s">
        <v>137</v>
      </c>
      <c r="C24" s="56"/>
      <c r="D24" s="469"/>
      <c r="E24" s="56"/>
      <c r="F24" s="56"/>
      <c r="G24" s="56"/>
      <c r="H24" s="57"/>
      <c r="I24" s="57"/>
      <c r="J24" s="443">
        <f>C44*4</f>
        <v>600</v>
      </c>
      <c r="K24" s="443"/>
      <c r="L24" s="443"/>
      <c r="M24" s="443"/>
      <c r="N24" s="443"/>
      <c r="O24" s="443"/>
      <c r="P24" s="362"/>
      <c r="Q24" s="443"/>
      <c r="R24" s="443"/>
      <c r="S24" s="443"/>
      <c r="T24" s="448"/>
      <c r="U24" s="448"/>
      <c r="V24" s="448"/>
      <c r="W24" s="448"/>
      <c r="X24" s="448"/>
      <c r="Y24" s="448"/>
      <c r="Z24" s="448"/>
      <c r="AA24" s="448"/>
      <c r="AB24" s="448"/>
      <c r="AC24" s="448"/>
      <c r="AD24" s="448"/>
      <c r="AE24" s="448"/>
      <c r="AF24" s="448"/>
      <c r="AG24" s="448"/>
      <c r="AH24" s="448"/>
      <c r="AI24" s="448"/>
      <c r="AJ24" s="448"/>
      <c r="AK24" s="448"/>
      <c r="AL24" s="448"/>
      <c r="AM24" s="448"/>
      <c r="AN24" s="448"/>
      <c r="AO24" s="467">
        <f t="shared" si="20"/>
        <v>150</v>
      </c>
      <c r="AP24" s="443"/>
    </row>
    <row r="25" spans="1:45" ht="15" customHeight="1" x14ac:dyDescent="0.35">
      <c r="B25" s="487" t="s">
        <v>138</v>
      </c>
      <c r="C25" s="56"/>
      <c r="D25" s="469"/>
      <c r="E25" s="56"/>
      <c r="F25" s="56"/>
      <c r="G25" s="56"/>
      <c r="H25" s="57"/>
      <c r="I25" s="57"/>
      <c r="J25" s="443">
        <v>28.4</v>
      </c>
      <c r="K25" s="443">
        <v>15.8</v>
      </c>
      <c r="L25" s="443">
        <v>15.2</v>
      </c>
      <c r="M25" s="443">
        <v>10.9</v>
      </c>
      <c r="N25" s="443">
        <v>18</v>
      </c>
      <c r="O25" s="443"/>
      <c r="P25" s="362"/>
      <c r="Q25" s="443"/>
      <c r="R25" s="443"/>
      <c r="S25" s="443">
        <v>20</v>
      </c>
      <c r="T25" s="483">
        <v>10</v>
      </c>
      <c r="U25" s="448"/>
      <c r="V25" s="448"/>
      <c r="W25" s="448"/>
      <c r="X25" s="448"/>
      <c r="Y25" s="448"/>
      <c r="Z25" s="448"/>
      <c r="AA25" s="448"/>
      <c r="AB25" s="448"/>
      <c r="AC25" s="448"/>
      <c r="AD25" s="448"/>
      <c r="AE25" s="448"/>
      <c r="AF25" s="448"/>
      <c r="AG25" s="448"/>
      <c r="AH25" s="448"/>
      <c r="AI25" s="448"/>
      <c r="AJ25" s="448"/>
      <c r="AK25" s="448"/>
      <c r="AL25" s="448"/>
      <c r="AM25" s="448"/>
      <c r="AN25" s="448"/>
      <c r="AO25" s="467">
        <f t="shared" si="20"/>
        <v>29.575000000000003</v>
      </c>
      <c r="AP25" s="443"/>
    </row>
    <row r="26" spans="1:45" x14ac:dyDescent="0.35">
      <c r="B26" s="487" t="s">
        <v>140</v>
      </c>
      <c r="C26" s="56"/>
      <c r="D26" s="469"/>
      <c r="E26" s="56"/>
      <c r="F26" s="56"/>
      <c r="G26" s="56"/>
      <c r="H26" s="57"/>
      <c r="I26" s="57"/>
      <c r="J26" s="365">
        <v>64.400000000000006</v>
      </c>
      <c r="K26" s="365">
        <v>23.4</v>
      </c>
      <c r="L26" s="365">
        <v>13.8</v>
      </c>
      <c r="M26" s="365">
        <v>16.100000000000001</v>
      </c>
      <c r="N26" s="443"/>
      <c r="O26" s="443"/>
      <c r="P26" s="362"/>
      <c r="Q26" s="443"/>
      <c r="R26" s="443"/>
      <c r="S26" s="443"/>
      <c r="T26" s="448"/>
      <c r="U26" s="448"/>
      <c r="V26" s="448"/>
      <c r="W26" s="448"/>
      <c r="X26" s="448"/>
      <c r="Y26" s="448"/>
      <c r="Z26" s="448"/>
      <c r="AA26" s="448"/>
      <c r="AB26" s="448"/>
      <c r="AC26" s="448"/>
      <c r="AD26" s="448"/>
      <c r="AE26" s="448"/>
      <c r="AF26" s="448"/>
      <c r="AG26" s="448"/>
      <c r="AH26" s="448"/>
      <c r="AI26" s="448"/>
      <c r="AJ26" s="448"/>
      <c r="AK26" s="448"/>
      <c r="AL26" s="448"/>
      <c r="AM26" s="448"/>
      <c r="AN26" s="448"/>
      <c r="AO26" s="467">
        <f t="shared" si="20"/>
        <v>29.425000000000004</v>
      </c>
      <c r="AP26" s="443"/>
    </row>
    <row r="27" spans="1:45" ht="16.5" customHeight="1" x14ac:dyDescent="0.35">
      <c r="B27" s="521" t="s">
        <v>322</v>
      </c>
      <c r="C27" s="56"/>
      <c r="D27" s="469"/>
      <c r="E27" s="56"/>
      <c r="F27" s="56"/>
      <c r="G27" s="56"/>
      <c r="H27" s="57"/>
      <c r="I27" s="57"/>
      <c r="J27" s="57"/>
      <c r="K27" s="57"/>
      <c r="L27" s="57"/>
      <c r="M27" s="443">
        <f>SUM(M28:M32)</f>
        <v>43</v>
      </c>
      <c r="N27" s="443">
        <f t="shared" ref="N27:AD27" si="21">SUM(N28:N32)</f>
        <v>70</v>
      </c>
      <c r="O27" s="443">
        <f t="shared" si="21"/>
        <v>59.999999999999964</v>
      </c>
      <c r="P27" s="362">
        <f t="shared" si="21"/>
        <v>50</v>
      </c>
      <c r="Q27" s="443">
        <f t="shared" si="21"/>
        <v>44.999999999999964</v>
      </c>
      <c r="R27" s="443">
        <f t="shared" si="21"/>
        <v>44.999999999999964</v>
      </c>
      <c r="S27" s="443">
        <f t="shared" si="21"/>
        <v>44.999999999999964</v>
      </c>
      <c r="T27" s="448">
        <f t="shared" si="21"/>
        <v>44.999999999999964</v>
      </c>
      <c r="U27" s="448">
        <f t="shared" si="21"/>
        <v>44.999999999999964</v>
      </c>
      <c r="V27" s="448">
        <f t="shared" si="21"/>
        <v>44.999999999999964</v>
      </c>
      <c r="W27" s="448">
        <f t="shared" si="21"/>
        <v>44.999999999999964</v>
      </c>
      <c r="X27" s="448">
        <f>SUM(X28:X32)</f>
        <v>44.999999999999964</v>
      </c>
      <c r="Y27" s="448">
        <f t="shared" si="21"/>
        <v>19</v>
      </c>
      <c r="Z27" s="448">
        <f t="shared" si="21"/>
        <v>0</v>
      </c>
      <c r="AA27" s="448">
        <f t="shared" si="21"/>
        <v>0</v>
      </c>
      <c r="AB27" s="448">
        <f t="shared" si="21"/>
        <v>0</v>
      </c>
      <c r="AC27" s="448">
        <f t="shared" si="21"/>
        <v>0</v>
      </c>
      <c r="AD27" s="448">
        <f t="shared" si="21"/>
        <v>0</v>
      </c>
      <c r="AE27" s="448"/>
      <c r="AF27" s="448"/>
      <c r="AG27" s="448"/>
      <c r="AH27" s="448"/>
      <c r="AI27" s="448"/>
      <c r="AJ27" s="448"/>
      <c r="AK27" s="448"/>
      <c r="AL27" s="448"/>
      <c r="AM27" s="448"/>
      <c r="AN27" s="448"/>
      <c r="AO27" s="467">
        <f t="shared" si="20"/>
        <v>150.49999999999991</v>
      </c>
      <c r="AP27" s="1436" t="s">
        <v>323</v>
      </c>
      <c r="AQ27" s="1388"/>
    </row>
    <row r="28" spans="1:45" x14ac:dyDescent="0.35">
      <c r="B28" s="487" t="s">
        <v>309</v>
      </c>
      <c r="C28" s="56"/>
      <c r="D28" s="469"/>
      <c r="E28" s="56"/>
      <c r="F28" s="56"/>
      <c r="G28" s="56"/>
      <c r="H28" s="57"/>
      <c r="I28" s="57"/>
      <c r="J28" s="57"/>
      <c r="K28" s="57"/>
      <c r="L28" s="57"/>
      <c r="M28" s="443">
        <f>C47/12*4</f>
        <v>9.6666666666666661</v>
      </c>
      <c r="N28" s="443">
        <f>M28</f>
        <v>9.6666666666666661</v>
      </c>
      <c r="O28" s="443">
        <f t="shared" ref="O28:X28" si="22">N28</f>
        <v>9.6666666666666661</v>
      </c>
      <c r="P28" s="362">
        <f t="shared" si="22"/>
        <v>9.6666666666666661</v>
      </c>
      <c r="Q28" s="443">
        <f t="shared" si="22"/>
        <v>9.6666666666666661</v>
      </c>
      <c r="R28" s="443">
        <f t="shared" si="22"/>
        <v>9.6666666666666661</v>
      </c>
      <c r="S28" s="443">
        <f t="shared" si="22"/>
        <v>9.6666666666666661</v>
      </c>
      <c r="T28" s="448">
        <f t="shared" si="22"/>
        <v>9.6666666666666661</v>
      </c>
      <c r="U28" s="448">
        <f t="shared" si="22"/>
        <v>9.6666666666666661</v>
      </c>
      <c r="V28" s="448">
        <f t="shared" si="22"/>
        <v>9.6666666666666661</v>
      </c>
      <c r="W28" s="448">
        <f t="shared" si="22"/>
        <v>9.6666666666666661</v>
      </c>
      <c r="X28" s="448">
        <f t="shared" si="22"/>
        <v>9.6666666666666661</v>
      </c>
      <c r="Y28" s="455"/>
      <c r="Z28" s="455"/>
      <c r="AA28" s="455"/>
      <c r="AB28" s="455"/>
      <c r="AC28" s="455"/>
      <c r="AD28" s="455"/>
      <c r="AE28" s="455"/>
      <c r="AF28" s="455"/>
      <c r="AG28" s="455"/>
      <c r="AH28" s="455"/>
      <c r="AI28" s="455"/>
      <c r="AJ28" s="455"/>
      <c r="AK28" s="455"/>
      <c r="AL28" s="455"/>
      <c r="AM28" s="455"/>
      <c r="AN28" s="455"/>
      <c r="AO28" s="467">
        <f t="shared" si="20"/>
        <v>29.000000000000004</v>
      </c>
      <c r="AP28" s="1436"/>
      <c r="AQ28" s="1388"/>
    </row>
    <row r="29" spans="1:45" ht="41.9" customHeight="1" x14ac:dyDescent="0.35">
      <c r="B29" s="487" t="s">
        <v>138</v>
      </c>
      <c r="C29" s="56"/>
      <c r="D29" s="469"/>
      <c r="E29" s="56"/>
      <c r="F29" s="56"/>
      <c r="G29" s="56"/>
      <c r="H29" s="57"/>
      <c r="I29" s="57"/>
      <c r="J29" s="57"/>
      <c r="K29" s="57"/>
      <c r="L29" s="57"/>
      <c r="M29" s="508">
        <f>C58/12*4 - 7</f>
        <v>20.333333333333332</v>
      </c>
      <c r="N29" s="508">
        <f>C58/12*4 + 20</f>
        <v>47.333333333333329</v>
      </c>
      <c r="O29" s="508">
        <v>37.3333333333333</v>
      </c>
      <c r="P29" s="440">
        <v>27.333333333333332</v>
      </c>
      <c r="Q29" s="508">
        <v>22.3333333333333</v>
      </c>
      <c r="R29" s="508">
        <v>22.3333333333333</v>
      </c>
      <c r="S29" s="508">
        <v>22.3333333333333</v>
      </c>
      <c r="T29" s="459">
        <v>22.3333333333333</v>
      </c>
      <c r="U29" s="459">
        <v>22.3333333333333</v>
      </c>
      <c r="V29" s="459">
        <v>22.3333333333333</v>
      </c>
      <c r="W29" s="459">
        <v>22.3333333333333</v>
      </c>
      <c r="X29" s="459">
        <v>22.3333333333333</v>
      </c>
      <c r="Y29" s="459">
        <v>19</v>
      </c>
      <c r="Z29" s="459"/>
      <c r="AA29" s="459"/>
      <c r="AB29" s="459"/>
      <c r="AC29" s="459"/>
      <c r="AD29" s="459"/>
      <c r="AE29" s="459"/>
      <c r="AF29" s="459"/>
      <c r="AG29" s="459"/>
      <c r="AH29" s="459"/>
      <c r="AI29" s="459"/>
      <c r="AJ29" s="459"/>
      <c r="AK29" s="459"/>
      <c r="AL29" s="459"/>
      <c r="AM29" s="459"/>
      <c r="AN29" s="459"/>
      <c r="AO29" s="467">
        <f t="shared" si="20"/>
        <v>82.499999999999943</v>
      </c>
      <c r="AP29" s="527" t="s">
        <v>324</v>
      </c>
    </row>
    <row r="30" spans="1:45" x14ac:dyDescent="0.35">
      <c r="B30" s="487" t="s">
        <v>140</v>
      </c>
      <c r="C30" s="56"/>
      <c r="D30" s="469"/>
      <c r="E30" s="56"/>
      <c r="F30" s="56"/>
      <c r="G30" s="56"/>
      <c r="H30" s="57"/>
      <c r="I30" s="57"/>
      <c r="J30" s="57"/>
      <c r="K30" s="57"/>
      <c r="L30" s="57"/>
      <c r="M30" s="443">
        <f>C59/12*4</f>
        <v>1</v>
      </c>
      <c r="N30" s="443">
        <f>C59/12*4</f>
        <v>1</v>
      </c>
      <c r="O30" s="443">
        <f t="shared" ref="O30:X30" si="23">$C$59/12*4</f>
        <v>1</v>
      </c>
      <c r="P30" s="362">
        <f t="shared" si="23"/>
        <v>1</v>
      </c>
      <c r="Q30" s="443">
        <f t="shared" si="23"/>
        <v>1</v>
      </c>
      <c r="R30" s="443">
        <f t="shared" si="23"/>
        <v>1</v>
      </c>
      <c r="S30" s="443">
        <f t="shared" si="23"/>
        <v>1</v>
      </c>
      <c r="T30" s="448">
        <f t="shared" si="23"/>
        <v>1</v>
      </c>
      <c r="U30" s="448">
        <f t="shared" si="23"/>
        <v>1</v>
      </c>
      <c r="V30" s="448">
        <f t="shared" si="23"/>
        <v>1</v>
      </c>
      <c r="W30" s="448">
        <f t="shared" si="23"/>
        <v>1</v>
      </c>
      <c r="X30" s="448">
        <f t="shared" si="23"/>
        <v>1</v>
      </c>
      <c r="Y30" s="455"/>
      <c r="Z30" s="455"/>
      <c r="AA30" s="455"/>
      <c r="AB30" s="455"/>
      <c r="AC30" s="455"/>
      <c r="AD30" s="455"/>
      <c r="AE30" s="455"/>
      <c r="AF30" s="455"/>
      <c r="AG30" s="455"/>
      <c r="AH30" s="455"/>
      <c r="AI30" s="455"/>
      <c r="AJ30" s="455"/>
      <c r="AK30" s="455"/>
      <c r="AL30" s="455"/>
      <c r="AM30" s="455"/>
      <c r="AN30" s="455"/>
      <c r="AO30" s="467">
        <f t="shared" si="20"/>
        <v>3</v>
      </c>
      <c r="AP30" s="57"/>
    </row>
    <row r="31" spans="1:45" ht="13.4" customHeight="1" x14ac:dyDescent="0.35">
      <c r="B31" s="487" t="s">
        <v>325</v>
      </c>
      <c r="C31" s="56"/>
      <c r="D31" s="469"/>
      <c r="E31" s="56"/>
      <c r="F31" s="56"/>
      <c r="G31" s="56"/>
      <c r="H31" s="57"/>
      <c r="I31" s="57"/>
      <c r="J31" s="57"/>
      <c r="K31" s="57"/>
      <c r="L31" s="57"/>
      <c r="M31" s="443">
        <f t="shared" ref="M31:X31" si="24">$C$60/12*4</f>
        <v>11.333333333333334</v>
      </c>
      <c r="N31" s="443">
        <f t="shared" si="24"/>
        <v>11.333333333333334</v>
      </c>
      <c r="O31" s="443">
        <f t="shared" si="24"/>
        <v>11.333333333333334</v>
      </c>
      <c r="P31" s="362">
        <f t="shared" si="24"/>
        <v>11.333333333333334</v>
      </c>
      <c r="Q31" s="443">
        <f t="shared" si="24"/>
        <v>11.333333333333334</v>
      </c>
      <c r="R31" s="443">
        <f t="shared" si="24"/>
        <v>11.333333333333334</v>
      </c>
      <c r="S31" s="443">
        <f t="shared" si="24"/>
        <v>11.333333333333334</v>
      </c>
      <c r="T31" s="448">
        <f t="shared" si="24"/>
        <v>11.333333333333334</v>
      </c>
      <c r="U31" s="448">
        <f t="shared" si="24"/>
        <v>11.333333333333334</v>
      </c>
      <c r="V31" s="448">
        <f t="shared" si="24"/>
        <v>11.333333333333334</v>
      </c>
      <c r="W31" s="448">
        <f t="shared" si="24"/>
        <v>11.333333333333334</v>
      </c>
      <c r="X31" s="448">
        <f t="shared" si="24"/>
        <v>11.333333333333334</v>
      </c>
      <c r="Y31" s="455"/>
      <c r="Z31" s="455"/>
      <c r="AA31" s="455"/>
      <c r="AB31" s="455"/>
      <c r="AC31" s="455"/>
      <c r="AD31" s="455"/>
      <c r="AE31" s="455"/>
      <c r="AF31" s="455"/>
      <c r="AG31" s="455"/>
      <c r="AH31" s="455"/>
      <c r="AI31" s="455"/>
      <c r="AJ31" s="455"/>
      <c r="AK31" s="455"/>
      <c r="AL31" s="455"/>
      <c r="AM31" s="455"/>
      <c r="AN31" s="455"/>
      <c r="AO31" s="467">
        <f t="shared" si="20"/>
        <v>33.999999999999993</v>
      </c>
      <c r="AP31" s="57"/>
    </row>
    <row r="32" spans="1:45" ht="29.25" customHeight="1" x14ac:dyDescent="0.35">
      <c r="B32" s="487" t="s">
        <v>326</v>
      </c>
      <c r="C32" s="56"/>
      <c r="D32" s="469"/>
      <c r="E32" s="56"/>
      <c r="F32" s="56"/>
      <c r="G32" s="56"/>
      <c r="H32" s="57"/>
      <c r="I32" s="57"/>
      <c r="J32" s="57"/>
      <c r="K32" s="57"/>
      <c r="L32" s="57"/>
      <c r="M32" s="443">
        <f t="shared" ref="M32:X32" si="25">$C$61/12*4</f>
        <v>0.66666666666666663</v>
      </c>
      <c r="N32" s="443">
        <f t="shared" si="25"/>
        <v>0.66666666666666663</v>
      </c>
      <c r="O32" s="443">
        <f t="shared" si="25"/>
        <v>0.66666666666666663</v>
      </c>
      <c r="P32" s="362">
        <f t="shared" si="25"/>
        <v>0.66666666666666663</v>
      </c>
      <c r="Q32" s="443">
        <f t="shared" si="25"/>
        <v>0.66666666666666663</v>
      </c>
      <c r="R32" s="443">
        <f t="shared" si="25"/>
        <v>0.66666666666666663</v>
      </c>
      <c r="S32" s="443">
        <f t="shared" si="25"/>
        <v>0.66666666666666663</v>
      </c>
      <c r="T32" s="448">
        <f t="shared" si="25"/>
        <v>0.66666666666666663</v>
      </c>
      <c r="U32" s="448">
        <f t="shared" si="25"/>
        <v>0.66666666666666663</v>
      </c>
      <c r="V32" s="448">
        <f t="shared" si="25"/>
        <v>0.66666666666666663</v>
      </c>
      <c r="W32" s="448">
        <f t="shared" si="25"/>
        <v>0.66666666666666663</v>
      </c>
      <c r="X32" s="448">
        <f t="shared" si="25"/>
        <v>0.66666666666666663</v>
      </c>
      <c r="Y32" s="455"/>
      <c r="Z32" s="455"/>
      <c r="AA32" s="455"/>
      <c r="AB32" s="455"/>
      <c r="AC32" s="455"/>
      <c r="AD32" s="455"/>
      <c r="AE32" s="455"/>
      <c r="AF32" s="455"/>
      <c r="AG32" s="455"/>
      <c r="AH32" s="455"/>
      <c r="AI32" s="455"/>
      <c r="AJ32" s="455"/>
      <c r="AK32" s="455"/>
      <c r="AL32" s="455"/>
      <c r="AM32" s="455"/>
      <c r="AN32" s="455"/>
      <c r="AO32" s="467">
        <f t="shared" si="20"/>
        <v>2</v>
      </c>
      <c r="AP32" s="57"/>
    </row>
    <row r="33" spans="1:99" ht="44.25" customHeight="1" x14ac:dyDescent="0.35">
      <c r="B33" s="521" t="s">
        <v>327</v>
      </c>
      <c r="C33" s="56"/>
      <c r="D33" s="469"/>
      <c r="E33" s="56"/>
      <c r="F33" s="56"/>
      <c r="G33" s="56"/>
      <c r="H33" s="57"/>
      <c r="I33" s="57"/>
      <c r="J33" s="57"/>
      <c r="K33" s="57"/>
      <c r="L33" s="57"/>
      <c r="M33" s="443"/>
      <c r="N33" s="443">
        <f t="shared" ref="N33:AC33" si="26">SUM(N34:N38)</f>
        <v>954.03959999999972</v>
      </c>
      <c r="O33" s="443">
        <f t="shared" si="26"/>
        <v>85.500399999999999</v>
      </c>
      <c r="P33" s="362">
        <f t="shared" si="26"/>
        <v>83.481000000000009</v>
      </c>
      <c r="Q33" s="443">
        <f t="shared" si="26"/>
        <v>662.76099999999997</v>
      </c>
      <c r="R33" s="443">
        <f t="shared" si="26"/>
        <v>83.481000000000009</v>
      </c>
      <c r="S33" s="443">
        <f t="shared" si="26"/>
        <v>83.481000000000009</v>
      </c>
      <c r="T33" s="448">
        <f t="shared" si="26"/>
        <v>62.811999999999998</v>
      </c>
      <c r="U33" s="448">
        <f t="shared" si="26"/>
        <v>62.811999999999998</v>
      </c>
      <c r="V33" s="448">
        <f t="shared" si="26"/>
        <v>62.811999999999998</v>
      </c>
      <c r="W33" s="448">
        <f t="shared" si="26"/>
        <v>62.811999999999998</v>
      </c>
      <c r="X33" s="448">
        <f t="shared" si="26"/>
        <v>41.554000000000002</v>
      </c>
      <c r="Y33" s="448">
        <f t="shared" si="26"/>
        <v>41.554000000000002</v>
      </c>
      <c r="Z33" s="448">
        <f t="shared" si="26"/>
        <v>41.554000000000002</v>
      </c>
      <c r="AA33" s="448">
        <f t="shared" si="26"/>
        <v>41.554000000000002</v>
      </c>
      <c r="AB33" s="448">
        <f t="shared" si="26"/>
        <v>27.678000000000001</v>
      </c>
      <c r="AC33" s="448">
        <f t="shared" si="26"/>
        <v>27.678000000000001</v>
      </c>
      <c r="AD33" s="448">
        <f>SUM(AD34:AD38)</f>
        <v>27.678000000000001</v>
      </c>
      <c r="AE33" s="448"/>
      <c r="AF33" s="448"/>
      <c r="AG33" s="448"/>
      <c r="AH33" s="448"/>
      <c r="AI33" s="448"/>
      <c r="AJ33" s="448"/>
      <c r="AK33" s="448"/>
      <c r="AL33" s="448"/>
      <c r="AM33" s="448"/>
      <c r="AN33" s="448"/>
      <c r="AO33" s="467">
        <f t="shared" si="20"/>
        <v>571.77499999999986</v>
      </c>
      <c r="AP33" s="1436" t="s">
        <v>328</v>
      </c>
      <c r="AQ33" s="1388"/>
    </row>
    <row r="34" spans="1:99" ht="17.899999999999999" customHeight="1" x14ac:dyDescent="0.35">
      <c r="B34" s="487" t="s">
        <v>314</v>
      </c>
      <c r="C34" s="56"/>
      <c r="D34" s="469"/>
      <c r="E34" s="56"/>
      <c r="F34" s="56"/>
      <c r="G34" s="56"/>
      <c r="H34" s="57"/>
      <c r="I34" s="57"/>
      <c r="J34" s="57"/>
      <c r="K34" s="57"/>
      <c r="L34" s="57"/>
      <c r="M34" s="443"/>
      <c r="N34" s="443">
        <f>0.6*C63*4</f>
        <v>868.91999999999985</v>
      </c>
      <c r="O34" s="443"/>
      <c r="P34" s="362"/>
      <c r="Q34" s="443">
        <f>0.4*C63*4</f>
        <v>579.28</v>
      </c>
      <c r="R34" s="443"/>
      <c r="S34" s="443"/>
      <c r="T34" s="448"/>
      <c r="U34" s="448"/>
      <c r="V34" s="448"/>
      <c r="W34" s="448"/>
      <c r="X34" s="448"/>
      <c r="Y34" s="448"/>
      <c r="Z34" s="448"/>
      <c r="AA34" s="448"/>
      <c r="AB34" s="448"/>
      <c r="AC34" s="448"/>
      <c r="AD34" s="448"/>
      <c r="AE34" s="448"/>
      <c r="AF34" s="448"/>
      <c r="AG34" s="448"/>
      <c r="AH34" s="448"/>
      <c r="AI34" s="448"/>
      <c r="AJ34" s="448"/>
      <c r="AK34" s="448"/>
      <c r="AL34" s="448"/>
      <c r="AM34" s="448"/>
      <c r="AN34" s="448"/>
      <c r="AO34" s="467">
        <f t="shared" si="20"/>
        <v>362.04999999999995</v>
      </c>
      <c r="AP34" s="504" t="s">
        <v>329</v>
      </c>
      <c r="AQ34" s="504"/>
    </row>
    <row r="35" spans="1:99" x14ac:dyDescent="0.35">
      <c r="B35" s="487" t="s">
        <v>138</v>
      </c>
      <c r="C35" s="56"/>
      <c r="D35" s="469"/>
      <c r="E35" s="56"/>
      <c r="F35" s="56"/>
      <c r="G35" s="56"/>
      <c r="H35" s="57"/>
      <c r="I35" s="57"/>
      <c r="J35" s="57"/>
      <c r="K35" s="57"/>
      <c r="L35" s="57"/>
      <c r="M35" s="443"/>
      <c r="N35" s="443">
        <f>'ARP Quarterly'!D9</f>
        <v>24.693999999999999</v>
      </c>
      <c r="O35" s="443">
        <f>'ARP Quarterly'!E9</f>
        <v>24.693999999999999</v>
      </c>
      <c r="P35" s="362">
        <f>'ARP Quarterly'!F9</f>
        <v>46.79</v>
      </c>
      <c r="Q35" s="443">
        <f>'ARP Quarterly'!G9</f>
        <v>46.79</v>
      </c>
      <c r="R35" s="443">
        <f>'ARP Quarterly'!H9</f>
        <v>46.79</v>
      </c>
      <c r="S35" s="443">
        <f>'ARP Quarterly'!I9</f>
        <v>46.79</v>
      </c>
      <c r="T35" s="448">
        <f>'ARP Quarterly'!J9</f>
        <v>38.595999999999997</v>
      </c>
      <c r="U35" s="448">
        <f>'ARP Quarterly'!K9</f>
        <v>38.595999999999997</v>
      </c>
      <c r="V35" s="448">
        <f>'ARP Quarterly'!L9</f>
        <v>38.595999999999997</v>
      </c>
      <c r="W35" s="448">
        <f>'ARP Quarterly'!M9</f>
        <v>38.595999999999997</v>
      </c>
      <c r="X35" s="448">
        <f>'ARP Quarterly'!N9</f>
        <v>31.911000000000001</v>
      </c>
      <c r="Y35" s="448">
        <f>'ARP Quarterly'!O9</f>
        <v>31.911000000000001</v>
      </c>
      <c r="Z35" s="448">
        <f>'ARP Quarterly'!P9</f>
        <v>31.911000000000001</v>
      </c>
      <c r="AA35" s="448">
        <f>'ARP Quarterly'!Q9</f>
        <v>31.911000000000001</v>
      </c>
      <c r="AB35" s="448">
        <f>'ARP Quarterly'!R9</f>
        <v>23.099</v>
      </c>
      <c r="AC35" s="448">
        <f>'ARP Quarterly'!S9</f>
        <v>23.099</v>
      </c>
      <c r="AD35" s="448">
        <f>'ARP Quarterly'!T9</f>
        <v>23.099</v>
      </c>
      <c r="AE35" s="448"/>
      <c r="AF35" s="448"/>
      <c r="AG35" s="448"/>
      <c r="AH35" s="448"/>
      <c r="AI35" s="448"/>
      <c r="AJ35" s="448"/>
      <c r="AK35" s="448"/>
      <c r="AL35" s="448"/>
      <c r="AM35" s="448"/>
      <c r="AN35" s="448"/>
      <c r="AO35" s="467">
        <f t="shared" si="20"/>
        <v>113.68849999999999</v>
      </c>
      <c r="AP35" s="443"/>
    </row>
    <row r="36" spans="1:99" x14ac:dyDescent="0.35">
      <c r="B36" s="487" t="s">
        <v>140</v>
      </c>
      <c r="C36" s="56"/>
      <c r="D36" s="469"/>
      <c r="E36" s="56"/>
      <c r="F36" s="56"/>
      <c r="G36" s="56"/>
      <c r="H36" s="57"/>
      <c r="I36" s="57"/>
      <c r="J36" s="57"/>
      <c r="K36" s="57"/>
      <c r="L36" s="57"/>
      <c r="M36" s="443"/>
      <c r="N36" s="443">
        <f>'ARP Quarterly'!D14</f>
        <v>1.1696</v>
      </c>
      <c r="O36" s="443">
        <f>'ARP Quarterly'!E14</f>
        <v>1.5503999999999998</v>
      </c>
      <c r="P36" s="362">
        <f>'ARP Quarterly'!F14</f>
        <v>1.02</v>
      </c>
      <c r="Q36" s="443">
        <f>'ARP Quarterly'!G14</f>
        <v>1.02</v>
      </c>
      <c r="R36" s="443">
        <f>'ARP Quarterly'!H14</f>
        <v>1.02</v>
      </c>
      <c r="S36" s="443">
        <f>'ARP Quarterly'!I14</f>
        <v>1.02</v>
      </c>
      <c r="T36" s="448">
        <f>'ARP Quarterly'!J14</f>
        <v>0</v>
      </c>
      <c r="U36" s="448">
        <f>'ARP Quarterly'!K14</f>
        <v>0</v>
      </c>
      <c r="V36" s="448">
        <f>'ARP Quarterly'!L14</f>
        <v>0</v>
      </c>
      <c r="W36" s="448">
        <f>'ARP Quarterly'!M14</f>
        <v>0</v>
      </c>
      <c r="X36" s="448">
        <f>'ARP Quarterly'!N14</f>
        <v>0</v>
      </c>
      <c r="Y36" s="448">
        <f>'ARP Quarterly'!O14</f>
        <v>0</v>
      </c>
      <c r="Z36" s="448">
        <f>'ARP Quarterly'!P14</f>
        <v>0</v>
      </c>
      <c r="AA36" s="448">
        <f>'ARP Quarterly'!Q14</f>
        <v>0</v>
      </c>
      <c r="AB36" s="448">
        <f>'ARP Quarterly'!R14</f>
        <v>0</v>
      </c>
      <c r="AC36" s="448">
        <f>'ARP Quarterly'!S14</f>
        <v>0</v>
      </c>
      <c r="AD36" s="448">
        <f>'ARP Quarterly'!T14</f>
        <v>0</v>
      </c>
      <c r="AE36" s="448"/>
      <c r="AF36" s="448"/>
      <c r="AG36" s="448"/>
      <c r="AH36" s="448"/>
      <c r="AI36" s="448"/>
      <c r="AJ36" s="448"/>
      <c r="AK36" s="448"/>
      <c r="AL36" s="448"/>
      <c r="AM36" s="448"/>
      <c r="AN36" s="448"/>
      <c r="AO36" s="467">
        <f t="shared" si="20"/>
        <v>1.6999999999999997</v>
      </c>
      <c r="AP36" s="443"/>
    </row>
    <row r="37" spans="1:99" x14ac:dyDescent="0.35">
      <c r="B37" s="487" t="s">
        <v>330</v>
      </c>
      <c r="C37" s="56"/>
      <c r="D37" s="469"/>
      <c r="E37" s="56"/>
      <c r="F37" s="56"/>
      <c r="G37" s="56"/>
      <c r="H37" s="57"/>
      <c r="I37" s="57"/>
      <c r="J37" s="57"/>
      <c r="K37" s="57"/>
      <c r="L37" s="57"/>
      <c r="M37" s="443"/>
      <c r="N37" s="443">
        <f>'ARP Quarterly'!D10</f>
        <v>59.256</v>
      </c>
      <c r="O37" s="443">
        <f>'ARP Quarterly'!E10</f>
        <v>59.256</v>
      </c>
      <c r="P37" s="362">
        <f>'ARP Quarterly'!F10</f>
        <v>35.671000000000006</v>
      </c>
      <c r="Q37" s="443">
        <f>'ARP Quarterly'!G10</f>
        <v>35.671000000000006</v>
      </c>
      <c r="R37" s="443">
        <f>'ARP Quarterly'!H10</f>
        <v>35.671000000000006</v>
      </c>
      <c r="S37" s="443">
        <f>'ARP Quarterly'!I10</f>
        <v>35.671000000000006</v>
      </c>
      <c r="T37" s="448">
        <f>'ARP Quarterly'!J10</f>
        <v>24.216000000000001</v>
      </c>
      <c r="U37" s="448">
        <f>'ARP Quarterly'!K10</f>
        <v>24.216000000000001</v>
      </c>
      <c r="V37" s="448">
        <f>'ARP Quarterly'!L10</f>
        <v>24.216000000000001</v>
      </c>
      <c r="W37" s="448">
        <f>'ARP Quarterly'!M10</f>
        <v>24.216000000000001</v>
      </c>
      <c r="X37" s="448">
        <f>'ARP Quarterly'!N10</f>
        <v>9.6430000000000007</v>
      </c>
      <c r="Y37" s="448">
        <f>'ARP Quarterly'!O10</f>
        <v>9.6430000000000007</v>
      </c>
      <c r="Z37" s="448">
        <f>'ARP Quarterly'!P10</f>
        <v>9.6430000000000007</v>
      </c>
      <c r="AA37" s="448">
        <f>'ARP Quarterly'!Q10</f>
        <v>9.6430000000000007</v>
      </c>
      <c r="AB37" s="448">
        <f>'ARP Quarterly'!R10</f>
        <v>4.5789999999999997</v>
      </c>
      <c r="AC37" s="448">
        <f>'ARP Quarterly'!S10</f>
        <v>4.5789999999999997</v>
      </c>
      <c r="AD37" s="448">
        <f>'ARP Quarterly'!T10</f>
        <v>4.5789999999999997</v>
      </c>
      <c r="AE37" s="448"/>
      <c r="AF37" s="448"/>
      <c r="AG37" s="448"/>
      <c r="AH37" s="448"/>
      <c r="AI37" s="448"/>
      <c r="AJ37" s="448"/>
      <c r="AK37" s="448"/>
      <c r="AL37" s="448"/>
      <c r="AM37" s="448"/>
      <c r="AN37" s="448"/>
      <c r="AO37" s="467">
        <f>SUM(I37:Y37)/4</f>
        <v>94.336500000000001</v>
      </c>
      <c r="AP37" s="443"/>
    </row>
    <row r="38" spans="1:99" x14ac:dyDescent="0.35">
      <c r="A38" s="9"/>
      <c r="B38" s="499"/>
      <c r="C38" s="496"/>
      <c r="D38" s="494"/>
      <c r="E38" s="496"/>
      <c r="F38" s="496"/>
      <c r="G38" s="496"/>
      <c r="H38" s="501"/>
      <c r="I38" s="501"/>
      <c r="J38" s="501"/>
      <c r="K38" s="501"/>
      <c r="L38" s="501"/>
      <c r="M38" s="444"/>
      <c r="N38" s="444"/>
      <c r="O38" s="444"/>
      <c r="P38" s="441"/>
      <c r="Q38" s="444"/>
      <c r="R38" s="444"/>
      <c r="S38" s="444"/>
      <c r="T38" s="505"/>
      <c r="U38" s="505"/>
      <c r="V38" s="505"/>
      <c r="W38" s="505"/>
      <c r="X38" s="505"/>
      <c r="Y38" s="505"/>
      <c r="Z38" s="505"/>
      <c r="AA38" s="505"/>
      <c r="AB38" s="505"/>
      <c r="AC38" s="505"/>
      <c r="AD38" s="505"/>
      <c r="AE38" s="505"/>
      <c r="AF38" s="505"/>
      <c r="AG38" s="505"/>
      <c r="AH38" s="505"/>
      <c r="AI38" s="505"/>
      <c r="AJ38" s="505"/>
      <c r="AK38" s="505"/>
      <c r="AL38" s="505"/>
      <c r="AM38" s="505"/>
      <c r="AN38" s="505"/>
      <c r="AO38" s="516"/>
      <c r="AP38" s="443"/>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row>
    <row r="39" spans="1:99" x14ac:dyDescent="0.35">
      <c r="B39" s="457"/>
      <c r="C39" s="56"/>
      <c r="D39" s="56"/>
      <c r="E39" s="56"/>
      <c r="F39" s="56"/>
      <c r="G39" s="56"/>
      <c r="H39" s="56"/>
      <c r="I39" s="56"/>
      <c r="J39" s="56"/>
      <c r="K39" s="56"/>
      <c r="L39" s="56"/>
      <c r="M39" s="56"/>
      <c r="N39" s="56"/>
      <c r="O39" s="56"/>
      <c r="P39" s="489"/>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7"/>
      <c r="C40" s="56"/>
      <c r="D40" s="56"/>
      <c r="E40" s="56"/>
      <c r="F40" s="56"/>
      <c r="G40" s="56"/>
      <c r="H40" s="56"/>
      <c r="I40" s="56"/>
      <c r="J40" s="56"/>
      <c r="K40" s="56"/>
      <c r="L40" s="56"/>
      <c r="M40" s="56"/>
      <c r="N40" s="56"/>
      <c r="O40" s="56"/>
      <c r="P40" s="489"/>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6" t="s">
        <v>331</v>
      </c>
      <c r="H41" s="57"/>
      <c r="I41" s="57"/>
      <c r="J41" s="57"/>
      <c r="K41" s="57"/>
      <c r="L41" s="57"/>
      <c r="M41" s="57"/>
      <c r="N41" s="57"/>
      <c r="O41" s="57"/>
      <c r="P41" s="366"/>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4" t="s">
        <v>332</v>
      </c>
      <c r="C42" s="525" t="s">
        <v>333</v>
      </c>
      <c r="D42" s="526" t="s">
        <v>334</v>
      </c>
      <c r="E42" s="511" t="s">
        <v>335</v>
      </c>
      <c r="F42" s="57"/>
      <c r="G42" s="57"/>
      <c r="H42" s="57"/>
      <c r="I42" s="57"/>
      <c r="J42" s="57"/>
      <c r="K42" s="57"/>
      <c r="L42" s="57"/>
      <c r="M42" s="57"/>
      <c r="N42" s="57"/>
      <c r="O42" s="57"/>
      <c r="P42" s="366"/>
      <c r="Q42" s="57"/>
      <c r="R42" s="57"/>
      <c r="S42" s="57"/>
      <c r="T42" s="57"/>
      <c r="U42" s="57"/>
      <c r="V42" s="57"/>
      <c r="W42" s="57"/>
    </row>
    <row r="43" spans="1:99" ht="18.75" customHeight="1" x14ac:dyDescent="0.35">
      <c r="B43" s="530" t="s">
        <v>336</v>
      </c>
      <c r="C43" s="502">
        <f>SUM(C44:C49)</f>
        <v>898.11599999999999</v>
      </c>
      <c r="D43" s="57">
        <f>SUM(D44:D48)</f>
        <v>202.36666666666667</v>
      </c>
      <c r="E43" s="473">
        <f>SUM(E44:E48)</f>
        <v>650.35233333333326</v>
      </c>
      <c r="F43" s="57"/>
      <c r="G43" s="57"/>
      <c r="H43" s="57"/>
      <c r="I43" s="57"/>
      <c r="J43" s="57"/>
      <c r="K43" s="57"/>
      <c r="L43" s="57"/>
      <c r="M43" s="57"/>
      <c r="N43" s="57"/>
      <c r="O43" s="57"/>
      <c r="P43" s="366"/>
      <c r="Q43" s="57"/>
      <c r="R43" s="57"/>
      <c r="S43" s="57"/>
      <c r="T43" s="57"/>
      <c r="U43" s="57"/>
      <c r="V43" s="57"/>
      <c r="W43" s="57"/>
    </row>
    <row r="44" spans="1:99" x14ac:dyDescent="0.35">
      <c r="B44" s="529" t="s">
        <v>137</v>
      </c>
      <c r="C44" s="502">
        <f>C53</f>
        <v>150</v>
      </c>
      <c r="D44" s="57">
        <f>SUM(H12:M12)/4</f>
        <v>149.47499999999999</v>
      </c>
      <c r="E44" s="467">
        <f>C44-D44</f>
        <v>0.52500000000000568</v>
      </c>
      <c r="F44" s="57"/>
      <c r="G44" s="57"/>
      <c r="H44" s="57"/>
      <c r="I44" s="492"/>
      <c r="J44" s="492"/>
      <c r="K44" s="492"/>
      <c r="L44" s="492"/>
      <c r="M44" s="492"/>
      <c r="N44" s="492"/>
      <c r="O44" s="492"/>
      <c r="P44" s="536"/>
      <c r="Q44" s="57"/>
      <c r="R44" s="57"/>
      <c r="S44" s="57"/>
      <c r="T44" s="57"/>
      <c r="U44" s="57"/>
      <c r="V44" s="57"/>
      <c r="W44" s="57"/>
    </row>
    <row r="45" spans="1:99" x14ac:dyDescent="0.35">
      <c r="B45" s="529" t="s">
        <v>138</v>
      </c>
      <c r="C45" s="531">
        <f>C54+C58+C64</f>
        <v>273.16899999999998</v>
      </c>
      <c r="D45" s="57">
        <f>SUM(H13:M13)/4</f>
        <v>22.075000000000003</v>
      </c>
      <c r="E45" s="467">
        <f>C45-D45</f>
        <v>251.09399999999999</v>
      </c>
      <c r="F45" s="57"/>
      <c r="G45" s="57"/>
      <c r="H45" s="57"/>
      <c r="I45" s="492"/>
      <c r="J45" s="492"/>
      <c r="K45" s="492"/>
      <c r="L45" s="492"/>
      <c r="M45" s="492"/>
      <c r="N45" s="492"/>
      <c r="O45" s="492"/>
      <c r="P45" s="536"/>
      <c r="Q45" s="57"/>
      <c r="R45" s="57"/>
      <c r="S45" s="57"/>
      <c r="T45" s="57"/>
      <c r="U45" s="57"/>
      <c r="V45" s="57"/>
      <c r="W45" s="57"/>
    </row>
    <row r="46" spans="1:99" x14ac:dyDescent="0.35">
      <c r="B46" s="529" t="s">
        <v>140</v>
      </c>
      <c r="C46" s="391">
        <f>C55+C65+C59</f>
        <v>38.5</v>
      </c>
      <c r="D46" s="57">
        <f>SUM(H14:M14)/4</f>
        <v>28.400000000000002</v>
      </c>
      <c r="E46" s="467">
        <f>C46-D46</f>
        <v>10.099999999999998</v>
      </c>
      <c r="F46" s="57"/>
      <c r="G46" s="57"/>
      <c r="H46" s="57"/>
      <c r="I46" s="492"/>
      <c r="J46" s="492"/>
      <c r="K46" s="492"/>
      <c r="L46" s="492"/>
      <c r="M46" s="492"/>
      <c r="N46" s="492"/>
      <c r="O46" s="492"/>
      <c r="P46" s="536"/>
      <c r="Q46" s="1434"/>
      <c r="R46" s="1434"/>
      <c r="S46" s="1434"/>
      <c r="T46" s="1434"/>
      <c r="U46" s="1434"/>
      <c r="V46" s="1434"/>
      <c r="W46" s="1434"/>
      <c r="X46" s="1434"/>
      <c r="Y46" s="1434"/>
      <c r="Z46" s="1434"/>
      <c r="AA46" s="1434"/>
      <c r="AB46" s="1434"/>
      <c r="AC46" s="1434"/>
      <c r="AD46" s="1434"/>
      <c r="AE46" s="1434"/>
      <c r="AF46" s="1434"/>
      <c r="AG46" s="1434"/>
      <c r="AH46" s="1434"/>
      <c r="AI46" s="1434"/>
      <c r="AJ46" s="1434"/>
      <c r="AK46" s="1434"/>
      <c r="AL46" s="1434"/>
      <c r="AM46" s="1434"/>
      <c r="AN46" s="1434"/>
      <c r="AO46" s="1434"/>
      <c r="AP46" s="1434"/>
      <c r="AQ46" s="1434"/>
      <c r="AR46" s="1434"/>
      <c r="AS46" s="1434"/>
    </row>
    <row r="47" spans="1:99" ht="17.25" customHeight="1" x14ac:dyDescent="0.35">
      <c r="B47" s="529" t="s">
        <v>337</v>
      </c>
      <c r="C47" s="391">
        <f>C57</f>
        <v>29</v>
      </c>
      <c r="D47" s="57">
        <f>SUM(H15:M15)/4</f>
        <v>2.4166666666666665</v>
      </c>
      <c r="E47" s="467">
        <f>C47-D47</f>
        <v>26.583333333333332</v>
      </c>
      <c r="F47" s="57"/>
      <c r="G47" s="57"/>
      <c r="H47" s="57"/>
      <c r="I47" s="492"/>
      <c r="J47" s="492"/>
      <c r="K47" s="492"/>
      <c r="L47" s="492"/>
      <c r="M47" s="492"/>
      <c r="N47" s="492"/>
      <c r="O47" s="492"/>
      <c r="P47" s="536"/>
      <c r="Q47" s="1435"/>
      <c r="R47" s="1435"/>
      <c r="S47" s="1435"/>
      <c r="T47" s="1435"/>
      <c r="U47" s="1435"/>
      <c r="V47" s="1435"/>
      <c r="W47" s="1435"/>
      <c r="X47" s="1435"/>
      <c r="Y47" s="1435"/>
      <c r="Z47" s="265"/>
      <c r="AA47" s="265"/>
      <c r="AB47" s="265"/>
      <c r="AC47" s="265"/>
      <c r="AD47" s="265"/>
      <c r="AE47" s="265"/>
      <c r="AF47" s="265"/>
      <c r="AG47" s="265"/>
      <c r="AH47" s="265"/>
      <c r="AI47" s="265"/>
      <c r="AJ47" s="265"/>
      <c r="AK47" s="265"/>
      <c r="AL47" s="265"/>
      <c r="AM47" s="265"/>
      <c r="AN47" s="265"/>
      <c r="AO47" s="1435"/>
      <c r="AP47" s="1435"/>
      <c r="AQ47" s="1435"/>
      <c r="AR47" s="1435"/>
      <c r="AS47" s="265"/>
    </row>
    <row r="48" spans="1:99" ht="15.75" customHeight="1" x14ac:dyDescent="0.35">
      <c r="B48" s="529" t="s">
        <v>314</v>
      </c>
      <c r="C48" s="391">
        <f>C63</f>
        <v>362.04999999999995</v>
      </c>
      <c r="D48" s="57">
        <v>0</v>
      </c>
      <c r="E48" s="467">
        <f>C48-D48</f>
        <v>362.04999999999995</v>
      </c>
      <c r="F48" s="57"/>
      <c r="G48" s="57"/>
      <c r="H48" s="57"/>
      <c r="I48" s="492"/>
      <c r="J48" s="492"/>
      <c r="K48" s="492"/>
      <c r="L48" s="492"/>
      <c r="M48" s="492"/>
      <c r="N48" s="492"/>
      <c r="O48" s="492"/>
      <c r="P48" s="536"/>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row>
    <row r="49" spans="1:23" ht="15" customHeight="1" x14ac:dyDescent="0.35">
      <c r="B49" s="528" t="s">
        <v>338</v>
      </c>
      <c r="C49" s="502">
        <f>C66+C67+C60+C61</f>
        <v>45.396999999999998</v>
      </c>
      <c r="D49" s="57"/>
      <c r="E49" s="467"/>
      <c r="F49" s="57"/>
      <c r="G49" s="57"/>
      <c r="H49" s="57"/>
      <c r="I49" s="492"/>
      <c r="J49" s="492"/>
      <c r="K49" s="492"/>
      <c r="L49" s="492"/>
      <c r="M49" s="492"/>
      <c r="N49" s="492"/>
      <c r="O49" s="492"/>
      <c r="P49" s="536"/>
      <c r="Q49" s="57"/>
      <c r="R49" s="57"/>
      <c r="S49" s="57"/>
      <c r="T49" s="57"/>
      <c r="U49" s="57"/>
      <c r="V49" s="57"/>
      <c r="W49" s="57"/>
    </row>
    <row r="50" spans="1:23" ht="5.25" customHeight="1" x14ac:dyDescent="0.35">
      <c r="B50" s="528"/>
      <c r="C50" s="502"/>
      <c r="D50" s="57"/>
      <c r="E50" s="467"/>
      <c r="F50" s="57"/>
      <c r="G50" s="57"/>
      <c r="H50" s="57"/>
      <c r="I50" s="492"/>
      <c r="J50" s="492"/>
      <c r="K50" s="492"/>
      <c r="L50" s="492"/>
      <c r="M50" s="492"/>
      <c r="N50" s="492"/>
      <c r="O50" s="492"/>
      <c r="P50" s="536"/>
      <c r="Q50" s="57"/>
      <c r="R50" s="57"/>
      <c r="S50" s="57"/>
      <c r="T50" s="57"/>
      <c r="U50" s="57"/>
      <c r="V50" s="57"/>
      <c r="W50" s="57"/>
    </row>
    <row r="51" spans="1:23" ht="18.75" customHeight="1" x14ac:dyDescent="0.35">
      <c r="B51" s="530" t="s">
        <v>339</v>
      </c>
      <c r="C51" s="391">
        <f>C52+C56+C62</f>
        <v>898.11599999999999</v>
      </c>
      <c r="D51" s="57"/>
      <c r="E51" s="467"/>
      <c r="F51" s="57"/>
      <c r="G51" s="57"/>
      <c r="H51" s="57"/>
      <c r="I51" s="492"/>
      <c r="J51" s="492"/>
      <c r="K51" s="492"/>
      <c r="L51" s="492"/>
      <c r="M51" s="492"/>
      <c r="N51" s="492"/>
      <c r="O51" s="492"/>
      <c r="P51" s="536"/>
      <c r="Q51" s="57"/>
      <c r="R51" s="57"/>
      <c r="S51" s="57"/>
      <c r="T51" s="57"/>
      <c r="U51" s="57"/>
      <c r="V51" s="57"/>
      <c r="W51" s="57"/>
    </row>
    <row r="52" spans="1:23" ht="16.399999999999999" customHeight="1" x14ac:dyDescent="0.35">
      <c r="B52" s="521" t="s">
        <v>320</v>
      </c>
      <c r="C52" s="391">
        <f>SUM(C53:C55)</f>
        <v>199</v>
      </c>
      <c r="D52" s="57"/>
      <c r="E52" s="467"/>
      <c r="F52" s="57"/>
      <c r="G52" s="57"/>
      <c r="H52" s="57"/>
      <c r="I52" s="492"/>
      <c r="J52" s="492"/>
      <c r="K52" s="492"/>
      <c r="L52" s="492"/>
      <c r="M52" s="492"/>
      <c r="N52" s="492"/>
      <c r="O52" s="492"/>
      <c r="P52" s="536"/>
      <c r="Q52" s="57"/>
      <c r="R52" s="57"/>
      <c r="S52" s="57"/>
      <c r="T52" s="57"/>
      <c r="U52" s="57"/>
      <c r="V52" s="57"/>
      <c r="W52" s="57"/>
    </row>
    <row r="53" spans="1:23" ht="20.9" customHeight="1" x14ac:dyDescent="0.35">
      <c r="B53" s="487" t="s">
        <v>137</v>
      </c>
      <c r="C53" s="391">
        <v>150</v>
      </c>
      <c r="D53" s="57"/>
      <c r="E53" s="467"/>
      <c r="F53" s="57"/>
      <c r="G53" s="57"/>
      <c r="H53" s="57"/>
      <c r="I53" s="492"/>
      <c r="J53" s="492"/>
      <c r="K53" s="492"/>
      <c r="L53" s="492"/>
      <c r="M53" s="492"/>
      <c r="N53" s="492"/>
      <c r="O53" s="492"/>
      <c r="P53" s="536"/>
      <c r="Q53" s="57"/>
      <c r="R53" s="57"/>
      <c r="S53" s="57"/>
      <c r="T53" s="57"/>
      <c r="U53" s="57"/>
      <c r="V53" s="57"/>
      <c r="W53" s="57"/>
    </row>
    <row r="54" spans="1:23" ht="16.5" customHeight="1" x14ac:dyDescent="0.35">
      <c r="B54" s="487" t="s">
        <v>138</v>
      </c>
      <c r="C54" s="531">
        <v>22</v>
      </c>
      <c r="D54" s="365"/>
      <c r="E54" s="467"/>
      <c r="F54" s="57"/>
      <c r="G54" s="57"/>
      <c r="H54" s="57"/>
      <c r="I54" s="492"/>
      <c r="J54" s="492"/>
      <c r="K54" s="492"/>
      <c r="L54" s="492"/>
      <c r="M54" s="492"/>
      <c r="N54" s="492"/>
      <c r="O54" s="492"/>
      <c r="P54" s="536"/>
      <c r="Q54" s="57"/>
      <c r="R54" s="57"/>
      <c r="S54" s="57"/>
      <c r="T54" s="57"/>
      <c r="U54" s="57"/>
      <c r="V54" s="57"/>
      <c r="W54" s="57"/>
    </row>
    <row r="55" spans="1:23" x14ac:dyDescent="0.35">
      <c r="B55" s="487" t="s">
        <v>140</v>
      </c>
      <c r="C55" s="391">
        <v>27</v>
      </c>
      <c r="D55" s="57"/>
      <c r="E55" s="467"/>
      <c r="F55" s="56"/>
      <c r="G55" s="57"/>
      <c r="H55" s="57"/>
      <c r="I55" s="492"/>
      <c r="J55" s="492"/>
      <c r="K55" s="492"/>
      <c r="L55" s="492"/>
      <c r="M55" s="492"/>
      <c r="N55" s="492"/>
      <c r="P55" s="536"/>
      <c r="Q55" s="57"/>
      <c r="R55" s="57"/>
      <c r="S55" s="57"/>
      <c r="T55" s="57"/>
      <c r="U55" s="57"/>
      <c r="V55" s="57"/>
      <c r="W55" s="57"/>
    </row>
    <row r="56" spans="1:23" ht="15" customHeight="1" x14ac:dyDescent="0.35">
      <c r="B56" s="521" t="s">
        <v>322</v>
      </c>
      <c r="C56" s="391">
        <f>SUM(C57:C61)</f>
        <v>150</v>
      </c>
      <c r="D56" s="57"/>
      <c r="E56" s="467"/>
      <c r="F56" s="57"/>
      <c r="G56" s="57"/>
      <c r="H56" s="57"/>
      <c r="I56" s="57"/>
      <c r="J56" s="57"/>
      <c r="K56" s="57"/>
      <c r="L56" s="57"/>
      <c r="M56" s="57"/>
      <c r="N56" s="57"/>
      <c r="P56" s="366"/>
      <c r="Q56" s="57"/>
      <c r="R56" s="57"/>
      <c r="S56" s="57"/>
      <c r="T56" s="57"/>
      <c r="U56" s="57"/>
      <c r="V56" s="57"/>
      <c r="W56" s="57"/>
    </row>
    <row r="57" spans="1:23" ht="17.25" customHeight="1" x14ac:dyDescent="0.35">
      <c r="B57" s="487" t="s">
        <v>309</v>
      </c>
      <c r="C57" s="391">
        <f>'Response and Relief Act Score'!F7</f>
        <v>29</v>
      </c>
      <c r="D57" s="57"/>
      <c r="E57" s="467"/>
      <c r="F57" s="57"/>
      <c r="G57" s="57"/>
      <c r="H57" s="57"/>
      <c r="I57" s="57"/>
    </row>
    <row r="58" spans="1:23" x14ac:dyDescent="0.35">
      <c r="B58" s="487" t="s">
        <v>138</v>
      </c>
      <c r="C58" s="391">
        <f>'Response and Relief Act Score'!F5</f>
        <v>82</v>
      </c>
      <c r="D58" s="57"/>
      <c r="E58" s="467"/>
      <c r="F58" s="57"/>
      <c r="G58" s="57"/>
      <c r="H58" s="57"/>
      <c r="I58" s="57"/>
      <c r="J58" s="57"/>
      <c r="K58" s="57"/>
      <c r="L58" s="57"/>
      <c r="M58" s="57"/>
      <c r="N58" s="57"/>
      <c r="P58" s="366"/>
      <c r="Q58" s="57"/>
      <c r="R58" s="57"/>
      <c r="S58" s="57"/>
      <c r="T58" s="57"/>
      <c r="U58" s="57"/>
      <c r="V58" s="57"/>
      <c r="W58" s="57"/>
    </row>
    <row r="59" spans="1:23" x14ac:dyDescent="0.35">
      <c r="B59" s="487" t="s">
        <v>140</v>
      </c>
      <c r="C59" s="391">
        <f>'Response and Relief Act Score'!F6</f>
        <v>3</v>
      </c>
      <c r="D59" s="57"/>
      <c r="E59" s="467"/>
      <c r="F59" s="57"/>
      <c r="G59" s="57"/>
      <c r="H59" s="57"/>
      <c r="I59" s="57"/>
      <c r="J59" s="57"/>
      <c r="K59" s="57"/>
      <c r="L59" s="57"/>
      <c r="M59" s="57"/>
      <c r="N59" s="57"/>
      <c r="P59" s="366"/>
      <c r="Q59" s="57"/>
      <c r="R59" s="57"/>
      <c r="S59" s="57"/>
      <c r="T59" s="57"/>
      <c r="U59" s="57"/>
      <c r="V59" s="57"/>
      <c r="W59" s="57"/>
    </row>
    <row r="60" spans="1:23" ht="29.25" customHeight="1" x14ac:dyDescent="0.35">
      <c r="B60" s="487" t="s">
        <v>325</v>
      </c>
      <c r="C60" s="391">
        <f>'Response and Relief Act Score'!F9</f>
        <v>34</v>
      </c>
      <c r="D60" s="57"/>
      <c r="E60" s="467"/>
      <c r="F60" s="57"/>
      <c r="G60" s="57"/>
      <c r="H60" s="57"/>
      <c r="I60" s="507"/>
      <c r="J60" s="57"/>
      <c r="K60" s="57"/>
      <c r="L60" s="57"/>
      <c r="M60" s="57"/>
      <c r="N60" s="57"/>
      <c r="O60" s="492"/>
      <c r="P60" s="366"/>
      <c r="Q60" s="57"/>
      <c r="R60" s="57"/>
      <c r="S60" s="57"/>
      <c r="T60" s="57"/>
      <c r="U60" s="57"/>
      <c r="V60" s="57"/>
      <c r="W60" s="57"/>
    </row>
    <row r="61" spans="1:23" ht="12.75" customHeight="1" x14ac:dyDescent="0.35">
      <c r="B61" s="487" t="s">
        <v>326</v>
      </c>
      <c r="C61" s="391">
        <f>'Response and Relief Act Score'!F8</f>
        <v>2</v>
      </c>
      <c r="D61" s="57"/>
      <c r="E61" s="467"/>
      <c r="F61" s="57"/>
      <c r="G61" s="57"/>
      <c r="H61" s="57"/>
      <c r="I61" s="57"/>
      <c r="J61" s="57"/>
      <c r="K61" s="57"/>
      <c r="L61" s="57"/>
      <c r="M61" s="57"/>
      <c r="N61" s="57"/>
      <c r="O61" s="57"/>
      <c r="P61" s="366"/>
      <c r="Q61" s="57"/>
      <c r="R61" s="57"/>
      <c r="S61" s="57"/>
      <c r="T61" s="57"/>
      <c r="U61" s="57"/>
      <c r="V61" s="57"/>
      <c r="W61" s="57"/>
    </row>
    <row r="62" spans="1:23" x14ac:dyDescent="0.35">
      <c r="A62" s="498"/>
      <c r="B62" s="495" t="s">
        <v>327</v>
      </c>
      <c r="C62" s="502">
        <f>SUM(C63:C67)</f>
        <v>549.11599999999999</v>
      </c>
      <c r="D62" s="57"/>
      <c r="E62" s="467"/>
      <c r="F62" s="57"/>
      <c r="G62" s="57"/>
      <c r="H62" s="57"/>
      <c r="I62" s="57"/>
      <c r="J62" s="57"/>
      <c r="K62" s="57"/>
      <c r="L62" s="57"/>
      <c r="M62" s="57"/>
      <c r="N62" s="57"/>
      <c r="P62" s="366"/>
      <c r="Q62" s="57"/>
      <c r="R62" s="57"/>
      <c r="S62" s="57"/>
      <c r="T62" s="57"/>
      <c r="U62" s="57"/>
      <c r="V62" s="57"/>
      <c r="W62" s="57"/>
    </row>
    <row r="63" spans="1:23" ht="16.399999999999999" customHeight="1" x14ac:dyDescent="0.35">
      <c r="A63" s="498"/>
      <c r="B63" s="497" t="s">
        <v>314</v>
      </c>
      <c r="C63" s="502">
        <f>'ARP Score'!AJ16</f>
        <v>362.04999999999995</v>
      </c>
      <c r="D63" s="57"/>
      <c r="E63" s="467"/>
      <c r="F63" s="57"/>
      <c r="G63" s="57"/>
      <c r="H63" s="57"/>
      <c r="I63" s="57"/>
      <c r="J63" s="57"/>
      <c r="K63" s="57"/>
      <c r="L63" s="57"/>
      <c r="M63" s="57"/>
      <c r="N63" s="57"/>
      <c r="O63" s="57"/>
      <c r="P63" s="366"/>
      <c r="Q63" s="57"/>
      <c r="R63" s="57"/>
      <c r="S63" s="57"/>
      <c r="T63" s="57"/>
      <c r="U63" s="57"/>
      <c r="V63" s="57"/>
      <c r="W63" s="57"/>
    </row>
    <row r="64" spans="1:23" ht="15" customHeight="1" x14ac:dyDescent="0.35">
      <c r="A64" s="1431"/>
      <c r="B64" s="497" t="s">
        <v>138</v>
      </c>
      <c r="C64" s="502">
        <f>'ARP Score'!AL16</f>
        <v>169.16899999999998</v>
      </c>
      <c r="D64" s="57"/>
      <c r="E64" s="467"/>
      <c r="F64" s="57"/>
      <c r="G64" s="57"/>
      <c r="H64" s="57"/>
      <c r="I64" s="57"/>
      <c r="J64" s="57"/>
      <c r="K64" s="57"/>
      <c r="L64" s="57"/>
      <c r="M64" s="57"/>
      <c r="N64" s="57"/>
      <c r="O64" s="57"/>
      <c r="P64" s="366"/>
      <c r="Q64" s="500"/>
      <c r="R64" s="57"/>
      <c r="S64" s="57"/>
      <c r="T64" s="57"/>
      <c r="U64" s="57"/>
      <c r="V64" s="57"/>
      <c r="W64" s="57"/>
    </row>
    <row r="65" spans="1:42" x14ac:dyDescent="0.35">
      <c r="A65" s="1431"/>
      <c r="B65" s="497" t="s">
        <v>140</v>
      </c>
      <c r="C65" s="502">
        <f>'ARP Score'!AK16</f>
        <v>8.5</v>
      </c>
      <c r="D65" s="57"/>
      <c r="E65" s="467"/>
      <c r="F65" s="57"/>
      <c r="G65" s="57"/>
      <c r="H65" s="57"/>
      <c r="I65" s="57"/>
      <c r="J65" s="57"/>
      <c r="K65" s="57"/>
      <c r="L65" s="57"/>
      <c r="M65" s="57"/>
      <c r="N65" s="57"/>
      <c r="O65" s="57"/>
      <c r="P65" s="366"/>
      <c r="Q65" s="57"/>
      <c r="R65" s="57"/>
      <c r="S65" s="57"/>
      <c r="T65" s="57"/>
      <c r="U65" s="57"/>
      <c r="V65" s="57"/>
      <c r="W65" s="57"/>
    </row>
    <row r="66" spans="1:42" ht="17.25" customHeight="1" x14ac:dyDescent="0.35">
      <c r="A66" s="498"/>
      <c r="B66" s="497" t="s">
        <v>330</v>
      </c>
      <c r="C66" s="502">
        <f>'ARP Score'!AM16</f>
        <v>0.79700000000000004</v>
      </c>
      <c r="D66" s="57"/>
      <c r="E66" s="467"/>
      <c r="F66" s="57"/>
      <c r="G66" s="57"/>
      <c r="H66" s="57"/>
      <c r="I66" s="57"/>
      <c r="J66" s="57"/>
      <c r="K66" s="57"/>
      <c r="L66" s="57"/>
      <c r="M66" s="57"/>
      <c r="N66" s="57"/>
      <c r="O66" s="57"/>
      <c r="P66" s="366"/>
      <c r="Q66" s="57"/>
      <c r="R66" s="57"/>
      <c r="S66" s="57"/>
      <c r="T66" s="57"/>
      <c r="U66" s="57"/>
      <c r="V66" s="57"/>
      <c r="W66" s="57"/>
    </row>
    <row r="67" spans="1:42" ht="17.25" customHeight="1" x14ac:dyDescent="0.35">
      <c r="A67" s="498"/>
      <c r="B67" s="499" t="s">
        <v>340</v>
      </c>
      <c r="C67" s="503">
        <f>'ARP Score'!AN16</f>
        <v>8.6</v>
      </c>
      <c r="D67" s="501"/>
      <c r="E67" s="490"/>
      <c r="F67" s="57"/>
      <c r="G67" s="57"/>
      <c r="H67" s="57"/>
      <c r="I67" s="57"/>
      <c r="J67" s="57"/>
      <c r="K67" s="57"/>
      <c r="L67" s="57"/>
      <c r="M67" s="57"/>
      <c r="N67" s="57"/>
      <c r="O67" s="57"/>
      <c r="P67" s="366"/>
      <c r="Q67" s="57"/>
      <c r="R67" s="57"/>
      <c r="S67" s="57"/>
      <c r="T67" s="57"/>
      <c r="U67" s="57"/>
      <c r="V67" s="57"/>
      <c r="W67" s="57"/>
    </row>
    <row r="68" spans="1:42" ht="17.25" customHeight="1" x14ac:dyDescent="0.35">
      <c r="B68" s="497"/>
      <c r="C68" s="75"/>
      <c r="D68" s="75"/>
      <c r="E68" s="75"/>
      <c r="F68" s="75"/>
      <c r="G68" s="75"/>
      <c r="H68" s="57"/>
      <c r="I68" s="57"/>
      <c r="J68" s="57"/>
      <c r="K68" s="57"/>
      <c r="L68" s="57"/>
      <c r="M68" s="57"/>
      <c r="N68" s="57"/>
      <c r="O68" s="57"/>
      <c r="P68" s="366"/>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8" t="s">
        <v>341</v>
      </c>
      <c r="C69" s="75"/>
      <c r="D69" s="75"/>
      <c r="E69" s="75"/>
      <c r="F69" s="75"/>
      <c r="G69" s="75"/>
      <c r="H69" s="57"/>
      <c r="I69" s="57"/>
      <c r="J69" s="57"/>
      <c r="K69" s="57"/>
      <c r="L69" s="57"/>
      <c r="M69" s="57"/>
      <c r="N69" s="57"/>
      <c r="O69" s="57"/>
      <c r="P69" s="366"/>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89" t="s">
        <v>342</v>
      </c>
      <c r="C70" s="1390"/>
      <c r="D70" s="1409" t="s">
        <v>246</v>
      </c>
      <c r="E70" s="1410"/>
      <c r="F70" s="1410"/>
      <c r="G70" s="1410"/>
      <c r="H70" s="1410"/>
      <c r="I70" s="1410"/>
      <c r="J70" s="1410"/>
      <c r="K70" s="1410"/>
      <c r="L70" s="1410"/>
      <c r="M70" s="1410"/>
      <c r="N70" s="1410"/>
      <c r="O70" s="1410"/>
      <c r="P70" s="1410"/>
      <c r="Q70" s="1410"/>
      <c r="R70" s="1410"/>
      <c r="S70" s="1410"/>
      <c r="T70" s="1410"/>
      <c r="U70" s="1410"/>
      <c r="V70" s="1410"/>
      <c r="W70" s="1410"/>
      <c r="X70" s="1410"/>
      <c r="Y70" s="1410"/>
      <c r="Z70" s="1410"/>
      <c r="AA70" s="1411"/>
      <c r="AB70" s="1440" t="s">
        <v>247</v>
      </c>
      <c r="AC70" s="1441"/>
      <c r="AD70" s="1441"/>
      <c r="AE70" s="1441"/>
      <c r="AF70" s="1441"/>
      <c r="AG70" s="1441"/>
      <c r="AH70" s="1441"/>
      <c r="AI70" s="1441"/>
      <c r="AJ70" s="1441"/>
      <c r="AK70" s="1441"/>
      <c r="AL70" s="1441"/>
      <c r="AM70" s="1441"/>
      <c r="AN70" s="1442"/>
      <c r="AO70" s="429"/>
      <c r="AP70" s="429"/>
    </row>
    <row r="71" spans="1:42" x14ac:dyDescent="0.35">
      <c r="B71" s="1391"/>
      <c r="C71" s="1392"/>
      <c r="D71" s="249">
        <v>2018</v>
      </c>
      <c r="E71" s="1398">
        <v>2019</v>
      </c>
      <c r="F71" s="1415"/>
      <c r="G71" s="1415"/>
      <c r="H71" s="1400"/>
      <c r="I71" s="1398">
        <v>2020</v>
      </c>
      <c r="J71" s="1415"/>
      <c r="K71" s="1415"/>
      <c r="L71" s="1415"/>
      <c r="M71" s="1398">
        <v>2021</v>
      </c>
      <c r="N71" s="1415"/>
      <c r="O71" s="1415"/>
      <c r="P71" s="1415"/>
      <c r="Q71" s="1417">
        <v>2022</v>
      </c>
      <c r="R71" s="1418"/>
      <c r="S71" s="277"/>
      <c r="T71" s="277"/>
      <c r="U71" s="1398">
        <v>2023</v>
      </c>
      <c r="V71" s="1399"/>
      <c r="W71" s="1399"/>
      <c r="X71" s="1400"/>
      <c r="Y71" s="277"/>
      <c r="Z71" s="282">
        <v>2024</v>
      </c>
      <c r="AA71" s="282"/>
      <c r="AB71" s="431"/>
      <c r="AC71" s="1412">
        <v>2025</v>
      </c>
      <c r="AD71" s="1424"/>
      <c r="AE71" s="1424"/>
      <c r="AF71" s="1414"/>
      <c r="AG71" s="1412">
        <v>2026</v>
      </c>
      <c r="AH71" s="1424"/>
      <c r="AI71" s="1424"/>
      <c r="AJ71" s="1414"/>
      <c r="AK71" s="1412">
        <v>2027</v>
      </c>
      <c r="AL71" s="1424"/>
      <c r="AM71" s="1424"/>
      <c r="AN71" s="1414"/>
      <c r="AO71" s="268"/>
      <c r="AP71" s="268"/>
    </row>
    <row r="72" spans="1:42" x14ac:dyDescent="0.35">
      <c r="B72" s="1393"/>
      <c r="C72" s="1394"/>
      <c r="D72" s="244" t="s">
        <v>248</v>
      </c>
      <c r="E72" s="244" t="s">
        <v>249</v>
      </c>
      <c r="F72" s="245" t="s">
        <v>250</v>
      </c>
      <c r="G72" s="245" t="s">
        <v>226</v>
      </c>
      <c r="H72" s="246" t="s">
        <v>248</v>
      </c>
      <c r="I72" s="245" t="s">
        <v>249</v>
      </c>
      <c r="J72" s="245" t="s">
        <v>250</v>
      </c>
      <c r="K72" s="245" t="s">
        <v>226</v>
      </c>
      <c r="L72" s="245" t="s">
        <v>248</v>
      </c>
      <c r="M72" s="244" t="s">
        <v>249</v>
      </c>
      <c r="N72" s="245" t="s">
        <v>250</v>
      </c>
      <c r="O72" s="245" t="s">
        <v>226</v>
      </c>
      <c r="P72" s="245" t="s">
        <v>248</v>
      </c>
      <c r="Q72" s="244" t="s">
        <v>249</v>
      </c>
      <c r="R72" s="245" t="s">
        <v>250</v>
      </c>
      <c r="S72" s="245" t="s">
        <v>226</v>
      </c>
      <c r="T72" s="245" t="s">
        <v>248</v>
      </c>
      <c r="U72" s="272" t="s">
        <v>249</v>
      </c>
      <c r="V72" s="273" t="s">
        <v>250</v>
      </c>
      <c r="W72" s="273" t="s">
        <v>226</v>
      </c>
      <c r="X72" s="271" t="s">
        <v>248</v>
      </c>
      <c r="Y72" s="273" t="s">
        <v>249</v>
      </c>
      <c r="Z72" s="274" t="s">
        <v>250</v>
      </c>
      <c r="AA72" s="273" t="s">
        <v>226</v>
      </c>
      <c r="AB72" s="270" t="s">
        <v>248</v>
      </c>
      <c r="AC72" s="275" t="s">
        <v>249</v>
      </c>
      <c r="AD72" s="269" t="s">
        <v>250</v>
      </c>
      <c r="AE72" s="270" t="s">
        <v>226</v>
      </c>
      <c r="AF72" s="276" t="s">
        <v>248</v>
      </c>
      <c r="AG72" s="358" t="s">
        <v>249</v>
      </c>
      <c r="AH72" s="269" t="s">
        <v>250</v>
      </c>
      <c r="AI72" s="269" t="s">
        <v>226</v>
      </c>
      <c r="AJ72" s="402" t="s">
        <v>248</v>
      </c>
      <c r="AK72" s="358" t="s">
        <v>249</v>
      </c>
      <c r="AL72" s="269" t="s">
        <v>250</v>
      </c>
      <c r="AM72" s="269" t="s">
        <v>226</v>
      </c>
      <c r="AN72" s="402" t="s">
        <v>248</v>
      </c>
      <c r="AO72" s="44"/>
      <c r="AP72" s="44"/>
    </row>
    <row r="73" spans="1:42" ht="29.25" customHeight="1" x14ac:dyDescent="0.35">
      <c r="B73" s="463" t="s">
        <v>343</v>
      </c>
      <c r="C73" s="522"/>
      <c r="D73" s="464"/>
      <c r="E73" s="465"/>
      <c r="F73" s="465"/>
      <c r="G73" s="465"/>
      <c r="H73" s="466">
        <f t="shared" ref="H73:O73" si="27">SUM(H75:H83)</f>
        <v>208.815</v>
      </c>
      <c r="I73" s="466">
        <f t="shared" si="27"/>
        <v>212.21100000000007</v>
      </c>
      <c r="J73" s="466">
        <f t="shared" si="27"/>
        <v>321.23599999999999</v>
      </c>
      <c r="K73" s="466">
        <f t="shared" si="27"/>
        <v>296.71800000000007</v>
      </c>
      <c r="L73" s="466">
        <f t="shared" si="27"/>
        <v>291.47400000000005</v>
      </c>
      <c r="M73" s="466">
        <f t="shared" si="27"/>
        <v>318.38100000000003</v>
      </c>
      <c r="N73" s="466">
        <f t="shared" si="27"/>
        <v>355.56500000000005</v>
      </c>
      <c r="O73" s="466">
        <f t="shared" si="27"/>
        <v>374.23899999999998</v>
      </c>
      <c r="P73" s="535">
        <f>SUM(P75:P84)</f>
        <v>397.39685199999997</v>
      </c>
      <c r="Q73" s="466">
        <f>SUM(Q75:Q84)</f>
        <v>431.18727480000001</v>
      </c>
      <c r="R73" s="466">
        <f>SUM(R75:R84)</f>
        <v>501.70003200000002</v>
      </c>
      <c r="S73" s="466">
        <f>SUM(S75:S84)</f>
        <v>483.56486800000005</v>
      </c>
      <c r="T73" s="482">
        <f t="shared" ref="T73:AB73" si="28">SUM(T75:T84)</f>
        <v>447.72492800000003</v>
      </c>
      <c r="U73" s="443">
        <f>SUM(U75:U84)</f>
        <v>441.54354319999999</v>
      </c>
      <c r="V73" s="443">
        <f>SUM(V75:V84)</f>
        <v>436.07272</v>
      </c>
      <c r="W73" s="443">
        <f>SUM(W75:W84)</f>
        <v>417.91594400000008</v>
      </c>
      <c r="X73" s="443">
        <f t="shared" si="28"/>
        <v>434.04594399999996</v>
      </c>
      <c r="Y73" s="518">
        <f t="shared" si="28"/>
        <v>437.85294400000009</v>
      </c>
      <c r="Z73" s="518">
        <f t="shared" si="28"/>
        <v>447.07610900000003</v>
      </c>
      <c r="AA73" s="518">
        <f>SUM(AA75:AA84)</f>
        <v>468.80533000000014</v>
      </c>
      <c r="AB73" s="518">
        <f t="shared" si="28"/>
        <v>473.51932569999985</v>
      </c>
      <c r="AC73" s="448">
        <f>SUM(AC75:AC84)</f>
        <v>435.15299700000003</v>
      </c>
      <c r="AD73" s="448">
        <f>SUM(AD75:AD84)</f>
        <v>411.3256194999999</v>
      </c>
      <c r="AE73" s="448">
        <f>SUM(AE75:AE84)</f>
        <v>437.30692800000003</v>
      </c>
      <c r="AF73" s="448">
        <f>SUM(AF75:AF84)</f>
        <v>409.71131879999996</v>
      </c>
      <c r="AG73" s="448">
        <f t="shared" ref="AG73:AJ73" si="29">SUM(AG75:AG84)</f>
        <v>412.46319788780909</v>
      </c>
      <c r="AH73" s="448">
        <f t="shared" si="29"/>
        <v>412.439192359044</v>
      </c>
      <c r="AI73" s="448">
        <f t="shared" si="29"/>
        <v>416.24556939260134</v>
      </c>
      <c r="AJ73" s="448">
        <f t="shared" si="29"/>
        <v>418.07959879999999</v>
      </c>
      <c r="AK73" s="448">
        <f t="shared" ref="AK73:AN73" si="30">SUM(AK75:AK84)</f>
        <v>420.94155305132148</v>
      </c>
      <c r="AL73" s="448">
        <f t="shared" si="30"/>
        <v>423.8317073014058</v>
      </c>
      <c r="AM73" s="448">
        <f>SUM(AM75:AM84)</f>
        <v>426.75033941630539</v>
      </c>
      <c r="AN73" s="448">
        <f t="shared" si="30"/>
        <v>429.69772999999998</v>
      </c>
      <c r="AO73" s="456"/>
      <c r="AP73" s="456"/>
    </row>
    <row r="74" spans="1:42" ht="19.399999999999999" customHeight="1" x14ac:dyDescent="0.35">
      <c r="B74" s="530" t="s">
        <v>344</v>
      </c>
      <c r="C74" s="365"/>
      <c r="D74" s="391"/>
      <c r="E74" s="365"/>
      <c r="F74" s="365"/>
      <c r="G74" s="365"/>
      <c r="H74" s="443"/>
      <c r="I74" s="443"/>
      <c r="J74" s="443"/>
      <c r="K74" s="443"/>
      <c r="L74" s="443"/>
      <c r="M74" s="443"/>
      <c r="N74" s="443"/>
      <c r="O74" s="443"/>
      <c r="P74" s="361"/>
      <c r="Q74" s="443"/>
      <c r="R74" s="443"/>
      <c r="S74" s="443"/>
      <c r="T74" s="443"/>
      <c r="U74" s="443"/>
      <c r="V74" s="443"/>
      <c r="W74" s="443"/>
      <c r="X74" s="443"/>
      <c r="Y74" s="449"/>
      <c r="Z74" s="449"/>
      <c r="AA74" s="449"/>
      <c r="AB74" s="449"/>
      <c r="AC74" s="449"/>
      <c r="AD74" s="449"/>
      <c r="AE74" s="449"/>
      <c r="AF74" s="449"/>
      <c r="AG74" s="448"/>
      <c r="AH74" s="448"/>
      <c r="AI74" s="448"/>
      <c r="AJ74" s="448"/>
      <c r="AK74" s="448"/>
      <c r="AL74" s="448"/>
      <c r="AM74" s="448"/>
      <c r="AN74" s="448"/>
      <c r="AO74" s="456"/>
      <c r="AP74" s="456"/>
    </row>
    <row r="75" spans="1:42" x14ac:dyDescent="0.35">
      <c r="B75" s="472" t="s">
        <v>140</v>
      </c>
      <c r="C75" s="56"/>
      <c r="D75" s="469"/>
      <c r="E75" s="56"/>
      <c r="F75" s="56"/>
      <c r="G75" s="56"/>
      <c r="H75" s="443"/>
      <c r="I75" s="443"/>
      <c r="J75" s="443">
        <f t="shared" ref="J75:AG75" si="31">J14</f>
        <v>64.400000000000006</v>
      </c>
      <c r="K75" s="443">
        <f t="shared" si="31"/>
        <v>23.4</v>
      </c>
      <c r="L75" s="443">
        <f t="shared" si="31"/>
        <v>13.8</v>
      </c>
      <c r="M75" s="443">
        <f t="shared" si="31"/>
        <v>12</v>
      </c>
      <c r="N75" s="443">
        <f t="shared" si="31"/>
        <v>7.5</v>
      </c>
      <c r="O75" s="443">
        <f t="shared" si="31"/>
        <v>10.5</v>
      </c>
      <c r="P75" s="361">
        <f t="shared" si="31"/>
        <v>18</v>
      </c>
      <c r="Q75" s="443">
        <f t="shared" si="31"/>
        <v>15</v>
      </c>
      <c r="R75" s="443">
        <f t="shared" si="31"/>
        <v>11.2</v>
      </c>
      <c r="S75" s="443">
        <f t="shared" si="31"/>
        <v>7.5</v>
      </c>
      <c r="T75" s="443">
        <f t="shared" si="31"/>
        <v>6.2</v>
      </c>
      <c r="U75" s="443">
        <f t="shared" si="31"/>
        <v>0</v>
      </c>
      <c r="V75" s="443">
        <f t="shared" si="31"/>
        <v>0</v>
      </c>
      <c r="W75" s="443">
        <f t="shared" si="31"/>
        <v>0</v>
      </c>
      <c r="X75" s="443">
        <f t="shared" si="31"/>
        <v>0</v>
      </c>
      <c r="Y75" s="449">
        <f t="shared" si="31"/>
        <v>0</v>
      </c>
      <c r="Z75" s="449">
        <f t="shared" si="31"/>
        <v>0</v>
      </c>
      <c r="AA75" s="449">
        <f t="shared" si="31"/>
        <v>0</v>
      </c>
      <c r="AB75" s="449">
        <f t="shared" si="31"/>
        <v>0</v>
      </c>
      <c r="AC75" s="449">
        <f t="shared" si="31"/>
        <v>0</v>
      </c>
      <c r="AD75" s="449">
        <f t="shared" si="31"/>
        <v>0</v>
      </c>
      <c r="AE75" s="449">
        <f t="shared" si="31"/>
        <v>0</v>
      </c>
      <c r="AF75" s="449">
        <f t="shared" si="31"/>
        <v>0</v>
      </c>
      <c r="AG75" s="448">
        <f t="shared" si="31"/>
        <v>0</v>
      </c>
      <c r="AH75" s="448">
        <f t="shared" ref="AH75:AI75" si="32">AH14</f>
        <v>0</v>
      </c>
      <c r="AI75" s="448">
        <f t="shared" si="32"/>
        <v>0</v>
      </c>
      <c r="AJ75" s="448">
        <f t="shared" ref="AJ75:AN75" si="33">AJ14</f>
        <v>0</v>
      </c>
      <c r="AK75" s="448">
        <f>AK14</f>
        <v>0</v>
      </c>
      <c r="AL75" s="448">
        <f t="shared" si="33"/>
        <v>0</v>
      </c>
      <c r="AM75" s="448">
        <f t="shared" si="33"/>
        <v>0</v>
      </c>
      <c r="AN75" s="448">
        <f t="shared" si="33"/>
        <v>0</v>
      </c>
      <c r="AO75" s="443"/>
      <c r="AP75" s="443"/>
    </row>
    <row r="76" spans="1:42" x14ac:dyDescent="0.35">
      <c r="B76" s="472" t="s">
        <v>309</v>
      </c>
      <c r="C76" s="56"/>
      <c r="D76" s="469"/>
      <c r="E76" s="56"/>
      <c r="F76" s="56"/>
      <c r="G76" s="56"/>
      <c r="H76" s="443"/>
      <c r="I76" s="443"/>
      <c r="J76" s="443"/>
      <c r="K76" s="443"/>
      <c r="L76" s="443"/>
      <c r="M76" s="443">
        <f>M28</f>
        <v>9.6666666666666661</v>
      </c>
      <c r="N76" s="443">
        <f t="shared" ref="N76:AC76" si="34">N28</f>
        <v>9.6666666666666661</v>
      </c>
      <c r="O76" s="443">
        <f t="shared" si="34"/>
        <v>9.6666666666666661</v>
      </c>
      <c r="P76" s="361">
        <f t="shared" si="34"/>
        <v>9.6666666666666661</v>
      </c>
      <c r="Q76" s="443">
        <f>Q28</f>
        <v>9.6666666666666661</v>
      </c>
      <c r="R76" s="443">
        <f>R28</f>
        <v>9.6666666666666661</v>
      </c>
      <c r="S76" s="443">
        <f>S28</f>
        <v>9.6666666666666661</v>
      </c>
      <c r="T76" s="443">
        <f t="shared" si="34"/>
        <v>9.6666666666666661</v>
      </c>
      <c r="U76" s="443">
        <f t="shared" si="34"/>
        <v>9.6666666666666661</v>
      </c>
      <c r="V76" s="443">
        <f t="shared" si="34"/>
        <v>9.6666666666666661</v>
      </c>
      <c r="W76" s="443">
        <f t="shared" si="34"/>
        <v>9.6666666666666661</v>
      </c>
      <c r="X76" s="443">
        <f t="shared" si="34"/>
        <v>9.6666666666666661</v>
      </c>
      <c r="Y76" s="449">
        <f t="shared" si="34"/>
        <v>0</v>
      </c>
      <c r="Z76" s="449">
        <f t="shared" si="34"/>
        <v>0</v>
      </c>
      <c r="AA76" s="449">
        <f t="shared" si="34"/>
        <v>0</v>
      </c>
      <c r="AB76" s="449">
        <f t="shared" si="34"/>
        <v>0</v>
      </c>
      <c r="AC76" s="449">
        <f t="shared" si="34"/>
        <v>0</v>
      </c>
      <c r="AD76" s="449">
        <f t="shared" ref="AD76:AG76" si="35">AD28</f>
        <v>0</v>
      </c>
      <c r="AE76" s="449">
        <f t="shared" si="35"/>
        <v>0</v>
      </c>
      <c r="AF76" s="449">
        <f t="shared" si="35"/>
        <v>0</v>
      </c>
      <c r="AG76" s="448">
        <f t="shared" si="35"/>
        <v>0</v>
      </c>
      <c r="AH76" s="448">
        <f t="shared" ref="AH76:AI76" si="36">AH28</f>
        <v>0</v>
      </c>
      <c r="AI76" s="448">
        <f t="shared" si="36"/>
        <v>0</v>
      </c>
      <c r="AJ76" s="448">
        <f t="shared" ref="AJ76:AN76" si="37">AJ28</f>
        <v>0</v>
      </c>
      <c r="AK76" s="448">
        <f t="shared" si="37"/>
        <v>0</v>
      </c>
      <c r="AL76" s="448">
        <f t="shared" si="37"/>
        <v>0</v>
      </c>
      <c r="AM76" s="448">
        <f t="shared" si="37"/>
        <v>0</v>
      </c>
      <c r="AN76" s="448">
        <f t="shared" si="37"/>
        <v>0</v>
      </c>
      <c r="AO76" s="443"/>
      <c r="AP76" s="443"/>
    </row>
    <row r="77" spans="1:42" x14ac:dyDescent="0.35">
      <c r="B77" s="472" t="s">
        <v>345</v>
      </c>
      <c r="C77" s="56"/>
      <c r="D77" s="469"/>
      <c r="E77" s="56"/>
      <c r="F77" s="56"/>
      <c r="G77" s="56"/>
      <c r="H77" s="443"/>
      <c r="I77" s="443"/>
      <c r="J77" s="443"/>
      <c r="K77" s="443"/>
      <c r="L77" s="443"/>
      <c r="M77" s="443">
        <f t="shared" ref="M77:AG77" si="38">M16</f>
        <v>12</v>
      </c>
      <c r="N77" s="443">
        <f t="shared" si="38"/>
        <v>12</v>
      </c>
      <c r="O77" s="443">
        <f t="shared" si="38"/>
        <v>12</v>
      </c>
      <c r="P77" s="361">
        <f t="shared" si="38"/>
        <v>12</v>
      </c>
      <c r="Q77" s="443">
        <f t="shared" si="38"/>
        <v>12</v>
      </c>
      <c r="R77" s="443">
        <f t="shared" si="38"/>
        <v>12</v>
      </c>
      <c r="S77" s="443">
        <f t="shared" si="38"/>
        <v>12</v>
      </c>
      <c r="T77" s="443">
        <f t="shared" si="38"/>
        <v>12</v>
      </c>
      <c r="U77" s="443">
        <f t="shared" si="38"/>
        <v>12</v>
      </c>
      <c r="V77" s="443">
        <f t="shared" si="38"/>
        <v>12</v>
      </c>
      <c r="W77" s="443">
        <f t="shared" si="38"/>
        <v>12</v>
      </c>
      <c r="X77" s="443">
        <f t="shared" si="38"/>
        <v>12</v>
      </c>
      <c r="Y77" s="449">
        <f t="shared" si="38"/>
        <v>0</v>
      </c>
      <c r="Z77" s="449">
        <f t="shared" si="38"/>
        <v>0</v>
      </c>
      <c r="AA77" s="449">
        <f t="shared" si="38"/>
        <v>0</v>
      </c>
      <c r="AB77" s="449">
        <f t="shared" si="38"/>
        <v>0</v>
      </c>
      <c r="AC77" s="449">
        <f t="shared" si="38"/>
        <v>0</v>
      </c>
      <c r="AD77" s="449">
        <f t="shared" si="38"/>
        <v>0</v>
      </c>
      <c r="AE77" s="449">
        <f t="shared" si="38"/>
        <v>0</v>
      </c>
      <c r="AF77" s="449">
        <f t="shared" si="38"/>
        <v>0</v>
      </c>
      <c r="AG77" s="448">
        <f t="shared" si="38"/>
        <v>0</v>
      </c>
      <c r="AH77" s="448">
        <f t="shared" ref="AH77:AI77" si="39">AH16</f>
        <v>0</v>
      </c>
      <c r="AI77" s="448">
        <f t="shared" si="39"/>
        <v>0</v>
      </c>
      <c r="AJ77" s="448">
        <f t="shared" ref="AJ77:AN77" si="40">AJ16</f>
        <v>0</v>
      </c>
      <c r="AK77" s="448">
        <f t="shared" si="40"/>
        <v>0</v>
      </c>
      <c r="AL77" s="448">
        <f t="shared" si="40"/>
        <v>0</v>
      </c>
      <c r="AM77" s="448">
        <f t="shared" si="40"/>
        <v>0</v>
      </c>
      <c r="AN77" s="448">
        <f t="shared" si="40"/>
        <v>0</v>
      </c>
      <c r="AO77" s="443"/>
      <c r="AP77" s="443"/>
    </row>
    <row r="78" spans="1:42" x14ac:dyDescent="0.35">
      <c r="B78" s="472" t="s">
        <v>346</v>
      </c>
      <c r="C78" s="56"/>
      <c r="D78" s="469"/>
      <c r="E78" s="56"/>
      <c r="F78" s="56"/>
      <c r="G78" s="56"/>
      <c r="H78" s="59">
        <f t="shared" ref="H78:AH78" si="41">H20</f>
        <v>208.815</v>
      </c>
      <c r="I78" s="59">
        <f t="shared" si="41"/>
        <v>212.21100000000007</v>
      </c>
      <c r="J78" s="59">
        <f t="shared" si="41"/>
        <v>193.43600000000004</v>
      </c>
      <c r="K78" s="59">
        <f t="shared" si="41"/>
        <v>212.51800000000003</v>
      </c>
      <c r="L78" s="59">
        <f t="shared" si="41"/>
        <v>217.47400000000005</v>
      </c>
      <c r="M78" s="59">
        <f t="shared" si="41"/>
        <v>215.81433333333337</v>
      </c>
      <c r="N78" s="59">
        <f t="shared" si="41"/>
        <v>218.7983333333334</v>
      </c>
      <c r="O78" s="59">
        <f t="shared" si="41"/>
        <v>221.3723333333333</v>
      </c>
      <c r="P78" s="442">
        <f t="shared" si="41"/>
        <v>245.90933333333328</v>
      </c>
      <c r="Q78" s="59">
        <f t="shared" si="41"/>
        <v>246.12433333333331</v>
      </c>
      <c r="R78" s="59">
        <f t="shared" si="41"/>
        <v>263.58333333333337</v>
      </c>
      <c r="S78" s="59">
        <f t="shared" si="41"/>
        <v>256.80233333333337</v>
      </c>
      <c r="T78" s="59">
        <f t="shared" si="41"/>
        <v>225.25133333333338</v>
      </c>
      <c r="U78" s="461">
        <f t="shared" si="41"/>
        <v>238.75700000000001</v>
      </c>
      <c r="V78" s="59">
        <f t="shared" si="41"/>
        <v>234.49200000000002</v>
      </c>
      <c r="W78" s="59">
        <f t="shared" si="41"/>
        <v>223.03800000000007</v>
      </c>
      <c r="X78" s="59">
        <f t="shared" si="41"/>
        <v>249.55799999999999</v>
      </c>
      <c r="Y78" s="450">
        <f t="shared" si="41"/>
        <v>268.86500000000012</v>
      </c>
      <c r="Z78" s="450">
        <f t="shared" si="41"/>
        <v>289.86800000000005</v>
      </c>
      <c r="AA78" s="450">
        <f>AA20</f>
        <v>309.68700000000013</v>
      </c>
      <c r="AB78" s="450">
        <f t="shared" si="41"/>
        <v>312.22499999999991</v>
      </c>
      <c r="AC78" s="450">
        <f t="shared" si="41"/>
        <v>293.29000000000008</v>
      </c>
      <c r="AD78" s="450">
        <f>AD20</f>
        <v>276.76199999999994</v>
      </c>
      <c r="AE78" s="450">
        <f t="shared" si="41"/>
        <v>302.86700000000008</v>
      </c>
      <c r="AF78" s="450">
        <f t="shared" si="41"/>
        <v>279.28199999999993</v>
      </c>
      <c r="AG78" s="435">
        <f t="shared" si="41"/>
        <v>282.03387908780905</v>
      </c>
      <c r="AH78" s="435">
        <f t="shared" si="41"/>
        <v>284.81287355904396</v>
      </c>
      <c r="AI78" s="435">
        <f t="shared" ref="AI78:AJ78" si="42">AI20</f>
        <v>287.6192505926013</v>
      </c>
      <c r="AJ78" s="435">
        <f t="shared" si="42"/>
        <v>290.45327999999995</v>
      </c>
      <c r="AK78" s="435">
        <f t="shared" ref="AK78:AN78" si="43">AK20</f>
        <v>293.31523425132144</v>
      </c>
      <c r="AL78" s="435">
        <f t="shared" si="43"/>
        <v>296.20538850140576</v>
      </c>
      <c r="AM78" s="435">
        <f t="shared" si="43"/>
        <v>299.12402061630536</v>
      </c>
      <c r="AN78" s="435">
        <f t="shared" si="43"/>
        <v>302.07141119999994</v>
      </c>
      <c r="AO78" s="59"/>
      <c r="AP78" s="59"/>
    </row>
    <row r="79" spans="1:42" x14ac:dyDescent="0.35">
      <c r="B79" s="472" t="s">
        <v>1136</v>
      </c>
      <c r="C79" s="56"/>
      <c r="D79" s="469"/>
      <c r="E79" s="56"/>
      <c r="F79" s="56"/>
      <c r="G79" s="56"/>
      <c r="H79" s="59"/>
      <c r="I79" s="59"/>
      <c r="J79" s="59"/>
      <c r="K79" s="59"/>
      <c r="L79" s="59"/>
      <c r="M79" s="59"/>
      <c r="N79" s="59"/>
      <c r="O79" s="59"/>
      <c r="P79" s="442"/>
      <c r="Q79" s="59"/>
      <c r="R79" s="59"/>
      <c r="S79" s="445">
        <f>'IRA and CHIPS'!E184</f>
        <v>0</v>
      </c>
      <c r="T79" s="445">
        <f>'IRA and CHIPS'!F184</f>
        <v>6.8000000000000005E-2</v>
      </c>
      <c r="U79" s="445">
        <f>'IRA and CHIPS'!G184</f>
        <v>6.8000000000000005E-2</v>
      </c>
      <c r="V79" s="445">
        <f>'IRA and CHIPS'!H184</f>
        <v>6.8000000000000005E-2</v>
      </c>
      <c r="W79" s="445">
        <f>'IRA and CHIPS'!I184</f>
        <v>6.8000000000000005E-2</v>
      </c>
      <c r="X79" s="445">
        <f>'IRA and CHIPS'!J184</f>
        <v>1.363</v>
      </c>
      <c r="Y79" s="458">
        <f>'IRA and CHIPS'!K184</f>
        <v>1.363</v>
      </c>
      <c r="Z79" s="458">
        <f>'IRA and CHIPS'!L184</f>
        <v>1.363</v>
      </c>
      <c r="AA79" s="458">
        <f>'IRA and CHIPS'!M184</f>
        <v>1.363</v>
      </c>
      <c r="AB79" s="458">
        <f>'IRA and CHIPS'!N184</f>
        <v>2.4329999999999998</v>
      </c>
      <c r="AC79" s="458">
        <f>'IRA and CHIPS'!O184</f>
        <v>2.4329999999999998</v>
      </c>
      <c r="AD79" s="458">
        <f>'IRA and CHIPS'!P184</f>
        <v>2.4329999999999998</v>
      </c>
      <c r="AE79" s="458">
        <f>'IRA and CHIPS'!Q184</f>
        <v>2.4329999999999998</v>
      </c>
      <c r="AF79" s="458">
        <f>'IRA and CHIPS'!R184</f>
        <v>2.8029999999999999</v>
      </c>
      <c r="AG79" s="458">
        <f>'IRA and CHIPS'!S184</f>
        <v>2.8029999999999999</v>
      </c>
      <c r="AH79" s="458"/>
      <c r="AI79" s="458">
        <f>'IRA and CHIPS'!U184</f>
        <v>0</v>
      </c>
      <c r="AJ79" s="458"/>
      <c r="AK79" s="458"/>
      <c r="AL79" s="458"/>
      <c r="AM79" s="458"/>
      <c r="AN79" s="458"/>
      <c r="AO79" s="59"/>
      <c r="AP79" s="59"/>
    </row>
    <row r="80" spans="1:42" ht="14.9" customHeight="1" x14ac:dyDescent="0.35">
      <c r="B80" s="510" t="s">
        <v>347</v>
      </c>
      <c r="C80" s="56"/>
      <c r="D80" s="469"/>
      <c r="E80" s="56"/>
      <c r="F80" s="56"/>
      <c r="G80" s="56"/>
      <c r="H80" s="443"/>
      <c r="I80" s="443"/>
      <c r="J80" s="443"/>
      <c r="K80" s="443"/>
      <c r="L80" s="443"/>
      <c r="M80" s="443"/>
      <c r="N80" s="443"/>
      <c r="O80" s="443"/>
      <c r="P80" s="361"/>
      <c r="Q80" s="443"/>
      <c r="R80" s="443"/>
      <c r="S80" s="443"/>
      <c r="T80" s="443"/>
      <c r="U80" s="443"/>
      <c r="V80" s="443"/>
      <c r="W80" s="443"/>
      <c r="X80" s="443"/>
      <c r="Y80" s="449"/>
      <c r="Z80" s="449"/>
      <c r="AA80" s="449"/>
      <c r="AB80" s="449"/>
      <c r="AC80" s="449"/>
      <c r="AD80" s="449"/>
      <c r="AE80" s="449"/>
      <c r="AF80" s="449"/>
      <c r="AG80" s="448"/>
      <c r="AH80" s="448"/>
      <c r="AI80" s="448"/>
      <c r="AJ80" s="448"/>
      <c r="AK80" s="448"/>
      <c r="AL80" s="448"/>
      <c r="AM80" s="448"/>
      <c r="AN80" s="448"/>
      <c r="AO80" s="443"/>
      <c r="AP80" s="443"/>
    </row>
    <row r="81" spans="2:42" ht="14.9" customHeight="1" x14ac:dyDescent="0.35">
      <c r="B81" s="472" t="s">
        <v>138</v>
      </c>
      <c r="C81" s="56"/>
      <c r="D81" s="469"/>
      <c r="E81" s="56"/>
      <c r="F81" s="56"/>
      <c r="G81" s="56"/>
      <c r="H81" s="443"/>
      <c r="I81" s="443"/>
      <c r="J81" s="443">
        <f t="shared" ref="J81:Y81" si="44">J13</f>
        <v>28.4</v>
      </c>
      <c r="K81" s="443">
        <f t="shared" si="44"/>
        <v>15.8</v>
      </c>
      <c r="L81" s="443">
        <f t="shared" si="44"/>
        <v>15.2</v>
      </c>
      <c r="M81" s="443">
        <f t="shared" si="44"/>
        <v>28.9</v>
      </c>
      <c r="N81" s="443">
        <f t="shared" si="44"/>
        <v>67.599999999999994</v>
      </c>
      <c r="O81" s="443">
        <f t="shared" si="44"/>
        <v>80.7</v>
      </c>
      <c r="P81" s="361">
        <f t="shared" si="44"/>
        <v>87.2</v>
      </c>
      <c r="Q81" s="443">
        <f t="shared" si="44"/>
        <v>72.400000000000006</v>
      </c>
      <c r="R81" s="443">
        <f t="shared" si="44"/>
        <v>85.9</v>
      </c>
      <c r="S81" s="443">
        <f t="shared" si="44"/>
        <v>68.3</v>
      </c>
      <c r="T81" s="443">
        <f t="shared" si="44"/>
        <v>64</v>
      </c>
      <c r="U81" s="443">
        <f t="shared" si="44"/>
        <v>60.929333333333297</v>
      </c>
      <c r="V81" s="443">
        <f t="shared" si="44"/>
        <v>60.929333333333297</v>
      </c>
      <c r="W81" s="443">
        <f t="shared" si="44"/>
        <v>60.929333333333297</v>
      </c>
      <c r="X81" s="443">
        <f t="shared" si="44"/>
        <v>54.244333333333302</v>
      </c>
      <c r="Y81" s="448">
        <f t="shared" si="44"/>
        <v>50.911000000000001</v>
      </c>
      <c r="Z81" s="449">
        <f>Z25+Z29+'ARP Quarterly'!P28</f>
        <v>44.428388999999996</v>
      </c>
      <c r="AA81" s="449">
        <f>AA25+AA29+'ARP Quarterly'!Q28</f>
        <v>46.338610000000003</v>
      </c>
      <c r="AB81" s="449">
        <f>AB25+AB29+'ARP Quarterly'!R28</f>
        <v>47.279744500000007</v>
      </c>
      <c r="AC81" s="449">
        <f>AC25+AC29+'ARP Quarterly'!S28</f>
        <v>46.283419000000009</v>
      </c>
      <c r="AD81" s="449">
        <f>AD25+AD29+'ARP Quarterly'!T28</f>
        <v>45.578489500000011</v>
      </c>
      <c r="AE81" s="449">
        <f>AE25+AE29+'ARP Quarterly'!U28</f>
        <v>45.454798000000011</v>
      </c>
      <c r="AF81" s="449">
        <f>AF25+AF29+'ARP Quarterly'!V28</f>
        <v>45.360580000000013</v>
      </c>
      <c r="AG81" s="448">
        <f>AF81</f>
        <v>45.360580000000013</v>
      </c>
      <c r="AH81" s="448">
        <f>AG81</f>
        <v>45.360580000000013</v>
      </c>
      <c r="AI81" s="448">
        <f>AH81</f>
        <v>45.360580000000013</v>
      </c>
      <c r="AJ81" s="448">
        <f>AI81</f>
        <v>45.360580000000013</v>
      </c>
      <c r="AK81" s="448">
        <f t="shared" ref="AK81:AN81" si="45">AJ81</f>
        <v>45.360580000000013</v>
      </c>
      <c r="AL81" s="448">
        <f t="shared" si="45"/>
        <v>45.360580000000013</v>
      </c>
      <c r="AM81" s="448">
        <f t="shared" si="45"/>
        <v>45.360580000000013</v>
      </c>
      <c r="AN81" s="448">
        <f t="shared" si="45"/>
        <v>45.360580000000013</v>
      </c>
      <c r="AO81" s="457"/>
      <c r="AP81" s="443"/>
    </row>
    <row r="82" spans="2:42" x14ac:dyDescent="0.35">
      <c r="B82" s="472" t="s">
        <v>137</v>
      </c>
      <c r="C82" s="59"/>
      <c r="D82" s="533"/>
      <c r="E82" s="59"/>
      <c r="F82" s="59"/>
      <c r="G82" s="59"/>
      <c r="H82" s="443"/>
      <c r="I82" s="443"/>
      <c r="J82" s="443">
        <v>35</v>
      </c>
      <c r="K82" s="443">
        <v>45</v>
      </c>
      <c r="L82" s="443">
        <v>45</v>
      </c>
      <c r="M82" s="443">
        <v>40</v>
      </c>
      <c r="N82" s="443">
        <v>40</v>
      </c>
      <c r="O82" s="443">
        <v>40</v>
      </c>
      <c r="P82" s="361">
        <v>40</v>
      </c>
      <c r="Q82" s="443">
        <v>50</v>
      </c>
      <c r="R82" s="443">
        <v>50</v>
      </c>
      <c r="S82" s="443">
        <v>50</v>
      </c>
      <c r="T82" s="443">
        <v>50</v>
      </c>
      <c r="U82" s="462">
        <v>40</v>
      </c>
      <c r="V82" s="443">
        <v>30</v>
      </c>
      <c r="W82" s="443">
        <v>20</v>
      </c>
      <c r="X82" s="443">
        <v>15</v>
      </c>
      <c r="Y82" s="449">
        <v>10</v>
      </c>
      <c r="Z82" s="449">
        <v>0</v>
      </c>
      <c r="AA82" s="449">
        <v>0</v>
      </c>
      <c r="AB82" s="449">
        <v>0</v>
      </c>
      <c r="AC82" s="449">
        <v>0</v>
      </c>
      <c r="AD82" s="449">
        <v>0</v>
      </c>
      <c r="AE82" s="449">
        <v>0</v>
      </c>
      <c r="AF82" s="449">
        <v>0</v>
      </c>
      <c r="AG82" s="448">
        <v>0</v>
      </c>
      <c r="AH82" s="448"/>
      <c r="AI82" s="448">
        <v>1</v>
      </c>
      <c r="AJ82" s="448"/>
      <c r="AK82" s="448"/>
      <c r="AL82" s="448"/>
      <c r="AM82" s="448"/>
      <c r="AN82" s="448"/>
      <c r="AO82" s="438"/>
    </row>
    <row r="83" spans="2:42" ht="28.5" customHeight="1" x14ac:dyDescent="0.35">
      <c r="B83" s="485" t="s">
        <v>348</v>
      </c>
      <c r="C83" s="496"/>
      <c r="D83" s="469"/>
      <c r="E83" s="56"/>
      <c r="F83" s="56"/>
      <c r="G83" s="56"/>
      <c r="H83" s="443"/>
      <c r="I83" s="443"/>
      <c r="J83" s="443"/>
      <c r="K83" s="443"/>
      <c r="L83" s="443"/>
      <c r="M83" s="443"/>
      <c r="N83" s="443">
        <f>'ARP Quarterly'!D47</f>
        <v>0</v>
      </c>
      <c r="O83" s="443">
        <f>'ARP Quarterly'!E47</f>
        <v>0</v>
      </c>
      <c r="P83" s="361">
        <f>'ARP Quarterly'!F47</f>
        <v>34.620851999999999</v>
      </c>
      <c r="Q83" s="443">
        <f>'ARP Quarterly'!G47</f>
        <v>50.996274799999995</v>
      </c>
      <c r="R83" s="443">
        <f>'ARP Quarterly'!H47</f>
        <v>69.350031999999999</v>
      </c>
      <c r="S83" s="443">
        <f>'ARP Quarterly'!I47</f>
        <v>79.295867999999999</v>
      </c>
      <c r="T83" s="443">
        <f>'ARP Quarterly'!J47</f>
        <v>80.538927999999999</v>
      </c>
      <c r="U83" s="443">
        <f>'ARP Quarterly'!K47</f>
        <v>80.122543199999996</v>
      </c>
      <c r="V83" s="443">
        <f>'ARP Quarterly'!L47</f>
        <v>88.916719999999998</v>
      </c>
      <c r="W83" s="444">
        <f>'ARP Quarterly'!M47</f>
        <v>92.213943999999998</v>
      </c>
      <c r="X83" s="444">
        <f>'ARP Quarterly'!N47</f>
        <v>92.213943999999998</v>
      </c>
      <c r="Y83" s="520">
        <f>'ARP Quarterly'!O47</f>
        <v>94.213943999999998</v>
      </c>
      <c r="Z83" s="520">
        <f>'ARP Quarterly'!P47</f>
        <v>98.916719999999998</v>
      </c>
      <c r="AA83" s="520">
        <f>'ARP Quarterly'!Q47</f>
        <v>98.916719999999998</v>
      </c>
      <c r="AB83" s="520">
        <f>'ARP Quarterly'!R47</f>
        <v>99.081581199999988</v>
      </c>
      <c r="AC83" s="520">
        <f>'ARP Quarterly'!S47</f>
        <v>93.146578000000005</v>
      </c>
      <c r="AD83" s="520">
        <f>'ARP Quarterly'!T47</f>
        <v>86.552129999999991</v>
      </c>
      <c r="AE83" s="520">
        <f>'ARP Quarterly'!U47</f>
        <v>86.552129999999991</v>
      </c>
      <c r="AF83" s="520">
        <f>'ARP Quarterly'!V47</f>
        <v>82.265738799999994</v>
      </c>
      <c r="AG83" s="505">
        <f>AF83</f>
        <v>82.265738799999994</v>
      </c>
      <c r="AH83" s="505">
        <f>AG83</f>
        <v>82.265738799999994</v>
      </c>
      <c r="AI83" s="505">
        <f>AH83</f>
        <v>82.265738799999994</v>
      </c>
      <c r="AJ83" s="505">
        <f>AI83</f>
        <v>82.265738799999994</v>
      </c>
      <c r="AK83" s="505">
        <f t="shared" ref="AK83:AN83" si="46">AJ83</f>
        <v>82.265738799999994</v>
      </c>
      <c r="AL83" s="505">
        <f t="shared" si="46"/>
        <v>82.265738799999994</v>
      </c>
      <c r="AM83" s="505">
        <f t="shared" si="46"/>
        <v>82.265738799999994</v>
      </c>
      <c r="AN83" s="505">
        <f t="shared" si="46"/>
        <v>82.265738799999994</v>
      </c>
      <c r="AO83" s="509"/>
    </row>
    <row r="84" spans="2:42" ht="55.4" customHeight="1" x14ac:dyDescent="0.35">
      <c r="B84" s="491" t="s">
        <v>791</v>
      </c>
      <c r="C84" s="281"/>
      <c r="D84" s="538"/>
      <c r="E84" s="281"/>
      <c r="F84" s="281"/>
      <c r="G84" s="281"/>
      <c r="H84" s="281"/>
      <c r="I84" s="281"/>
      <c r="J84" s="281"/>
      <c r="K84" s="281"/>
      <c r="L84" s="281"/>
      <c r="M84" s="281"/>
      <c r="N84" s="281"/>
      <c r="O84" s="281"/>
      <c r="P84" s="281">
        <v>-50</v>
      </c>
      <c r="Q84" s="281">
        <v>-25</v>
      </c>
      <c r="R84" s="281"/>
      <c r="S84" s="281"/>
      <c r="T84" s="281"/>
      <c r="U84" s="534"/>
      <c r="V84" s="468"/>
      <c r="W84" s="281"/>
      <c r="X84" s="281"/>
      <c r="Y84" s="281">
        <v>12.5</v>
      </c>
      <c r="Z84" s="281">
        <v>12.5</v>
      </c>
      <c r="AA84" s="281">
        <v>12.5</v>
      </c>
      <c r="AB84" s="468">
        <v>12.5</v>
      </c>
      <c r="AC84" s="534"/>
      <c r="AD84" s="268"/>
      <c r="AE84" s="268"/>
      <c r="AF84" s="268"/>
      <c r="AG84" s="268"/>
      <c r="AH84" s="268"/>
      <c r="AI84" s="268"/>
      <c r="AJ84" s="268"/>
      <c r="AK84" s="268"/>
      <c r="AL84" s="268"/>
      <c r="AM84" s="268"/>
      <c r="AN84" s="268"/>
    </row>
    <row r="85" spans="2:42" x14ac:dyDescent="0.35">
      <c r="B85" s="399"/>
      <c r="C85" s="268"/>
      <c r="D85" s="268"/>
      <c r="E85" s="268"/>
      <c r="F85" s="268"/>
      <c r="G85" s="268"/>
      <c r="H85" s="268"/>
      <c r="I85" s="268"/>
      <c r="J85" s="268"/>
      <c r="K85" s="268"/>
      <c r="L85" s="268"/>
      <c r="M85" s="268"/>
      <c r="Z85" s="268"/>
      <c r="AA85" s="268"/>
      <c r="AB85" s="268"/>
      <c r="AC85" s="268"/>
      <c r="AD85" s="268"/>
      <c r="AE85" s="268"/>
      <c r="AF85" s="268"/>
      <c r="AG85" s="268"/>
      <c r="AH85" s="268"/>
      <c r="AI85" s="268"/>
      <c r="AJ85" s="268"/>
      <c r="AK85" s="268"/>
      <c r="AL85" s="268"/>
      <c r="AM85" s="268"/>
      <c r="AN85" s="268"/>
    </row>
    <row r="86" spans="2:42" x14ac:dyDescent="0.35">
      <c r="B86" s="399"/>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row>
    <row r="87" spans="2:42" ht="14.5" customHeight="1" x14ac:dyDescent="0.35">
      <c r="B87" s="399"/>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row>
    <row r="88" spans="2:42" x14ac:dyDescent="0.35">
      <c r="B88" s="1387" t="s">
        <v>122</v>
      </c>
      <c r="C88" s="1387"/>
      <c r="D88" s="1387"/>
      <c r="E88" s="1387"/>
      <c r="F88" s="1387"/>
      <c r="G88" s="1387"/>
      <c r="H88" s="1387"/>
      <c r="I88" s="1387"/>
      <c r="J88" s="1387"/>
      <c r="K88" s="1387"/>
      <c r="L88" s="1387"/>
      <c r="M88" s="1387"/>
      <c r="N88" s="1387"/>
      <c r="O88" s="1387"/>
      <c r="P88" s="1387"/>
      <c r="Q88" s="1387"/>
      <c r="R88" s="1387"/>
      <c r="S88" s="1387"/>
      <c r="T88" s="1387"/>
      <c r="U88" s="1387"/>
      <c r="V88" s="1387"/>
      <c r="W88" s="1387"/>
      <c r="X88" s="1387"/>
      <c r="Y88" s="1387"/>
      <c r="Z88" s="241"/>
      <c r="AA88" s="241"/>
      <c r="AB88" s="241"/>
      <c r="AC88" s="241"/>
      <c r="AD88" s="241"/>
      <c r="AE88" s="241"/>
      <c r="AF88" s="241"/>
      <c r="AG88" s="241"/>
      <c r="AH88" s="241"/>
      <c r="AI88" s="241"/>
      <c r="AJ88" s="241"/>
      <c r="AK88" s="241"/>
      <c r="AL88" s="241"/>
      <c r="AM88" s="241"/>
      <c r="AN88" s="241"/>
      <c r="AO88" s="429"/>
      <c r="AP88" s="429"/>
    </row>
    <row r="89" spans="2:42" ht="19.399999999999999" customHeight="1" x14ac:dyDescent="0.35">
      <c r="B89" s="1426" t="s">
        <v>1779</v>
      </c>
      <c r="C89" s="1426"/>
      <c r="D89" s="1426"/>
      <c r="E89" s="1426"/>
      <c r="F89" s="1426"/>
      <c r="G89" s="1426"/>
      <c r="H89" s="1426"/>
      <c r="I89" s="1426"/>
      <c r="J89" s="1426"/>
      <c r="K89" s="1426"/>
      <c r="L89" s="1426"/>
      <c r="M89" s="1426"/>
      <c r="N89" s="1426"/>
      <c r="O89" s="1426"/>
      <c r="P89" s="1426"/>
      <c r="Q89" s="1426"/>
      <c r="R89" s="1426"/>
      <c r="S89" s="1426"/>
      <c r="T89" s="1426"/>
      <c r="U89" s="1426"/>
      <c r="V89" s="1426"/>
      <c r="W89" s="1426"/>
      <c r="X89" s="1426"/>
      <c r="Y89" s="1426"/>
      <c r="Z89" s="1426"/>
      <c r="AA89" s="1426"/>
      <c r="AB89" s="1426"/>
      <c r="AC89" s="1426"/>
      <c r="AD89" s="351"/>
      <c r="AE89" s="351"/>
      <c r="AF89" s="351"/>
      <c r="AG89" s="351"/>
      <c r="AH89" s="351"/>
      <c r="AI89" s="351"/>
      <c r="AJ89" s="351"/>
      <c r="AK89" s="351"/>
      <c r="AL89" s="351"/>
      <c r="AM89" s="351"/>
      <c r="AN89" s="351"/>
      <c r="AO89" s="351"/>
      <c r="AP89" s="351"/>
    </row>
    <row r="90" spans="2:42" ht="11.9" customHeight="1" x14ac:dyDescent="0.35">
      <c r="B90" s="242"/>
      <c r="C90" s="242"/>
      <c r="D90" s="242"/>
      <c r="E90" s="242"/>
      <c r="F90" s="242"/>
      <c r="G90" s="242"/>
      <c r="H90" s="242"/>
      <c r="I90" s="242"/>
      <c r="J90" s="242"/>
      <c r="K90" s="242"/>
      <c r="L90" s="242"/>
      <c r="M90" s="242"/>
      <c r="V90" s="265"/>
      <c r="W90" s="265"/>
      <c r="X90" s="265"/>
      <c r="Y90" s="265"/>
      <c r="Z90" s="265"/>
      <c r="AA90" s="265"/>
      <c r="AB90" s="265"/>
      <c r="AC90" s="265"/>
      <c r="AD90" s="265"/>
      <c r="AE90" s="265"/>
      <c r="AF90" s="265"/>
      <c r="AG90" s="265"/>
      <c r="AH90" s="265"/>
      <c r="AI90" s="265"/>
      <c r="AJ90" s="265"/>
      <c r="AK90" s="265"/>
      <c r="AL90" s="265"/>
      <c r="AM90" s="265"/>
      <c r="AN90" s="265"/>
      <c r="AO90" s="265"/>
      <c r="AP90" s="265"/>
    </row>
    <row r="91" spans="2:42" ht="14.9" customHeight="1" x14ac:dyDescent="0.35">
      <c r="B91" s="1389" t="s">
        <v>245</v>
      </c>
      <c r="C91" s="1390"/>
      <c r="D91" s="1409" t="s">
        <v>246</v>
      </c>
      <c r="E91" s="1410"/>
      <c r="F91" s="1410"/>
      <c r="G91" s="1410"/>
      <c r="H91" s="1410"/>
      <c r="I91" s="1410"/>
      <c r="J91" s="1410"/>
      <c r="K91" s="1410"/>
      <c r="L91" s="1410"/>
      <c r="M91" s="1410"/>
      <c r="N91" s="1410"/>
      <c r="O91" s="1410"/>
      <c r="P91" s="1410"/>
      <c r="Q91" s="1410"/>
      <c r="R91" s="1410"/>
      <c r="S91" s="1410"/>
      <c r="T91" s="1410"/>
      <c r="U91" s="1410"/>
      <c r="V91" s="1410"/>
      <c r="W91" s="1410"/>
      <c r="X91" s="1410"/>
      <c r="Y91" s="1410"/>
      <c r="Z91" s="1410"/>
      <c r="AA91" s="1411"/>
      <c r="AB91" s="1440" t="s">
        <v>247</v>
      </c>
      <c r="AC91" s="1441"/>
      <c r="AD91" s="1441"/>
      <c r="AE91" s="1441"/>
      <c r="AF91" s="1441"/>
      <c r="AG91" s="1441"/>
      <c r="AH91" s="1441"/>
      <c r="AI91" s="1441"/>
      <c r="AJ91" s="1441"/>
      <c r="AK91" s="1441"/>
      <c r="AL91" s="1441"/>
      <c r="AM91" s="1441"/>
      <c r="AN91" s="1442"/>
      <c r="AO91" s="429"/>
      <c r="AP91" s="429"/>
    </row>
    <row r="92" spans="2:42" x14ac:dyDescent="0.35">
      <c r="B92" s="1391"/>
      <c r="C92" s="1392"/>
      <c r="D92" s="258">
        <v>2018</v>
      </c>
      <c r="E92" s="1398">
        <v>2019</v>
      </c>
      <c r="F92" s="1415"/>
      <c r="G92" s="1415"/>
      <c r="H92" s="1400"/>
      <c r="I92" s="1398">
        <v>2020</v>
      </c>
      <c r="J92" s="1415"/>
      <c r="K92" s="1415"/>
      <c r="L92" s="1415"/>
      <c r="M92" s="1398">
        <v>2021</v>
      </c>
      <c r="N92" s="1415"/>
      <c r="O92" s="1415"/>
      <c r="P92" s="1415"/>
      <c r="Q92" s="1398">
        <v>2022</v>
      </c>
      <c r="R92" s="1399"/>
      <c r="S92" s="1399"/>
      <c r="T92" s="1399"/>
      <c r="U92" s="1398">
        <v>2023</v>
      </c>
      <c r="V92" s="1399"/>
      <c r="W92" s="1399"/>
      <c r="X92" s="1400"/>
      <c r="Y92" s="277"/>
      <c r="Z92" s="282">
        <v>2024</v>
      </c>
      <c r="AA92" s="282"/>
      <c r="AB92" s="437"/>
      <c r="AC92" s="1412">
        <v>2025</v>
      </c>
      <c r="AD92" s="1424"/>
      <c r="AE92" s="1424"/>
      <c r="AF92" s="1414"/>
      <c r="AG92" s="1412">
        <v>2026</v>
      </c>
      <c r="AH92" s="1424"/>
      <c r="AI92" s="1424"/>
      <c r="AJ92" s="1414"/>
      <c r="AK92" s="1412">
        <v>2027</v>
      </c>
      <c r="AL92" s="1424"/>
      <c r="AM92" s="1424"/>
      <c r="AN92" s="1414"/>
      <c r="AO92" s="265"/>
      <c r="AP92" s="265"/>
    </row>
    <row r="93" spans="2:42" x14ac:dyDescent="0.35">
      <c r="B93" s="1391"/>
      <c r="C93" s="1392"/>
      <c r="D93" s="245" t="s">
        <v>248</v>
      </c>
      <c r="E93" s="244" t="s">
        <v>249</v>
      </c>
      <c r="F93" s="245" t="s">
        <v>250</v>
      </c>
      <c r="G93" s="245" t="s">
        <v>226</v>
      </c>
      <c r="H93" s="246" t="s">
        <v>248</v>
      </c>
      <c r="I93" s="245" t="s">
        <v>249</v>
      </c>
      <c r="J93" s="245" t="s">
        <v>250</v>
      </c>
      <c r="K93" s="245" t="s">
        <v>226</v>
      </c>
      <c r="L93" s="245" t="s">
        <v>248</v>
      </c>
      <c r="M93" s="244" t="s">
        <v>249</v>
      </c>
      <c r="N93" s="245" t="s">
        <v>250</v>
      </c>
      <c r="O93" s="245" t="s">
        <v>226</v>
      </c>
      <c r="P93" s="245" t="s">
        <v>248</v>
      </c>
      <c r="Q93" s="244" t="s">
        <v>249</v>
      </c>
      <c r="R93" s="245" t="s">
        <v>250</v>
      </c>
      <c r="S93" s="245" t="s">
        <v>226</v>
      </c>
      <c r="T93" s="245" t="s">
        <v>248</v>
      </c>
      <c r="U93" s="244" t="s">
        <v>249</v>
      </c>
      <c r="V93" s="245" t="s">
        <v>250</v>
      </c>
      <c r="W93" s="245" t="s">
        <v>226</v>
      </c>
      <c r="X93" s="246" t="s">
        <v>248</v>
      </c>
      <c r="Y93" s="245" t="s">
        <v>249</v>
      </c>
      <c r="Z93" s="278" t="s">
        <v>250</v>
      </c>
      <c r="AA93" s="245" t="s">
        <v>226</v>
      </c>
      <c r="AB93" s="247" t="s">
        <v>248</v>
      </c>
      <c r="AC93" s="430" t="s">
        <v>249</v>
      </c>
      <c r="AD93" s="454" t="s">
        <v>250</v>
      </c>
      <c r="AE93" s="247" t="s">
        <v>226</v>
      </c>
      <c r="AF93" s="248" t="s">
        <v>248</v>
      </c>
      <c r="AG93" s="358" t="s">
        <v>249</v>
      </c>
      <c r="AH93" s="269" t="s">
        <v>250</v>
      </c>
      <c r="AI93" s="269" t="s">
        <v>226</v>
      </c>
      <c r="AJ93" s="436" t="s">
        <v>248</v>
      </c>
      <c r="AK93" s="358" t="s">
        <v>249</v>
      </c>
      <c r="AL93" s="269" t="s">
        <v>250</v>
      </c>
      <c r="AM93" s="269" t="s">
        <v>226</v>
      </c>
      <c r="AN93" s="402" t="s">
        <v>248</v>
      </c>
      <c r="AO93" s="265"/>
      <c r="AP93" s="265"/>
    </row>
    <row r="94" spans="2:42" ht="14.9" customHeight="1" x14ac:dyDescent="0.35">
      <c r="B94" s="532" t="s">
        <v>349</v>
      </c>
      <c r="C94" s="478" t="s">
        <v>350</v>
      </c>
      <c r="D94" s="479"/>
      <c r="E94" s="480"/>
      <c r="F94" s="480"/>
      <c r="G94" s="480"/>
      <c r="H94" s="446">
        <f>'Haver Pivoted'!GS41</f>
        <v>72.497</v>
      </c>
      <c r="I94" s="446">
        <f>'Haver Pivoted'!GT41</f>
        <v>75.790000000000006</v>
      </c>
      <c r="J94" s="446">
        <f>'Haver Pivoted'!GU41</f>
        <v>75.337000000000003</v>
      </c>
      <c r="K94" s="446">
        <f>'Haver Pivoted'!GV41</f>
        <v>79.305000000000007</v>
      </c>
      <c r="L94" s="446">
        <f>'Haver Pivoted'!GW41</f>
        <v>75.888000000000005</v>
      </c>
      <c r="M94" s="446">
        <f>'Haver Pivoted'!GX41</f>
        <v>73.445999999999998</v>
      </c>
      <c r="N94" s="446">
        <f>'Haver Pivoted'!GY41</f>
        <v>74.11</v>
      </c>
      <c r="O94" s="446">
        <f>'Haver Pivoted'!GZ41</f>
        <v>70.132999999999996</v>
      </c>
      <c r="P94" s="446">
        <f>'Haver Pivoted'!HA41</f>
        <v>72.956999999999994</v>
      </c>
      <c r="Q94" s="446">
        <f>'Haver Pivoted'!HB41</f>
        <v>75.451999999999998</v>
      </c>
      <c r="R94" s="446">
        <f>AVERAGE($H$94:$N$94)</f>
        <v>75.19614285714286</v>
      </c>
      <c r="S94" s="446">
        <f t="shared" ref="S94" si="47">AVERAGE($H$94:$N$94)</f>
        <v>75.19614285714286</v>
      </c>
      <c r="T94" s="446">
        <f>AVERAGE($H$94:$N$94)+T95</f>
        <v>76.015142857142862</v>
      </c>
      <c r="U94" s="446">
        <f>AVERAGE($H$94:$N$94)+U95</f>
        <v>76.015142857142862</v>
      </c>
      <c r="V94" s="446">
        <f>AVERAGE($H$94:$N$94)+V95</f>
        <v>76.015142857142862</v>
      </c>
      <c r="W94" s="446">
        <f>AVERAGE($H$94:$N$94)+W95</f>
        <v>76.015142857142862</v>
      </c>
      <c r="X94" s="471">
        <f>AVERAGE($H$94:$N$94)+X95</f>
        <v>77.674142857142854</v>
      </c>
      <c r="Y94" s="471">
        <f t="shared" ref="Y94:AC94" si="48">AVERAGE($H$94:$N$94)+Y95</f>
        <v>77.674142857142854</v>
      </c>
      <c r="Z94" s="471">
        <f>AVERAGE($H$94:$N$94)+Z95</f>
        <v>77.674142857142854</v>
      </c>
      <c r="AA94" s="471">
        <f t="shared" si="48"/>
        <v>77.674142857142854</v>
      </c>
      <c r="AB94" s="471">
        <f t="shared" si="48"/>
        <v>79.268142857142863</v>
      </c>
      <c r="AC94" s="471">
        <f t="shared" si="48"/>
        <v>79.268142857142863</v>
      </c>
      <c r="AD94" s="471">
        <f>AVERAGE($H$94:$N$94)+AD95</f>
        <v>75.19614285714286</v>
      </c>
      <c r="AE94" s="471">
        <f>AVERAGE($H$94:$N$94)+AE95</f>
        <v>75.19614285714286</v>
      </c>
      <c r="AF94" s="471">
        <f t="shared" ref="AF94" si="49">AVERAGE($H$94:$N$94)+AF95</f>
        <v>75.19614285714286</v>
      </c>
      <c r="AG94" s="471">
        <f>AVERAGE($H$94:$N$94)+AG95</f>
        <v>75.19614285714286</v>
      </c>
      <c r="AH94" s="471">
        <f>AVERAGE($H$94:$N$94)+AH95</f>
        <v>75.19614285714286</v>
      </c>
      <c r="AI94" s="471">
        <f>AVERAGE($H$94:$N$94)+AI95</f>
        <v>75.19614285714286</v>
      </c>
      <c r="AJ94" s="471">
        <f>AVERAGE($H$94:$N$94)+AJ95</f>
        <v>75.19614285714286</v>
      </c>
      <c r="AK94" s="471">
        <f t="shared" ref="AK94:AM94" si="50">AVERAGE($H$94:$N$94)+AK95</f>
        <v>75.19614285714286</v>
      </c>
      <c r="AL94" s="471">
        <f t="shared" si="50"/>
        <v>75.19614285714286</v>
      </c>
      <c r="AM94" s="471">
        <f t="shared" si="50"/>
        <v>75.19614285714286</v>
      </c>
      <c r="AN94" s="471">
        <f>AVERAGE($H$94:$N$94)+AN95</f>
        <v>75.19614285714286</v>
      </c>
      <c r="AO94" s="363"/>
      <c r="AP94" s="363"/>
    </row>
    <row r="95" spans="2:42" x14ac:dyDescent="0.35">
      <c r="B95" s="280" t="s">
        <v>1135</v>
      </c>
      <c r="C95" s="43"/>
      <c r="D95" s="280"/>
      <c r="E95" s="43"/>
      <c r="F95" s="43"/>
      <c r="G95" s="43"/>
      <c r="H95" s="43"/>
      <c r="I95" s="43"/>
      <c r="J95" s="43"/>
      <c r="K95" s="43"/>
      <c r="L95" s="43"/>
      <c r="M95" s="43"/>
      <c r="N95" s="43"/>
      <c r="O95" s="43"/>
      <c r="P95" s="43"/>
      <c r="Q95" s="43"/>
      <c r="R95" s="43"/>
      <c r="S95" s="447">
        <f>'IRA and CHIPS'!E185</f>
        <v>0</v>
      </c>
      <c r="T95" s="447">
        <f>'IRA and CHIPS'!F185</f>
        <v>0.81899999999999995</v>
      </c>
      <c r="U95" s="447">
        <f>'IRA and CHIPS'!G185</f>
        <v>0.81899999999999995</v>
      </c>
      <c r="V95" s="447">
        <f>'IRA and CHIPS'!H185</f>
        <v>0.81899999999999995</v>
      </c>
      <c r="W95" s="447">
        <f>'IRA and CHIPS'!I185</f>
        <v>0.81899999999999995</v>
      </c>
      <c r="X95" s="470">
        <f>'IRA and CHIPS'!J185</f>
        <v>2.4780000000000002</v>
      </c>
      <c r="Y95" s="470">
        <f>'IRA and CHIPS'!K185</f>
        <v>2.4780000000000002</v>
      </c>
      <c r="Z95" s="470">
        <f>'IRA and CHIPS'!L185</f>
        <v>2.4780000000000002</v>
      </c>
      <c r="AA95" s="470">
        <f>'IRA and CHIPS'!M185</f>
        <v>2.4780000000000002</v>
      </c>
      <c r="AB95" s="470">
        <f>'IRA and CHIPS'!N185</f>
        <v>4.0720000000000001</v>
      </c>
      <c r="AC95" s="470">
        <f>'IRA and CHIPS'!O185</f>
        <v>4.0720000000000001</v>
      </c>
      <c r="AD95" s="470">
        <f>'IRA and CHIPS'!T185</f>
        <v>0</v>
      </c>
      <c r="AE95" s="470">
        <v>0</v>
      </c>
      <c r="AF95" s="470">
        <v>0</v>
      </c>
      <c r="AG95" s="470">
        <v>0</v>
      </c>
      <c r="AH95" s="470">
        <v>0</v>
      </c>
      <c r="AI95" s="470">
        <v>0</v>
      </c>
      <c r="AJ95" s="470">
        <v>0</v>
      </c>
      <c r="AK95" s="470">
        <v>0</v>
      </c>
      <c r="AL95" s="470">
        <v>0</v>
      </c>
      <c r="AM95" s="470">
        <v>0</v>
      </c>
      <c r="AN95" s="470">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AG6:AN6"/>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Y68"/>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G12" sqref="AG1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1" max="31" width="12.6328125" customWidth="1"/>
    <col min="38" max="38" width="14.1796875" customWidth="1"/>
    <col min="44" max="44" width="31.81640625" customWidth="1"/>
    <col min="46" max="46" width="10.1796875" customWidth="1"/>
  </cols>
  <sheetData>
    <row r="1" spans="1:77" ht="20.25" customHeight="1" x14ac:dyDescent="0.35">
      <c r="B1" s="1387" t="s">
        <v>351</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c r="AD1" s="241"/>
      <c r="AE1" s="241"/>
      <c r="AF1" s="241"/>
      <c r="AG1" s="241"/>
      <c r="AH1" s="241"/>
    </row>
    <row r="2" spans="1:77" ht="14.25" customHeight="1" x14ac:dyDescent="0.35">
      <c r="B2" s="1388" t="s">
        <v>352</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c r="AD2" s="242"/>
      <c r="AE2" s="242"/>
      <c r="AF2" s="242"/>
      <c r="AG2" s="242"/>
      <c r="AH2" s="242"/>
    </row>
    <row r="3" spans="1:77" ht="9" customHeight="1"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c r="AD3" s="242"/>
      <c r="AE3" s="242"/>
      <c r="AF3" s="242"/>
      <c r="AG3" s="242"/>
      <c r="AH3" s="242"/>
    </row>
    <row r="4" spans="1:77" ht="27" customHeight="1"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c r="AD4" s="242"/>
      <c r="AE4" s="242"/>
      <c r="AF4" s="242"/>
      <c r="AG4" s="242"/>
      <c r="AH4" s="242"/>
      <c r="AJ4" s="599"/>
      <c r="AK4" s="599"/>
      <c r="AL4" s="599"/>
      <c r="AM4" s="599"/>
      <c r="AN4" s="599"/>
      <c r="AO4" s="599"/>
      <c r="AP4" s="599"/>
      <c r="AQ4" s="599"/>
      <c r="AR4" s="599"/>
    </row>
    <row r="5" spans="1:77" x14ac:dyDescent="0.35">
      <c r="B5" s="399" t="s">
        <v>299</v>
      </c>
      <c r="AC5" s="360"/>
      <c r="AD5" s="360"/>
      <c r="AE5" s="539"/>
      <c r="AF5" s="547"/>
      <c r="AG5" s="547"/>
      <c r="AH5" s="547"/>
      <c r="AI5" s="547"/>
      <c r="AJ5" s="575"/>
      <c r="AK5" s="575"/>
      <c r="AL5" s="575"/>
      <c r="AM5" s="575"/>
    </row>
    <row r="6" spans="1:77" ht="14.9" customHeight="1" x14ac:dyDescent="0.35">
      <c r="B6" s="1443"/>
      <c r="C6" s="1444"/>
      <c r="D6" s="1457" t="s">
        <v>246</v>
      </c>
      <c r="E6" s="1457"/>
      <c r="F6" s="1457"/>
      <c r="G6" s="1457"/>
      <c r="H6" s="1457"/>
      <c r="I6" s="1457"/>
      <c r="J6" s="1457"/>
      <c r="K6" s="1457"/>
      <c r="L6" s="1457"/>
      <c r="M6" s="1457"/>
      <c r="N6" s="1457"/>
      <c r="O6" s="1457"/>
      <c r="P6" s="1457"/>
      <c r="Q6" s="1457"/>
      <c r="R6" s="1457"/>
      <c r="S6" s="1457"/>
      <c r="T6" s="1457"/>
      <c r="U6" s="1457"/>
      <c r="V6" s="1457"/>
      <c r="W6" s="1457"/>
      <c r="X6" s="1457"/>
      <c r="Y6" s="1457"/>
      <c r="Z6" s="1457"/>
      <c r="AA6" s="1457"/>
      <c r="AB6" s="1457"/>
      <c r="AC6" s="260"/>
      <c r="AD6" s="260"/>
      <c r="AE6" s="260"/>
      <c r="AF6" s="260"/>
      <c r="AG6" s="1420" t="s">
        <v>247</v>
      </c>
      <c r="AH6" s="1420"/>
      <c r="AI6" s="1420"/>
      <c r="AJ6" s="1420"/>
      <c r="AK6" s="1420"/>
      <c r="AL6" s="1420"/>
      <c r="AM6" s="1420"/>
      <c r="AN6" s="1421"/>
    </row>
    <row r="7" spans="1:77" ht="14.9" customHeight="1" x14ac:dyDescent="0.35">
      <c r="B7" s="1445"/>
      <c r="C7" s="1446"/>
      <c r="D7" s="541">
        <v>2018</v>
      </c>
      <c r="E7" s="1448">
        <v>2019</v>
      </c>
      <c r="F7" s="1449"/>
      <c r="G7" s="1449"/>
      <c r="H7" s="1450"/>
      <c r="I7" s="1448">
        <v>2020</v>
      </c>
      <c r="J7" s="1449"/>
      <c r="K7" s="1449"/>
      <c r="L7" s="1449"/>
      <c r="M7" s="1448">
        <v>2021</v>
      </c>
      <c r="N7" s="1449"/>
      <c r="O7" s="1449"/>
      <c r="P7" s="1449"/>
      <c r="Q7" s="1448">
        <v>2022</v>
      </c>
      <c r="R7" s="1449"/>
      <c r="S7" s="1449"/>
      <c r="T7" s="1450"/>
      <c r="U7" s="1398">
        <v>2023</v>
      </c>
      <c r="V7" s="1399"/>
      <c r="W7" s="1399"/>
      <c r="X7" s="1400"/>
      <c r="Y7" s="1398">
        <v>2024</v>
      </c>
      <c r="Z7" s="1399"/>
      <c r="AA7" s="1399"/>
      <c r="AB7" s="1400"/>
      <c r="AC7" s="1398">
        <v>2025</v>
      </c>
      <c r="AD7" s="1399"/>
      <c r="AE7" s="1399"/>
      <c r="AF7" s="1400"/>
      <c r="AG7" s="1412">
        <v>2026</v>
      </c>
      <c r="AH7" s="1424"/>
      <c r="AI7" s="1424"/>
      <c r="AJ7" s="1414"/>
      <c r="AK7" s="1412">
        <v>2027</v>
      </c>
      <c r="AL7" s="1424"/>
      <c r="AM7" s="1424"/>
      <c r="AN7" s="1414"/>
    </row>
    <row r="8" spans="1:77" ht="14.9" customHeight="1" x14ac:dyDescent="0.35">
      <c r="B8" s="1445"/>
      <c r="C8" s="1447"/>
      <c r="D8" s="541">
        <v>2018</v>
      </c>
      <c r="E8" s="1448">
        <v>2019</v>
      </c>
      <c r="F8" s="1449"/>
      <c r="G8" s="1449"/>
      <c r="H8" s="1450"/>
      <c r="I8" s="607" t="s">
        <v>249</v>
      </c>
      <c r="J8" s="245" t="s">
        <v>250</v>
      </c>
      <c r="K8" s="245" t="s">
        <v>226</v>
      </c>
      <c r="L8" s="352" t="s">
        <v>248</v>
      </c>
      <c r="M8" s="607" t="s">
        <v>249</v>
      </c>
      <c r="N8" s="245" t="s">
        <v>250</v>
      </c>
      <c r="O8" s="245" t="s">
        <v>226</v>
      </c>
      <c r="P8" s="352" t="s">
        <v>248</v>
      </c>
      <c r="Q8" s="607" t="s">
        <v>249</v>
      </c>
      <c r="R8" s="245" t="s">
        <v>250</v>
      </c>
      <c r="S8" s="245" t="s">
        <v>226</v>
      </c>
      <c r="T8" s="352" t="s">
        <v>248</v>
      </c>
      <c r="U8" s="607" t="s">
        <v>249</v>
      </c>
      <c r="V8" s="245" t="s">
        <v>250</v>
      </c>
      <c r="W8" s="245" t="s">
        <v>226</v>
      </c>
      <c r="X8" s="352" t="s">
        <v>248</v>
      </c>
      <c r="Y8" s="607" t="s">
        <v>249</v>
      </c>
      <c r="Z8" s="245" t="s">
        <v>250</v>
      </c>
      <c r="AA8" s="245" t="s">
        <v>226</v>
      </c>
      <c r="AB8" s="352" t="s">
        <v>248</v>
      </c>
      <c r="AC8" s="272" t="s">
        <v>249</v>
      </c>
      <c r="AD8" s="273" t="s">
        <v>250</v>
      </c>
      <c r="AE8" s="273" t="s">
        <v>226</v>
      </c>
      <c r="AF8" s="271" t="s">
        <v>248</v>
      </c>
      <c r="AG8" s="275" t="s">
        <v>249</v>
      </c>
      <c r="AH8" s="270" t="s">
        <v>250</v>
      </c>
      <c r="AI8" s="270" t="s">
        <v>226</v>
      </c>
      <c r="AJ8" s="276" t="s">
        <v>248</v>
      </c>
      <c r="AK8" s="275" t="s">
        <v>249</v>
      </c>
      <c r="AL8" s="270" t="s">
        <v>250</v>
      </c>
      <c r="AM8" s="270" t="s">
        <v>226</v>
      </c>
      <c r="AN8" s="276" t="s">
        <v>248</v>
      </c>
    </row>
    <row r="9" spans="1:77" ht="17.25" customHeight="1" x14ac:dyDescent="0.35">
      <c r="A9" t="s">
        <v>2032</v>
      </c>
      <c r="B9" s="591" t="s">
        <v>2009</v>
      </c>
      <c r="C9" s="586" t="s">
        <v>860</v>
      </c>
      <c r="D9" s="586"/>
      <c r="E9" s="586"/>
      <c r="F9" s="586"/>
      <c r="G9" s="586"/>
      <c r="H9" s="579">
        <f>'Haver Pivoted'!GS23</f>
        <v>1439.9</v>
      </c>
      <c r="I9" s="579">
        <f>'Haver Pivoted'!GT23</f>
        <v>1460.3</v>
      </c>
      <c r="J9" s="579">
        <f>'Haver Pivoted'!GU23</f>
        <v>1567.7</v>
      </c>
      <c r="K9" s="579">
        <f>'Haver Pivoted'!GV23</f>
        <v>1528.7</v>
      </c>
      <c r="L9" s="579">
        <f>'Haver Pivoted'!GW23</f>
        <v>1541.6</v>
      </c>
      <c r="M9" s="579">
        <f>'Haver Pivoted'!GX23</f>
        <v>1616.7</v>
      </c>
      <c r="N9" s="579">
        <f>'Haver Pivoted'!GY23</f>
        <v>1597.4</v>
      </c>
      <c r="O9" s="579">
        <f>'Haver Pivoted'!GZ23</f>
        <v>1585.2</v>
      </c>
      <c r="P9" s="579">
        <f>'Haver Pivoted'!HA23</f>
        <v>1618.2</v>
      </c>
      <c r="Q9" s="579">
        <f>'Haver Pivoted'!HB23</f>
        <v>1609</v>
      </c>
      <c r="R9" s="579">
        <f>'Haver Pivoted'!HC23</f>
        <v>1622.6</v>
      </c>
      <c r="S9" s="587">
        <f>'Haver Pivoted'!HD23</f>
        <v>1639.1</v>
      </c>
      <c r="T9" s="587">
        <f>'Haver Pivoted'!HE23</f>
        <v>1691.3</v>
      </c>
      <c r="U9" s="587">
        <f>'Haver Pivoted'!HF23</f>
        <v>1727.7</v>
      </c>
      <c r="V9" s="587">
        <f>'Haver Pivoted'!HG23</f>
        <v>1738.8</v>
      </c>
      <c r="W9" s="587">
        <f>'Haver Pivoted'!HH23</f>
        <v>1784.4</v>
      </c>
      <c r="X9" s="587">
        <f>'Haver Pivoted'!HI23</f>
        <v>1812</v>
      </c>
      <c r="Y9" s="587">
        <f>'Haver Pivoted'!HJ23</f>
        <v>1834.3</v>
      </c>
      <c r="Z9" s="587">
        <f>'Haver Pivoted'!HK23</f>
        <v>1867.5</v>
      </c>
      <c r="AA9" s="587">
        <f>'Haver Pivoted'!HL23</f>
        <v>1917.9</v>
      </c>
      <c r="AB9" s="587">
        <f>'Haver Pivoted'!HM23</f>
        <v>1950</v>
      </c>
      <c r="AC9" s="587">
        <f>'Haver Pivoted'!HN23</f>
        <v>1949.7</v>
      </c>
      <c r="AD9" s="587">
        <f>'Haver Pivoted'!HO23</f>
        <v>1956.4</v>
      </c>
      <c r="AE9" s="587">
        <f>'Haver Pivoted'!HP23</f>
        <v>1989.7</v>
      </c>
      <c r="AF9" s="587">
        <f>'Haver Pivoted'!HQ23</f>
        <v>1972</v>
      </c>
      <c r="AG9" s="580">
        <f>(1+(AG17/100))^(1/4)*AF9+AG10</f>
        <v>2081.4984838079768</v>
      </c>
      <c r="AH9" s="580">
        <f>(1+(AH17/100))^(1/4)*AG9+AH10</f>
        <v>2084.6110407412175</v>
      </c>
      <c r="AI9" s="580">
        <f>(1+(AI17/100))^(1/4)*AH9+AI10</f>
        <v>2092.9132942420906</v>
      </c>
      <c r="AJ9" s="580">
        <f>(1+(AJ17/100))^(1/4)*AI9+AJ10</f>
        <v>2105.8628562712215</v>
      </c>
      <c r="AK9" s="580">
        <f>(1+(AK17/100))^(1/4)*AJ9+AK10</f>
        <v>2117.6666309812972</v>
      </c>
      <c r="AL9" s="580">
        <f>(1+(AL17/100))^(1/4)*AK9+AL10</f>
        <v>2128.6249100188056</v>
      </c>
      <c r="AM9" s="580">
        <f>(1+(AM17/100))^(1/4)*AL9+AM10</f>
        <v>2140.1846256950107</v>
      </c>
      <c r="AN9" s="580">
        <f>(1+(AN17/100))^(1/4)*AM9+AN10</f>
        <v>2146.2158058654809</v>
      </c>
    </row>
    <row r="10" spans="1:77" ht="17.25" customHeight="1" x14ac:dyDescent="0.35">
      <c r="B10" s="591" t="s">
        <v>2408</v>
      </c>
      <c r="C10" s="586"/>
      <c r="D10" s="586"/>
      <c r="E10" s="586"/>
      <c r="F10" s="586"/>
      <c r="G10" s="586"/>
      <c r="H10" s="579"/>
      <c r="I10" s="579"/>
      <c r="J10" s="579"/>
      <c r="K10" s="579"/>
      <c r="L10" s="579"/>
      <c r="M10" s="579"/>
      <c r="N10" s="579"/>
      <c r="O10" s="579"/>
      <c r="P10" s="579"/>
      <c r="Q10" s="579"/>
      <c r="R10" s="579"/>
      <c r="S10" s="587"/>
      <c r="T10" s="587"/>
      <c r="U10" s="587"/>
      <c r="V10" s="587"/>
      <c r="W10" s="587"/>
      <c r="X10" s="587"/>
      <c r="Y10" s="587"/>
      <c r="Z10" s="587"/>
      <c r="AA10" s="587"/>
      <c r="AB10" s="587"/>
      <c r="AC10" s="587"/>
      <c r="AD10" s="587"/>
      <c r="AE10" s="580"/>
      <c r="AF10" s="580"/>
      <c r="AG10" s="580">
        <f>5*AG12</f>
        <v>6.6173931037110743</v>
      </c>
      <c r="AH10" s="580">
        <v>10</v>
      </c>
      <c r="AI10" s="580">
        <v>-8</v>
      </c>
      <c r="AJ10" s="580"/>
      <c r="AK10" s="580"/>
      <c r="AL10" s="580"/>
      <c r="AM10" s="580"/>
      <c r="AN10" s="580"/>
    </row>
    <row r="11" spans="1:77" ht="17.25" customHeight="1" x14ac:dyDescent="0.35">
      <c r="B11" s="591" t="s">
        <v>2405</v>
      </c>
      <c r="C11" s="586"/>
      <c r="D11" s="586"/>
      <c r="E11" s="586"/>
      <c r="F11" s="586"/>
      <c r="G11" s="586"/>
      <c r="H11" s="579"/>
      <c r="I11" s="579"/>
      <c r="J11" s="579"/>
      <c r="K11" s="579"/>
      <c r="L11" s="579"/>
      <c r="M11" s="579"/>
      <c r="N11" s="579"/>
      <c r="O11" s="579"/>
      <c r="P11" s="579"/>
      <c r="Q11" s="579"/>
      <c r="R11" s="579"/>
      <c r="S11" s="580">
        <f>S9/S12</f>
        <v>1410.9201839892773</v>
      </c>
      <c r="T11" s="580">
        <f>T9/T12</f>
        <v>1441.7953950227272</v>
      </c>
      <c r="U11" s="580">
        <f>U9/U12</f>
        <v>1456.5634725756415</v>
      </c>
      <c r="V11" s="580">
        <f>V9/V12</f>
        <v>1456.3348528201841</v>
      </c>
      <c r="W11" s="580">
        <f>W9/W12</f>
        <v>1480.6045057551025</v>
      </c>
      <c r="X11" s="580">
        <f>X9/X12</f>
        <v>1493.0029915558155</v>
      </c>
      <c r="Y11" s="580">
        <f>Y9/Y12</f>
        <v>1496.0220800326379</v>
      </c>
      <c r="Z11" s="580">
        <f>Z9/Z12</f>
        <v>1511.6365920422097</v>
      </c>
      <c r="AA11" s="580">
        <f>AA9/AA12</f>
        <v>1543.1788890610105</v>
      </c>
      <c r="AB11" s="580">
        <f>AB9/AB12</f>
        <v>1559.6976304716163</v>
      </c>
      <c r="AC11" s="580">
        <f>AC9/AC12</f>
        <v>1537.3904595663</v>
      </c>
      <c r="AD11" s="580">
        <f>AD9/AD12</f>
        <v>1516.7742347849039</v>
      </c>
      <c r="AE11" s="580">
        <f>AE9/AE12</f>
        <v>1526.7224939847283</v>
      </c>
      <c r="AF11" s="580">
        <f>AF9/AF12</f>
        <v>1459.1870552863147</v>
      </c>
      <c r="AG11" s="580">
        <f>AG9/AG12</f>
        <v>1572.7480982206268</v>
      </c>
      <c r="AH11" s="580">
        <f>AH9/AH12</f>
        <v>1562.8665177023818</v>
      </c>
      <c r="AI11" s="580">
        <f>AI9/AI12</f>
        <v>1556.1570808220954</v>
      </c>
      <c r="AJ11" s="580">
        <f>AJ9/AJ12</f>
        <v>1557.8260027169263</v>
      </c>
      <c r="AK11" s="580">
        <f>AK9/AK12</f>
        <v>1558.9946158439566</v>
      </c>
      <c r="AL11" s="580">
        <f>AL9/AL12</f>
        <v>1561.1170788645013</v>
      </c>
      <c r="AM11" s="580">
        <f>AM9/AM12</f>
        <v>1562.7320186647185</v>
      </c>
      <c r="AN11" s="580">
        <f>AN9/AN12</f>
        <v>1559.8818949332706</v>
      </c>
    </row>
    <row r="12" spans="1:77" ht="17" customHeight="1" x14ac:dyDescent="0.35">
      <c r="B12" s="591" t="s">
        <v>85</v>
      </c>
      <c r="C12" s="586"/>
      <c r="D12" s="586"/>
      <c r="E12" s="586"/>
      <c r="F12" s="586"/>
      <c r="G12" s="586"/>
      <c r="H12" s="579"/>
      <c r="I12" s="579"/>
      <c r="J12" s="579"/>
      <c r="K12" s="579"/>
      <c r="L12" s="579"/>
      <c r="M12" s="579"/>
      <c r="N12" s="579"/>
      <c r="O12" s="579"/>
      <c r="P12" s="579"/>
      <c r="Q12" s="579"/>
      <c r="R12" s="579"/>
      <c r="S12" s="587">
        <f>Deflators!S30</f>
        <v>1.1617241135253733</v>
      </c>
      <c r="T12" s="587">
        <f>Deflators!T30</f>
        <v>1.1730513260332196</v>
      </c>
      <c r="U12" s="587">
        <f>Deflators!U30</f>
        <v>1.1861481030723005</v>
      </c>
      <c r="V12" s="587">
        <f>Deflators!V30</f>
        <v>1.1939561815971262</v>
      </c>
      <c r="W12" s="587">
        <f>Deflators!W30</f>
        <v>1.2051834187077277</v>
      </c>
      <c r="X12" s="587">
        <f>Deflators!X30</f>
        <v>1.2136613323940946</v>
      </c>
      <c r="Y12" s="587">
        <f>Deflators!Y30</f>
        <v>1.2261182668908082</v>
      </c>
      <c r="Z12" s="587">
        <f>Deflators!Z30</f>
        <v>1.2354159788345831</v>
      </c>
      <c r="AA12" s="587">
        <f>Deflators!AA30</f>
        <v>1.2428241557704298</v>
      </c>
      <c r="AB12" s="587">
        <f>Deflators!AB30</f>
        <v>1.2502423302460011</v>
      </c>
      <c r="AC12" s="587">
        <f>Deflators!AC30</f>
        <v>1.2681879140514591</v>
      </c>
      <c r="AD12" s="587">
        <f>Deflators!AD30</f>
        <v>1.2898425850947028</v>
      </c>
      <c r="AE12" s="544">
        <f>Deflators!AE30</f>
        <v>1.3032492858652431</v>
      </c>
      <c r="AF12" s="544">
        <f>Deflators!AF30</f>
        <v>1.3514374273372811</v>
      </c>
      <c r="AG12" s="548">
        <f>Deflators!AG30</f>
        <v>1.3234786207422149</v>
      </c>
      <c r="AH12" s="548">
        <f>Deflators!AH30</f>
        <v>1.3338381858777475</v>
      </c>
      <c r="AI12" s="548">
        <f>Deflators!AI30</f>
        <v>1.3449241853762184</v>
      </c>
      <c r="AJ12" s="548">
        <f>Deflators!AJ30</f>
        <v>1.3517959339480095</v>
      </c>
      <c r="AK12" s="548">
        <f>Deflators!AK30</f>
        <v>1.3583540375698511</v>
      </c>
      <c r="AL12" s="548">
        <f>Deflators!AL30</f>
        <v>1.363526758394757</v>
      </c>
      <c r="AM12" s="548">
        <f>Deflators!AM30</f>
        <v>1.3695147985280922</v>
      </c>
      <c r="AN12" s="569">
        <f>Deflators!AN30</f>
        <v>1.3758835286419506</v>
      </c>
    </row>
    <row r="13" spans="1:77" s="1560" customFormat="1" ht="14.9" customHeight="1" x14ac:dyDescent="0.35">
      <c r="B13" s="1586" t="s">
        <v>2411</v>
      </c>
      <c r="C13" s="1562"/>
      <c r="D13" s="1563"/>
      <c r="E13" s="1563"/>
      <c r="F13" s="1564"/>
      <c r="G13" s="1564"/>
      <c r="H13" s="1563"/>
      <c r="I13" s="1565"/>
      <c r="J13" s="1566"/>
      <c r="K13" s="1566"/>
      <c r="L13" s="1567"/>
      <c r="M13" s="1565"/>
      <c r="N13" s="1566"/>
      <c r="O13" s="1566"/>
      <c r="P13" s="1567"/>
      <c r="Q13" s="1565"/>
      <c r="R13" s="1566"/>
      <c r="S13" s="1584"/>
      <c r="T13" s="1584"/>
      <c r="U13" s="1584">
        <f t="shared" ref="S13:AA13" si="0">U11-U18</f>
        <v>0.26347257564157189</v>
      </c>
      <c r="V13" s="1584">
        <f t="shared" si="0"/>
        <v>0.23485282018418729</v>
      </c>
      <c r="W13" s="1584">
        <f t="shared" si="0"/>
        <v>0.30450575510258204</v>
      </c>
      <c r="X13" s="1584">
        <f t="shared" si="0"/>
        <v>0.20299155581551531</v>
      </c>
      <c r="Y13" s="1584">
        <f t="shared" si="0"/>
        <v>0.22208003263790488</v>
      </c>
      <c r="Z13" s="1584">
        <f t="shared" si="0"/>
        <v>0.13659204220971333</v>
      </c>
      <c r="AA13" s="1584">
        <f t="shared" si="0"/>
        <v>0.27888906101043176</v>
      </c>
      <c r="AB13" s="1584">
        <f t="shared" ref="AB13:AE13" si="1">AB11-AB18</f>
        <v>0.1976304716163213</v>
      </c>
      <c r="AC13" s="1584">
        <f t="shared" si="1"/>
        <v>0.19045956629997818</v>
      </c>
      <c r="AD13" s="1584">
        <f t="shared" si="1"/>
        <v>0.17423478490400157</v>
      </c>
      <c r="AE13" s="1584">
        <f t="shared" si="1"/>
        <v>8.4224939847283622</v>
      </c>
      <c r="AF13" s="1584">
        <f>AF11-AF18</f>
        <v>-5.0129447136853287</v>
      </c>
      <c r="AG13" s="1584">
        <f t="shared" ref="AG13:AN13" si="2">AG11-AG18</f>
        <v>6.8480982206267527</v>
      </c>
      <c r="AH13" s="1584">
        <f t="shared" si="2"/>
        <v>14.266517702381861</v>
      </c>
      <c r="AI13" s="1584">
        <f t="shared" si="2"/>
        <v>8.257080822095304</v>
      </c>
      <c r="AJ13" s="1584">
        <f t="shared" si="2"/>
        <v>8.3260027169262685</v>
      </c>
      <c r="AK13" s="1584">
        <f t="shared" si="2"/>
        <v>8.2946158439565352</v>
      </c>
      <c r="AL13" s="1584">
        <f t="shared" si="2"/>
        <v>8.3170788645013545</v>
      </c>
      <c r="AM13" s="1584">
        <f t="shared" si="2"/>
        <v>8.3320186647183618</v>
      </c>
      <c r="AN13" s="1584">
        <f t="shared" si="2"/>
        <v>8.2818949332706779</v>
      </c>
    </row>
    <row r="14" spans="1:77" s="1560" customFormat="1" ht="14.9" customHeight="1" x14ac:dyDescent="0.35">
      <c r="B14" s="1561"/>
      <c r="C14" s="1562"/>
      <c r="D14" s="1563"/>
      <c r="E14" s="1563"/>
      <c r="F14" s="1564"/>
      <c r="G14" s="1564"/>
      <c r="H14" s="1563"/>
      <c r="I14" s="1565"/>
      <c r="J14" s="1566"/>
      <c r="K14" s="1566"/>
      <c r="L14" s="1567"/>
      <c r="M14" s="1565"/>
      <c r="N14" s="1566"/>
      <c r="O14" s="1566"/>
      <c r="P14" s="1567"/>
      <c r="Q14" s="1565"/>
      <c r="R14" s="1566"/>
      <c r="S14" s="1566"/>
      <c r="T14" s="1567"/>
      <c r="U14" s="1565"/>
      <c r="V14" s="1566"/>
      <c r="W14" s="1566"/>
      <c r="X14" s="1567"/>
      <c r="Y14" s="1565"/>
      <c r="Z14" s="1566"/>
      <c r="AA14" s="1566"/>
      <c r="AB14" s="1584"/>
      <c r="AC14" s="1584"/>
      <c r="AD14" s="1584"/>
      <c r="AE14" s="1584"/>
      <c r="AF14" s="1584"/>
      <c r="AG14" s="1584"/>
      <c r="AH14" s="1584"/>
      <c r="AI14" s="1584"/>
      <c r="AJ14" s="1584"/>
      <c r="AK14" s="1584"/>
      <c r="AL14" s="1584"/>
      <c r="AM14" s="1584"/>
      <c r="AN14" s="1584"/>
    </row>
    <row r="15" spans="1:77" s="1560" customFormat="1" ht="14.9" customHeight="1" x14ac:dyDescent="0.35">
      <c r="B15" s="1585" t="s">
        <v>318</v>
      </c>
      <c r="C15" s="1562"/>
      <c r="D15" s="1563"/>
      <c r="E15" s="1563"/>
      <c r="F15" s="1564"/>
      <c r="G15" s="1564"/>
      <c r="H15" s="1563"/>
      <c r="I15" s="1565"/>
      <c r="J15" s="1566"/>
      <c r="K15" s="1566"/>
      <c r="L15" s="1567"/>
      <c r="M15" s="1565"/>
      <c r="N15" s="1566"/>
      <c r="O15" s="1566"/>
      <c r="P15" s="1567"/>
      <c r="Q15" s="1565"/>
      <c r="R15" s="1566"/>
      <c r="S15" s="1566"/>
      <c r="T15" s="1567"/>
      <c r="U15" s="1565"/>
      <c r="V15" s="1566"/>
      <c r="W15" s="1566"/>
      <c r="X15" s="1567"/>
      <c r="Y15" s="1565"/>
      <c r="Z15" s="1566"/>
      <c r="AA15" s="1566"/>
      <c r="AB15" s="1567"/>
      <c r="AC15" s="1567"/>
      <c r="AD15" s="1567"/>
      <c r="AE15" s="1567"/>
      <c r="AF15" s="1567"/>
      <c r="AG15" s="1567"/>
      <c r="AH15" s="1567"/>
      <c r="AI15" s="1567"/>
      <c r="AJ15" s="1567"/>
      <c r="AK15" s="1567"/>
      <c r="AL15" s="1567"/>
      <c r="AM15" s="1567"/>
      <c r="AN15" s="1567"/>
    </row>
    <row r="16" spans="1:77" ht="32" customHeight="1" x14ac:dyDescent="0.35">
      <c r="B16" s="588" t="s">
        <v>2406</v>
      </c>
      <c r="C16" s="1568"/>
      <c r="D16" s="1569"/>
      <c r="E16" s="1569"/>
      <c r="F16" s="1569"/>
      <c r="G16" s="1569"/>
      <c r="H16" s="1569"/>
      <c r="I16" s="1569"/>
      <c r="J16" s="1569"/>
      <c r="K16" s="1569"/>
      <c r="L16" s="1569"/>
      <c r="M16" s="1570">
        <v>1609.9</v>
      </c>
      <c r="N16" s="1570">
        <v>1588.5</v>
      </c>
      <c r="O16" s="1570">
        <v>1576.4</v>
      </c>
      <c r="P16" s="1570">
        <v>1602.5</v>
      </c>
      <c r="Q16" s="1570">
        <v>1606.5</v>
      </c>
      <c r="R16" s="1570">
        <v>1622.1</v>
      </c>
      <c r="S16" s="1570">
        <v>1641.4</v>
      </c>
      <c r="T16" s="1570">
        <v>1694.2</v>
      </c>
      <c r="U16" s="1570">
        <v>1727.7</v>
      </c>
      <c r="V16" s="1570">
        <v>1738.8</v>
      </c>
      <c r="W16" s="1570">
        <v>1784.4</v>
      </c>
      <c r="X16" s="1570">
        <v>1812</v>
      </c>
      <c r="Y16" s="1570">
        <v>1834.3</v>
      </c>
      <c r="Z16" s="1571">
        <v>1867.5</v>
      </c>
      <c r="AA16" s="1571">
        <v>1917.9</v>
      </c>
      <c r="AB16" s="1571">
        <v>1950</v>
      </c>
      <c r="AC16" s="1571">
        <v>1949.7</v>
      </c>
      <c r="AD16" s="1571">
        <v>1956.4</v>
      </c>
      <c r="AE16" s="1571">
        <v>1980</v>
      </c>
      <c r="AF16" s="1571">
        <v>1954.4</v>
      </c>
      <c r="AG16" s="1571">
        <v>2056.3000000000002</v>
      </c>
      <c r="AH16" s="1571">
        <v>2049.5</v>
      </c>
      <c r="AI16" s="1571">
        <v>2065.6</v>
      </c>
      <c r="AJ16" s="1571">
        <v>2078.3000000000002</v>
      </c>
      <c r="AK16" s="1571">
        <v>2090</v>
      </c>
      <c r="AL16" s="1571">
        <v>2100.8000000000002</v>
      </c>
      <c r="AM16" s="1571">
        <v>2112.1999999999998</v>
      </c>
      <c r="AN16" s="1572">
        <v>2118.1999999999998</v>
      </c>
      <c r="AO16" s="1581"/>
      <c r="AP16" s="1581"/>
      <c r="AQ16" s="1581"/>
      <c r="AR16" s="1581"/>
      <c r="AS16" s="1581"/>
      <c r="AT16" s="1581"/>
      <c r="AU16" s="1581"/>
      <c r="AV16" s="1581"/>
      <c r="AW16" s="1581"/>
      <c r="AX16" s="1581"/>
      <c r="AY16" s="1581"/>
      <c r="AZ16" s="1581"/>
      <c r="BA16" s="1581"/>
      <c r="BB16" s="1581"/>
      <c r="BC16" s="1581"/>
      <c r="BD16" s="1581"/>
      <c r="BE16" s="1581"/>
      <c r="BF16" s="1581"/>
      <c r="BG16" s="1581"/>
      <c r="BH16" s="1581"/>
      <c r="BI16" s="1581"/>
      <c r="BJ16" s="1581"/>
      <c r="BK16" s="1581"/>
      <c r="BL16" s="1581"/>
      <c r="BM16" s="1581"/>
      <c r="BN16" s="1581"/>
      <c r="BO16" s="1581"/>
      <c r="BP16" s="1581"/>
      <c r="BQ16" s="1581"/>
      <c r="BR16" s="1560"/>
      <c r="BS16" s="1560"/>
      <c r="BT16" s="1560"/>
      <c r="BU16" s="1560"/>
      <c r="BV16" s="1560"/>
      <c r="BW16" s="1560"/>
      <c r="BX16" s="1560"/>
      <c r="BY16" s="1560"/>
    </row>
    <row r="17" spans="2:77" ht="17.149999999999999" customHeight="1" x14ac:dyDescent="0.35">
      <c r="B17" s="568" t="s">
        <v>2409</v>
      </c>
      <c r="C17" s="590"/>
      <c r="D17" s="590"/>
      <c r="E17" s="590"/>
      <c r="F17" s="590"/>
      <c r="G17" s="590"/>
      <c r="H17" s="1576"/>
      <c r="I17" s="1576"/>
      <c r="J17" s="1576"/>
      <c r="K17" s="1576"/>
      <c r="L17" s="1576"/>
      <c r="M17" s="1577">
        <v>22.143000000000001</v>
      </c>
      <c r="N17" s="1577">
        <v>-5.2320000000000002</v>
      </c>
      <c r="O17" s="1577">
        <v>-2.996</v>
      </c>
      <c r="P17" s="1577">
        <v>6.7709999999999999</v>
      </c>
      <c r="Q17" s="1577">
        <v>-2.56</v>
      </c>
      <c r="R17" s="1577">
        <v>3.9369999999999998</v>
      </c>
      <c r="S17" s="1577">
        <v>4.8460000000000001</v>
      </c>
      <c r="T17" s="1577">
        <v>13.507</v>
      </c>
      <c r="U17" s="1577">
        <v>8.8780000000000001</v>
      </c>
      <c r="V17" s="1577">
        <v>2.6</v>
      </c>
      <c r="W17" s="1577">
        <v>10.898999999999999</v>
      </c>
      <c r="X17" s="1577">
        <v>6.3369999999999997</v>
      </c>
      <c r="Y17" s="1577">
        <v>5.01</v>
      </c>
      <c r="Z17" s="1578">
        <v>7.4550000000000001</v>
      </c>
      <c r="AA17" s="1578">
        <v>11.222</v>
      </c>
      <c r="AB17" s="1578">
        <v>6.8680000000000003</v>
      </c>
      <c r="AC17" s="1578">
        <v>-4.9000000000000002E-2</v>
      </c>
      <c r="AD17" s="1578">
        <v>1.379</v>
      </c>
      <c r="AE17" s="1579">
        <v>4.9020000000000001</v>
      </c>
      <c r="AF17" s="1578">
        <v>-5.0720000000000001</v>
      </c>
      <c r="AG17" s="1578">
        <v>22.559000000000001</v>
      </c>
      <c r="AH17" s="1578">
        <v>-1.3169999999999999</v>
      </c>
      <c r="AI17" s="1578">
        <v>3.165</v>
      </c>
      <c r="AJ17" s="1578">
        <v>2.4980000000000002</v>
      </c>
      <c r="AK17" s="1578">
        <v>2.2610000000000001</v>
      </c>
      <c r="AL17" s="1578">
        <v>2.0859999999999999</v>
      </c>
      <c r="AM17" s="1578">
        <v>2.19</v>
      </c>
      <c r="AN17" s="1580">
        <v>1.1319999999999999</v>
      </c>
      <c r="AO17" s="1582"/>
      <c r="AP17" s="1582"/>
      <c r="AQ17" s="1582"/>
      <c r="AR17" s="1582"/>
      <c r="AS17" s="1582"/>
      <c r="AT17" s="1582"/>
      <c r="AU17" s="1582"/>
      <c r="AV17" s="1582"/>
      <c r="AW17" s="1582"/>
      <c r="AX17" s="1582"/>
      <c r="AY17" s="1582"/>
      <c r="AZ17" s="1582"/>
      <c r="BA17" s="1582"/>
      <c r="BB17" s="1582"/>
      <c r="BC17" s="1582"/>
      <c r="BD17" s="1582"/>
      <c r="BE17" s="1582"/>
      <c r="BF17" s="1582"/>
      <c r="BG17" s="1582"/>
      <c r="BH17" s="1582"/>
      <c r="BI17" s="1582"/>
      <c r="BJ17" s="1582"/>
      <c r="BK17" s="1582"/>
      <c r="BL17" s="1582"/>
      <c r="BM17" s="1582"/>
      <c r="BN17" s="1582"/>
      <c r="BO17" s="1582"/>
      <c r="BP17" s="1582"/>
      <c r="BQ17" s="1582"/>
      <c r="BR17" s="1560"/>
      <c r="BS17" s="1560"/>
      <c r="BT17" s="1560"/>
      <c r="BU17" s="1560"/>
      <c r="BV17" s="1560"/>
      <c r="BW17" s="1560"/>
      <c r="BX17" s="1560"/>
      <c r="BY17" s="1560"/>
    </row>
    <row r="18" spans="2:77" ht="32" customHeight="1" x14ac:dyDescent="0.35">
      <c r="B18" s="568" t="s">
        <v>2407</v>
      </c>
      <c r="C18" s="1558"/>
      <c r="D18" s="1559"/>
      <c r="E18" s="1559"/>
      <c r="F18" s="1559"/>
      <c r="G18" s="1559"/>
      <c r="H18" s="1559"/>
      <c r="I18" s="1559"/>
      <c r="J18" s="1559"/>
      <c r="K18" s="1559"/>
      <c r="L18" s="1559"/>
      <c r="M18" s="1573"/>
      <c r="N18" s="1573"/>
      <c r="O18" s="1573"/>
      <c r="P18" s="1573"/>
      <c r="Q18" s="1573"/>
      <c r="R18" s="1573"/>
      <c r="S18" s="1573"/>
      <c r="T18" s="1573"/>
      <c r="U18" s="1573">
        <f>'[2]1. Quarterly'!C$168</f>
        <v>1456.3</v>
      </c>
      <c r="V18" s="1573">
        <f>'[2]1. Quarterly'!D$168</f>
        <v>1456.1</v>
      </c>
      <c r="W18" s="1573">
        <f>'[2]1. Quarterly'!E$168</f>
        <v>1480.3</v>
      </c>
      <c r="X18" s="1573">
        <f>'[2]1. Quarterly'!F$168</f>
        <v>1492.8</v>
      </c>
      <c r="Y18" s="1573">
        <f>'[2]1. Quarterly'!G$168</f>
        <v>1495.8</v>
      </c>
      <c r="Z18" s="1573">
        <f>'[2]1. Quarterly'!H$168</f>
        <v>1511.5</v>
      </c>
      <c r="AA18" s="1573">
        <f>'[2]1. Quarterly'!I$168</f>
        <v>1542.9</v>
      </c>
      <c r="AB18" s="1573">
        <f>'[2]1. Quarterly'!J$168</f>
        <v>1559.5</v>
      </c>
      <c r="AC18" s="1573">
        <f>'[2]1. Quarterly'!K$168</f>
        <v>1537.2</v>
      </c>
      <c r="AD18" s="1573">
        <f>'[2]1. Quarterly'!L$168</f>
        <v>1516.6</v>
      </c>
      <c r="AE18" s="1573">
        <f>'[2]1. Quarterly'!M$168</f>
        <v>1518.3</v>
      </c>
      <c r="AF18" s="1573">
        <f>'[2]1. Quarterly'!N$168</f>
        <v>1464.2</v>
      </c>
      <c r="AG18" s="1573">
        <f>'[2]1. Quarterly'!O$168</f>
        <v>1565.9</v>
      </c>
      <c r="AH18" s="1573">
        <f>'[2]1. Quarterly'!P$168</f>
        <v>1548.6</v>
      </c>
      <c r="AI18" s="1573">
        <f>'[2]1. Quarterly'!Q$168</f>
        <v>1547.9</v>
      </c>
      <c r="AJ18" s="1573">
        <f>'[2]1. Quarterly'!R$168</f>
        <v>1549.5</v>
      </c>
      <c r="AK18" s="1573">
        <f>'[2]1. Quarterly'!S$168</f>
        <v>1550.7</v>
      </c>
      <c r="AL18" s="1573">
        <f>'[2]1. Quarterly'!T$168</f>
        <v>1552.8</v>
      </c>
      <c r="AM18" s="1573">
        <f>'[2]1. Quarterly'!U$168</f>
        <v>1554.4</v>
      </c>
      <c r="AN18" s="1574">
        <f>'[2]1. Quarterly'!V$168</f>
        <v>1551.6</v>
      </c>
      <c r="AO18" s="1581"/>
      <c r="AP18" s="1581"/>
      <c r="AQ18" s="1581"/>
      <c r="AR18" s="1581"/>
      <c r="AS18" s="1581"/>
      <c r="AT18" s="1581"/>
      <c r="AU18" s="1581"/>
      <c r="AV18" s="1581"/>
      <c r="AW18" s="1581"/>
      <c r="AX18" s="1581"/>
      <c r="AY18" s="1581"/>
      <c r="AZ18" s="1581"/>
      <c r="BA18" s="1581"/>
      <c r="BB18" s="1581"/>
      <c r="BC18" s="1581"/>
      <c r="BD18" s="1581"/>
      <c r="BE18" s="1581"/>
      <c r="BF18" s="1581"/>
      <c r="BG18" s="1581"/>
      <c r="BH18" s="1581"/>
      <c r="BI18" s="1581"/>
      <c r="BJ18" s="1581"/>
      <c r="BK18" s="1581"/>
      <c r="BL18" s="1581"/>
      <c r="BM18" s="1581"/>
      <c r="BN18" s="1581"/>
      <c r="BO18" s="1581"/>
      <c r="BP18" s="1581"/>
      <c r="BQ18" s="1581"/>
      <c r="BR18" s="1560"/>
      <c r="BS18" s="1560"/>
      <c r="BT18" s="1560"/>
      <c r="BU18" s="1560"/>
      <c r="BV18" s="1560"/>
      <c r="BW18" s="1560"/>
      <c r="BX18" s="1560"/>
      <c r="BY18" s="1560"/>
    </row>
    <row r="19" spans="2:77" ht="32" customHeight="1" x14ac:dyDescent="0.35">
      <c r="B19" s="1575" t="s">
        <v>2410</v>
      </c>
      <c r="C19" s="1558"/>
      <c r="D19" s="1559"/>
      <c r="E19" s="1559"/>
      <c r="F19" s="1559"/>
      <c r="G19" s="1559"/>
      <c r="H19" s="1559"/>
      <c r="I19" s="1559"/>
      <c r="J19" s="1559"/>
      <c r="K19" s="1559"/>
      <c r="L19" s="1559"/>
      <c r="M19" s="1583" t="e">
        <f>((M18/L18)^4-1)*100</f>
        <v>#DIV/0!</v>
      </c>
      <c r="N19" s="1583" t="e">
        <f>((N18/M18)^4-1)*100</f>
        <v>#DIV/0!</v>
      </c>
      <c r="O19" s="1583" t="e">
        <f>((O18/N18)^4-1)*100</f>
        <v>#DIV/0!</v>
      </c>
      <c r="P19" s="1583" t="e">
        <f>((P18/O18)^4-1)*100</f>
        <v>#DIV/0!</v>
      </c>
      <c r="Q19" s="1583" t="e">
        <f>((Q18/P18)^4-1)*100</f>
        <v>#DIV/0!</v>
      </c>
      <c r="R19" s="1583" t="e">
        <f>((R18/Q18)^4-1)*100</f>
        <v>#DIV/0!</v>
      </c>
      <c r="S19" s="1583" t="e">
        <f>((S18/R18)^4-1)*100</f>
        <v>#DIV/0!</v>
      </c>
      <c r="T19" s="1583" t="e">
        <f>((T18/S18)^4-1)*100</f>
        <v>#DIV/0!</v>
      </c>
      <c r="U19" s="1583" t="e">
        <f>((U18/T18)^4-1)*100</f>
        <v>#DIV/0!</v>
      </c>
      <c r="V19" s="1583">
        <f>((V18/U18)^4-1)*100</f>
        <v>-5.4922420784142556E-2</v>
      </c>
      <c r="W19" s="1583">
        <f>((W18/V18)^4-1)*100</f>
        <v>6.8154683523561799</v>
      </c>
      <c r="X19" s="1583">
        <f>((X18/W18)^4-1)*100</f>
        <v>3.420718121451749</v>
      </c>
      <c r="Y19" s="1583">
        <f>((Y18/X18)^4-1)*100</f>
        <v>0.80628497601340499</v>
      </c>
      <c r="Z19" s="1583">
        <f>((Z18/Y18)^4-1)*100</f>
        <v>4.2649863011766875</v>
      </c>
      <c r="AA19" s="1583">
        <f>((AA18/Z18)^4-1)*100</f>
        <v>8.572168019301273</v>
      </c>
      <c r="AB19" s="1583">
        <f>((AB18/AA18)^4-1)*100</f>
        <v>4.3735367993195107</v>
      </c>
      <c r="AC19" s="1583">
        <f>((AC18/AB18)^4-1)*100</f>
        <v>-5.5982627023025149</v>
      </c>
      <c r="AD19" s="1583">
        <f>((AD18/AC18)^4-1)*100</f>
        <v>-5.2536030532109095</v>
      </c>
      <c r="AE19" s="1583">
        <f>((AE18/AD18)^4-1)*100</f>
        <v>0.44912580878710973</v>
      </c>
      <c r="AF19" s="1583">
        <f>((AF18/AE18)^4-1)*100</f>
        <v>-13.508935563850644</v>
      </c>
      <c r="AG19" s="1583">
        <f>((AG18/AF18)^4-1)*100</f>
        <v>30.814078541921308</v>
      </c>
      <c r="AH19" s="1583">
        <f>((AH18/AG18)^4-1)*100</f>
        <v>-4.3464873129519521</v>
      </c>
      <c r="AI19" s="1583">
        <f>((AI18/AH18)^4-1)*100</f>
        <v>-0.18068591521900323</v>
      </c>
      <c r="AJ19" s="1583">
        <f>((AJ18/AI18)^4-1)*100</f>
        <v>0.41410491385074355</v>
      </c>
      <c r="AK19" s="1583">
        <f>((AK18/AJ18)^4-1)*100</f>
        <v>0.31013739087915049</v>
      </c>
      <c r="AL19" s="1583">
        <f>((AL18/AK18)^4-1)*100</f>
        <v>0.54279220171460363</v>
      </c>
      <c r="AM19" s="1583">
        <f>((AM18/AL18)^4-1)*100</f>
        <v>0.41279614921994057</v>
      </c>
      <c r="AN19" s="1583">
        <f>((AN18/AM18)^4-1)*100</f>
        <v>-0.71859070026433214</v>
      </c>
      <c r="AO19" s="1581"/>
      <c r="AP19" s="1581"/>
      <c r="AQ19" s="1581"/>
      <c r="AR19" s="1581"/>
      <c r="AS19" s="1581"/>
      <c r="AT19" s="1581"/>
      <c r="AU19" s="1581"/>
      <c r="AV19" s="1581"/>
      <c r="AW19" s="1581"/>
      <c r="AX19" s="1581"/>
      <c r="AY19" s="1581"/>
      <c r="AZ19" s="1581"/>
      <c r="BA19" s="1581"/>
      <c r="BB19" s="1581"/>
      <c r="BC19" s="1581"/>
      <c r="BD19" s="1581"/>
      <c r="BE19" s="1581"/>
      <c r="BF19" s="1581"/>
      <c r="BG19" s="1581"/>
      <c r="BH19" s="1581"/>
      <c r="BI19" s="1581"/>
      <c r="BJ19" s="1581"/>
      <c r="BK19" s="1581"/>
      <c r="BL19" s="1581"/>
      <c r="BM19" s="1581"/>
      <c r="BN19" s="1581"/>
      <c r="BO19" s="1581"/>
      <c r="BP19" s="1581"/>
      <c r="BQ19" s="1581"/>
      <c r="BR19" s="1560"/>
      <c r="BS19" s="1560"/>
      <c r="BT19" s="1560"/>
      <c r="BU19" s="1560"/>
      <c r="BV19" s="1560"/>
      <c r="BW19" s="1560"/>
      <c r="BX19" s="1560"/>
      <c r="BY19" s="1560"/>
    </row>
    <row r="21" spans="2:77" x14ac:dyDescent="0.35">
      <c r="AO21" s="1560"/>
      <c r="AP21" s="1560"/>
      <c r="AQ21" s="1560"/>
      <c r="AR21" s="1560"/>
      <c r="AS21" s="1560"/>
      <c r="AT21" s="1560"/>
      <c r="AU21" s="1560"/>
      <c r="AV21" s="1560"/>
      <c r="AW21" s="1560"/>
      <c r="AX21" s="1560"/>
      <c r="AY21" s="1560"/>
      <c r="AZ21" s="1560"/>
      <c r="BA21" s="1560"/>
      <c r="BB21" s="1560"/>
      <c r="BC21" s="1560"/>
      <c r="BD21" s="1560"/>
      <c r="BE21" s="1560"/>
      <c r="BF21" s="1560"/>
      <c r="BG21" s="1560"/>
      <c r="BH21" s="1560"/>
      <c r="BI21" s="1560"/>
      <c r="BJ21" s="1560"/>
      <c r="BK21" s="1560"/>
      <c r="BL21" s="1560"/>
      <c r="BM21" s="1560"/>
      <c r="BN21" s="1560"/>
      <c r="BO21" s="1560"/>
      <c r="BP21" s="1560"/>
      <c r="BQ21" s="1560"/>
      <c r="BR21" s="1560"/>
      <c r="BS21" s="1560"/>
      <c r="BT21" s="1560"/>
      <c r="BU21" s="1560"/>
      <c r="BV21" s="1560"/>
      <c r="BW21" s="1560"/>
      <c r="BX21" s="1560"/>
      <c r="BY21" s="1560"/>
    </row>
    <row r="24" spans="2:77" ht="15.75" customHeight="1" x14ac:dyDescent="0.35">
      <c r="B24" s="375"/>
      <c r="C24" s="375"/>
      <c r="D24" s="375"/>
      <c r="E24" s="375"/>
      <c r="F24" s="375"/>
      <c r="G24" s="375"/>
      <c r="H24" s="366"/>
      <c r="I24" s="366"/>
      <c r="J24" s="366"/>
      <c r="K24" s="366"/>
      <c r="L24" s="366"/>
      <c r="M24" s="366"/>
      <c r="N24" s="366"/>
      <c r="O24" s="366"/>
      <c r="Y24" s="82"/>
      <c r="Z24" s="82"/>
      <c r="AA24" s="82"/>
      <c r="AB24" s="82"/>
      <c r="AC24" s="597"/>
      <c r="AD24" s="82"/>
      <c r="AE24" s="82"/>
      <c r="AF24" s="82"/>
      <c r="AG24" s="82"/>
      <c r="AH24" s="82"/>
      <c r="AI24" s="268"/>
    </row>
    <row r="25" spans="2:77" x14ac:dyDescent="0.35">
      <c r="B25" s="375"/>
      <c r="C25" s="375"/>
      <c r="D25" s="375"/>
      <c r="E25" s="375"/>
      <c r="F25" s="375"/>
      <c r="G25" s="375"/>
      <c r="H25" s="366"/>
      <c r="I25" s="366"/>
      <c r="J25" s="366"/>
      <c r="K25" s="366"/>
      <c r="L25" s="366"/>
      <c r="M25" s="366"/>
      <c r="N25" s="366"/>
      <c r="O25" s="366"/>
      <c r="P25" s="597"/>
      <c r="Q25" s="597"/>
      <c r="R25" s="597"/>
      <c r="S25" s="597"/>
      <c r="T25" s="597"/>
      <c r="U25" s="597"/>
      <c r="V25" s="597"/>
      <c r="W25" s="597"/>
      <c r="X25" s="597"/>
      <c r="Y25" s="597"/>
      <c r="Z25" s="597"/>
      <c r="AA25" s="597"/>
      <c r="AB25" s="597"/>
      <c r="AD25" s="597"/>
      <c r="AE25" s="597"/>
      <c r="AF25" s="597"/>
      <c r="AG25" s="597"/>
      <c r="AH25" s="597"/>
    </row>
    <row r="26" spans="2:77" ht="21.75" customHeight="1" x14ac:dyDescent="0.35">
      <c r="B26" s="1387" t="s">
        <v>153</v>
      </c>
      <c r="C26" s="1387"/>
      <c r="D26" s="1387"/>
      <c r="E26" s="1387"/>
      <c r="F26" s="1387"/>
      <c r="G26" s="1387"/>
      <c r="H26" s="1387"/>
      <c r="I26" s="1387"/>
      <c r="J26" s="1387"/>
      <c r="K26" s="1387"/>
      <c r="L26" s="1387"/>
      <c r="M26" s="1387"/>
      <c r="N26" s="1387"/>
      <c r="O26" s="1387"/>
      <c r="P26" s="1387"/>
      <c r="Q26" s="1387"/>
      <c r="R26" s="1387"/>
      <c r="S26" s="1387"/>
      <c r="T26" s="1387"/>
      <c r="U26" s="1387"/>
      <c r="V26" s="1387"/>
      <c r="W26" s="1387"/>
      <c r="X26" s="1387"/>
      <c r="Y26" s="1387"/>
      <c r="Z26" s="1387"/>
      <c r="AA26" s="1387"/>
      <c r="AB26" s="1387"/>
      <c r="AC26" s="1387"/>
      <c r="AD26" s="241"/>
      <c r="AE26" s="241"/>
      <c r="AF26" s="241"/>
      <c r="AG26" s="241"/>
      <c r="AH26" s="241"/>
      <c r="AJ26" s="119"/>
    </row>
    <row r="27" spans="2:77" ht="14.25" customHeight="1" x14ac:dyDescent="0.35">
      <c r="B27" s="1426" t="s">
        <v>353</v>
      </c>
      <c r="C27" s="1426"/>
      <c r="D27" s="1426"/>
      <c r="E27" s="1426"/>
      <c r="F27" s="1426"/>
      <c r="G27" s="1426"/>
      <c r="H27" s="1426"/>
      <c r="I27" s="1426"/>
      <c r="J27" s="1426"/>
      <c r="K27" s="1426"/>
      <c r="L27" s="1426"/>
      <c r="M27" s="1426"/>
      <c r="N27" s="1426"/>
      <c r="O27" s="1426"/>
      <c r="P27" s="1426"/>
      <c r="Q27" s="1426"/>
      <c r="R27" s="1426"/>
      <c r="S27" s="1426"/>
      <c r="T27" s="1426"/>
      <c r="U27" s="1426"/>
      <c r="V27" s="1426"/>
      <c r="W27" s="1426"/>
      <c r="X27" s="1426"/>
      <c r="Y27" s="1426"/>
      <c r="Z27" s="1426"/>
      <c r="AA27" s="1426"/>
      <c r="AB27" s="1426"/>
      <c r="AC27" s="1426"/>
      <c r="AD27" s="351"/>
      <c r="AE27" s="351"/>
      <c r="AF27" s="351"/>
      <c r="AG27" s="351"/>
      <c r="AH27" s="351"/>
      <c r="AJ27" s="119"/>
    </row>
    <row r="28" spans="2:77" x14ac:dyDescent="0.35">
      <c r="B28" s="1426"/>
      <c r="C28" s="1426"/>
      <c r="D28" s="1426"/>
      <c r="E28" s="1426"/>
      <c r="F28" s="1426"/>
      <c r="G28" s="1426"/>
      <c r="H28" s="1426"/>
      <c r="I28" s="1426"/>
      <c r="J28" s="1426"/>
      <c r="K28" s="1426"/>
      <c r="L28" s="1426"/>
      <c r="M28" s="1426"/>
      <c r="N28" s="1426"/>
      <c r="O28" s="1426"/>
      <c r="P28" s="1426"/>
      <c r="Q28" s="1426"/>
      <c r="R28" s="1426"/>
      <c r="S28" s="1426"/>
      <c r="T28" s="1426"/>
      <c r="U28" s="1426"/>
      <c r="V28" s="1426"/>
      <c r="W28" s="1426"/>
      <c r="X28" s="1426"/>
      <c r="Y28" s="1426"/>
      <c r="Z28" s="1426"/>
      <c r="AA28" s="1426"/>
      <c r="AB28" s="1426"/>
      <c r="AC28" s="1426"/>
      <c r="AD28" s="351"/>
      <c r="AE28" s="351"/>
      <c r="AF28" s="351"/>
      <c r="AG28" s="351"/>
      <c r="AH28" s="351"/>
    </row>
    <row r="29" spans="2:77" x14ac:dyDescent="0.35">
      <c r="B29" s="1426"/>
      <c r="C29" s="1426"/>
      <c r="D29" s="1426"/>
      <c r="E29" s="1426"/>
      <c r="F29" s="1426"/>
      <c r="G29" s="1426"/>
      <c r="H29" s="1426"/>
      <c r="I29" s="1426"/>
      <c r="J29" s="1426"/>
      <c r="K29" s="1426"/>
      <c r="L29" s="1426"/>
      <c r="M29" s="1426"/>
      <c r="N29" s="1426"/>
      <c r="O29" s="1426"/>
      <c r="P29" s="1426"/>
      <c r="Q29" s="1426"/>
      <c r="R29" s="1426"/>
      <c r="S29" s="1426"/>
      <c r="T29" s="1426"/>
      <c r="U29" s="1426"/>
      <c r="V29" s="1426"/>
      <c r="W29" s="1426"/>
      <c r="X29" s="1426"/>
      <c r="Y29" s="1426"/>
      <c r="Z29" s="1426"/>
      <c r="AA29" s="1426"/>
      <c r="AB29" s="1426"/>
      <c r="AC29" s="1426"/>
      <c r="AD29" s="351"/>
      <c r="AE29" s="351"/>
      <c r="AF29" s="351"/>
      <c r="AG29" s="351"/>
      <c r="AH29" s="351"/>
    </row>
    <row r="31" spans="2:77" x14ac:dyDescent="0.35">
      <c r="B31" s="1389" t="s">
        <v>245</v>
      </c>
      <c r="C31" s="1451"/>
      <c r="D31" s="1427" t="s">
        <v>246</v>
      </c>
      <c r="E31" s="1427"/>
      <c r="F31" s="1427"/>
      <c r="G31" s="1427"/>
      <c r="H31" s="1427"/>
      <c r="I31" s="1427"/>
      <c r="J31" s="1427"/>
      <c r="K31" s="1427"/>
      <c r="L31" s="1427"/>
      <c r="M31" s="1427"/>
      <c r="N31" s="1427"/>
      <c r="O31" s="1427"/>
      <c r="P31" s="1427"/>
      <c r="Q31" s="1427"/>
      <c r="R31" s="1427"/>
      <c r="S31" s="1427"/>
      <c r="T31" s="1427"/>
      <c r="U31" s="1427"/>
      <c r="V31" s="1427"/>
      <c r="W31" s="1427"/>
      <c r="X31" s="1427"/>
      <c r="Y31" s="1427"/>
      <c r="Z31" s="1427"/>
      <c r="AA31" s="1427"/>
      <c r="AB31" s="1427"/>
      <c r="AC31" s="260"/>
      <c r="AD31" s="260"/>
      <c r="AE31" s="260"/>
      <c r="AF31" s="260"/>
      <c r="AG31" s="1420" t="s">
        <v>247</v>
      </c>
      <c r="AH31" s="1420"/>
      <c r="AI31" s="1420"/>
      <c r="AJ31" s="1420"/>
      <c r="AK31" s="1420"/>
      <c r="AL31" s="1420"/>
      <c r="AM31" s="1420"/>
      <c r="AN31" s="1421"/>
    </row>
    <row r="32" spans="2:77" x14ac:dyDescent="0.35">
      <c r="B32" s="1391"/>
      <c r="C32" s="1392"/>
      <c r="D32" s="244">
        <v>2018</v>
      </c>
      <c r="E32" s="1395">
        <v>2019</v>
      </c>
      <c r="F32" s="1396"/>
      <c r="G32" s="1396"/>
      <c r="H32" s="1425"/>
      <c r="I32" s="1395">
        <v>2020</v>
      </c>
      <c r="J32" s="1396"/>
      <c r="K32" s="1396"/>
      <c r="L32" s="1396"/>
      <c r="M32" s="1395">
        <v>2021</v>
      </c>
      <c r="N32" s="1396"/>
      <c r="O32" s="1396"/>
      <c r="P32" s="1396"/>
      <c r="Q32" s="1395">
        <v>2022</v>
      </c>
      <c r="R32" s="1396"/>
      <c r="S32" s="1396"/>
      <c r="T32" s="1425"/>
      <c r="U32" s="1395">
        <v>2023</v>
      </c>
      <c r="V32" s="1396"/>
      <c r="W32" s="1396"/>
      <c r="X32" s="1425"/>
      <c r="Y32" s="404"/>
      <c r="Z32" s="355">
        <v>2024</v>
      </c>
      <c r="AA32" s="355"/>
      <c r="AB32" s="354"/>
      <c r="AC32" s="1398">
        <v>2025</v>
      </c>
      <c r="AD32" s="1399"/>
      <c r="AE32" s="1399"/>
      <c r="AF32" s="1399"/>
      <c r="AG32" s="1412">
        <v>2026</v>
      </c>
      <c r="AH32" s="1424"/>
      <c r="AI32" s="1424"/>
      <c r="AJ32" s="1414"/>
      <c r="AK32" s="1412">
        <v>2027</v>
      </c>
      <c r="AL32" s="1424"/>
      <c r="AM32" s="1424"/>
      <c r="AN32" s="1414"/>
    </row>
    <row r="33" spans="2:76" x14ac:dyDescent="0.35">
      <c r="B33" s="1391"/>
      <c r="C33" s="1392"/>
      <c r="D33" s="244" t="s">
        <v>248</v>
      </c>
      <c r="E33" s="244" t="s">
        <v>249</v>
      </c>
      <c r="F33" s="245" t="s">
        <v>250</v>
      </c>
      <c r="G33" s="245" t="s">
        <v>226</v>
      </c>
      <c r="H33" s="246" t="s">
        <v>248</v>
      </c>
      <c r="I33" s="245" t="s">
        <v>249</v>
      </c>
      <c r="J33" s="245" t="s">
        <v>250</v>
      </c>
      <c r="K33" s="245" t="s">
        <v>226</v>
      </c>
      <c r="L33" s="245" t="s">
        <v>248</v>
      </c>
      <c r="M33" s="244" t="s">
        <v>249</v>
      </c>
      <c r="N33" s="245" t="s">
        <v>250</v>
      </c>
      <c r="O33" s="245" t="s">
        <v>226</v>
      </c>
      <c r="P33" s="245" t="s">
        <v>248</v>
      </c>
      <c r="Q33" s="244" t="s">
        <v>249</v>
      </c>
      <c r="R33" s="245" t="s">
        <v>250</v>
      </c>
      <c r="S33" s="245" t="s">
        <v>226</v>
      </c>
      <c r="T33" s="246" t="s">
        <v>248</v>
      </c>
      <c r="U33" s="272" t="s">
        <v>249</v>
      </c>
      <c r="V33" s="273" t="s">
        <v>250</v>
      </c>
      <c r="W33" s="273" t="s">
        <v>226</v>
      </c>
      <c r="X33" s="271" t="s">
        <v>248</v>
      </c>
      <c r="Y33" s="272" t="s">
        <v>249</v>
      </c>
      <c r="Z33" s="274" t="s">
        <v>250</v>
      </c>
      <c r="AA33" s="273" t="s">
        <v>226</v>
      </c>
      <c r="AB33" s="271" t="s">
        <v>248</v>
      </c>
      <c r="AC33" s="272" t="s">
        <v>249</v>
      </c>
      <c r="AD33" s="274" t="s">
        <v>250</v>
      </c>
      <c r="AE33" s="273" t="s">
        <v>226</v>
      </c>
      <c r="AF33" s="273" t="s">
        <v>248</v>
      </c>
      <c r="AG33" s="358" t="s">
        <v>249</v>
      </c>
      <c r="AH33" s="269" t="s">
        <v>250</v>
      </c>
      <c r="AI33" s="269" t="s">
        <v>226</v>
      </c>
      <c r="AJ33" s="402" t="s">
        <v>248</v>
      </c>
      <c r="AK33" s="358" t="s">
        <v>249</v>
      </c>
      <c r="AL33" s="269" t="s">
        <v>250</v>
      </c>
      <c r="AM33" s="269" t="s">
        <v>226</v>
      </c>
      <c r="AN33" s="402" t="s">
        <v>248</v>
      </c>
    </row>
    <row r="34" spans="2:76" x14ac:dyDescent="0.35">
      <c r="B34" s="600" t="s">
        <v>99</v>
      </c>
      <c r="C34" s="595" t="s">
        <v>354</v>
      </c>
      <c r="D34" s="422"/>
      <c r="E34" s="422"/>
      <c r="F34" s="422"/>
      <c r="G34" s="422"/>
      <c r="H34" s="583">
        <f>'Haver Pivoted'!GS24</f>
        <v>2425.1</v>
      </c>
      <c r="I34" s="583">
        <f>'Haver Pivoted'!GT24</f>
        <v>2481.8000000000002</v>
      </c>
      <c r="J34" s="583">
        <f>'Haver Pivoted'!GU24</f>
        <v>2454</v>
      </c>
      <c r="K34" s="583">
        <f>'Haver Pivoted'!GV24</f>
        <v>2473.1999999999998</v>
      </c>
      <c r="L34" s="583">
        <f>'Haver Pivoted'!GW24</f>
        <v>2489.1999999999998</v>
      </c>
      <c r="M34" s="583">
        <f>'Haver Pivoted'!GX24</f>
        <v>2538.6999999999998</v>
      </c>
      <c r="N34" s="583">
        <f>'Haver Pivoted'!GY24</f>
        <v>2576.9</v>
      </c>
      <c r="O34" s="583">
        <f>'Haver Pivoted'!GZ24</f>
        <v>2634.6</v>
      </c>
      <c r="P34" s="583">
        <f>'Haver Pivoted'!HA24</f>
        <v>2666.8</v>
      </c>
      <c r="Q34" s="583">
        <f>'Haver Pivoted'!HB24</f>
        <v>2727.2</v>
      </c>
      <c r="R34" s="583">
        <f>'Haver Pivoted'!HC24</f>
        <v>2816.7</v>
      </c>
      <c r="S34" s="589">
        <f>'Haver Pivoted'!HD24</f>
        <v>2847.4</v>
      </c>
      <c r="T34" s="589">
        <f>'Haver Pivoted'!HE24</f>
        <v>2879.2</v>
      </c>
      <c r="U34" s="278">
        <f>'Haver Pivoted'!HF24</f>
        <v>2912.8</v>
      </c>
      <c r="V34" s="278">
        <f>'Haver Pivoted'!HG24</f>
        <v>2934.6</v>
      </c>
      <c r="W34" s="278">
        <f>'Haver Pivoted'!HH24</f>
        <v>3005.4</v>
      </c>
      <c r="X34" s="278">
        <f>'Haver Pivoted'!HI24</f>
        <v>3049</v>
      </c>
      <c r="Y34" s="278">
        <f>'Haver Pivoted'!HJ24</f>
        <v>3097.5</v>
      </c>
      <c r="Z34" s="278">
        <f>'Haver Pivoted'!HK24</f>
        <v>3127.6</v>
      </c>
      <c r="AA34" s="278">
        <f>'Haver Pivoted'!HL24</f>
        <v>3169.1</v>
      </c>
      <c r="AB34" s="278">
        <f>'Haver Pivoted'!HM24</f>
        <v>3200.8</v>
      </c>
      <c r="AC34" s="278">
        <f>'Haver Pivoted'!HN24</f>
        <v>3245.8</v>
      </c>
      <c r="AD34" s="278">
        <f>'Haver Pivoted'!HO24</f>
        <v>3280.6</v>
      </c>
      <c r="AE34" s="278">
        <f>'Haver Pivoted'!HP24</f>
        <v>3334.7</v>
      </c>
      <c r="AF34" s="278">
        <f>'Haver Pivoted'!HQ24</f>
        <v>3374.4</v>
      </c>
      <c r="AG34" s="357"/>
      <c r="AH34" s="357"/>
      <c r="AI34" s="357"/>
      <c r="AJ34" s="357"/>
      <c r="AK34" s="357"/>
      <c r="AL34" s="357"/>
      <c r="AM34" s="357"/>
      <c r="AN34" s="357"/>
    </row>
    <row r="35" spans="2:76" ht="29.25" customHeight="1" x14ac:dyDescent="0.35">
      <c r="B35" s="603" t="s">
        <v>2033</v>
      </c>
      <c r="C35" s="356"/>
      <c r="D35" s="265"/>
      <c r="E35" s="265"/>
      <c r="F35" s="265"/>
      <c r="G35" s="265"/>
      <c r="H35" s="366"/>
      <c r="I35" s="366"/>
      <c r="J35" s="366"/>
      <c r="K35" s="366"/>
      <c r="L35" s="366"/>
      <c r="M35" s="537">
        <v>2533.9</v>
      </c>
      <c r="N35" s="537">
        <v>2571.6999999999998</v>
      </c>
      <c r="O35" s="537">
        <v>2625.1</v>
      </c>
      <c r="P35" s="537">
        <v>2664.2</v>
      </c>
      <c r="Q35" s="537">
        <v>2726.1</v>
      </c>
      <c r="R35" s="537">
        <v>2815.5</v>
      </c>
      <c r="S35" s="537">
        <v>2838.7</v>
      </c>
      <c r="T35" s="537">
        <v>2870.6</v>
      </c>
      <c r="U35" s="537">
        <v>2912.8</v>
      </c>
      <c r="V35" s="537">
        <v>2934.6</v>
      </c>
      <c r="W35" s="537">
        <v>3005.4</v>
      </c>
      <c r="X35" s="537">
        <v>3049</v>
      </c>
      <c r="Y35" s="537">
        <v>3097.5</v>
      </c>
      <c r="Z35" s="537">
        <v>3127.6</v>
      </c>
      <c r="AA35" s="537">
        <v>3169.1</v>
      </c>
      <c r="AB35" s="537">
        <v>3200.8</v>
      </c>
      <c r="AC35" s="537">
        <v>3245.8</v>
      </c>
      <c r="AD35" s="537">
        <v>3280.6</v>
      </c>
      <c r="AE35" s="537">
        <v>3317.3</v>
      </c>
      <c r="AF35" s="537">
        <v>3352.6</v>
      </c>
      <c r="AG35" s="537">
        <v>3384.5</v>
      </c>
      <c r="AH35" s="537">
        <v>3416.8</v>
      </c>
      <c r="AI35" s="537">
        <v>3449.9</v>
      </c>
      <c r="AJ35" s="537">
        <v>3480.4</v>
      </c>
      <c r="AK35" s="537">
        <v>3512.2</v>
      </c>
      <c r="AL35" s="537">
        <v>3543.9</v>
      </c>
      <c r="AM35" s="537">
        <v>3574.5</v>
      </c>
      <c r="AN35" s="537">
        <v>3605</v>
      </c>
      <c r="AO35" s="575">
        <v>3635.3</v>
      </c>
      <c r="AP35" s="575">
        <v>3665.9</v>
      </c>
      <c r="AQ35" s="575">
        <v>3696.8</v>
      </c>
      <c r="AR35" s="575">
        <v>3727.7</v>
      </c>
      <c r="AS35" s="575">
        <v>3759.3</v>
      </c>
      <c r="AT35" s="575">
        <v>3790.1</v>
      </c>
      <c r="AU35" s="575">
        <v>3820.9</v>
      </c>
      <c r="AV35" s="575">
        <v>3851.8</v>
      </c>
      <c r="AW35" s="575">
        <v>3882.5</v>
      </c>
      <c r="AX35" s="575">
        <v>3913.7</v>
      </c>
      <c r="AY35" s="575">
        <v>3945.1</v>
      </c>
      <c r="AZ35" s="575">
        <v>3977</v>
      </c>
      <c r="BA35" s="575">
        <v>4009.2</v>
      </c>
      <c r="BB35" s="575">
        <v>4042.1</v>
      </c>
      <c r="BC35" s="575">
        <v>4075.4</v>
      </c>
      <c r="BD35" s="575">
        <v>4108.8999999999996</v>
      </c>
      <c r="BE35" s="575">
        <v>4142.5</v>
      </c>
      <c r="BF35" s="575">
        <v>4176.3</v>
      </c>
      <c r="BG35" s="575">
        <v>4210.3999999999996</v>
      </c>
      <c r="BH35" s="575">
        <v>4244.7</v>
      </c>
      <c r="BI35" s="575">
        <v>4278.8999999999996</v>
      </c>
      <c r="BJ35" s="575">
        <v>4312.7</v>
      </c>
      <c r="BK35" s="575">
        <v>4347</v>
      </c>
      <c r="BL35" s="575">
        <v>4381.7</v>
      </c>
      <c r="BM35" s="575">
        <v>4416.5</v>
      </c>
      <c r="BN35" s="575">
        <v>4451.5</v>
      </c>
      <c r="BO35" s="575">
        <v>4486.5</v>
      </c>
      <c r="BP35" s="575">
        <v>4521.6000000000004</v>
      </c>
      <c r="BQ35" s="575">
        <v>4556.1000000000004</v>
      </c>
      <c r="BR35">
        <v>4590.8</v>
      </c>
      <c r="BS35">
        <v>4625.7</v>
      </c>
      <c r="BT35">
        <v>4661</v>
      </c>
      <c r="BU35">
        <v>4696.7</v>
      </c>
      <c r="BV35">
        <v>4733.2</v>
      </c>
      <c r="BW35">
        <v>4770.3999999999996</v>
      </c>
      <c r="BX35">
        <v>4808.2</v>
      </c>
    </row>
    <row r="36" spans="2:76" ht="29.25" customHeight="1" x14ac:dyDescent="0.35">
      <c r="B36" s="603" t="s">
        <v>2034</v>
      </c>
      <c r="C36" s="356"/>
      <c r="D36" s="265"/>
      <c r="E36" s="265"/>
      <c r="F36" s="265"/>
      <c r="G36" s="265"/>
      <c r="H36" s="366"/>
      <c r="I36" s="606"/>
      <c r="J36" s="606"/>
      <c r="K36" s="606"/>
      <c r="L36" s="606"/>
      <c r="M36" s="606">
        <v>7.7759999999999998</v>
      </c>
      <c r="N36" s="606">
        <v>6.1050000000000004</v>
      </c>
      <c r="O36" s="606">
        <v>8.5640000000000001</v>
      </c>
      <c r="P36" s="606">
        <v>6.0890000000000004</v>
      </c>
      <c r="Q36" s="606">
        <v>9.4320000000000004</v>
      </c>
      <c r="R36" s="606">
        <v>13.778</v>
      </c>
      <c r="S36" s="606">
        <v>3.327</v>
      </c>
      <c r="T36" s="606">
        <v>4.5739999999999998</v>
      </c>
      <c r="U36" s="606">
        <v>4.7489999999999997</v>
      </c>
      <c r="V36" s="606">
        <v>3.0179999999999998</v>
      </c>
      <c r="W36" s="606">
        <v>10.007</v>
      </c>
      <c r="X36" s="606">
        <v>5.9379999999999997</v>
      </c>
      <c r="Y36" s="606">
        <v>6.5129999999999999</v>
      </c>
      <c r="Z36" s="606">
        <v>3.944</v>
      </c>
      <c r="AA36" s="606">
        <v>5.407</v>
      </c>
      <c r="AB36" s="606">
        <v>4.0599999999999996</v>
      </c>
      <c r="AC36" s="606">
        <v>5.7469999999999999</v>
      </c>
      <c r="AD36" s="606">
        <v>4.3529999999999998</v>
      </c>
      <c r="AE36" s="606">
        <v>4.5549999999999997</v>
      </c>
      <c r="AF36" s="606">
        <v>4.3230000000000004</v>
      </c>
      <c r="AG36" s="606">
        <v>3.867</v>
      </c>
      <c r="AH36" s="606">
        <v>3.8730000000000002</v>
      </c>
      <c r="AI36" s="606">
        <v>3.9260000000000002</v>
      </c>
      <c r="AJ36" s="606">
        <v>3.5779999999999998</v>
      </c>
      <c r="AK36" s="606">
        <v>3.7050000000000001</v>
      </c>
      <c r="AL36" s="606">
        <v>3.6619999999999999</v>
      </c>
      <c r="AM36" s="606">
        <v>3.4980000000000002</v>
      </c>
      <c r="AN36" s="606">
        <v>3.4529999999999998</v>
      </c>
      <c r="AO36" s="360">
        <v>3.4089999999999998</v>
      </c>
      <c r="AP36" s="360">
        <v>3.4119999999999999</v>
      </c>
      <c r="AQ36" s="360">
        <v>3.407</v>
      </c>
      <c r="AR36" s="360">
        <v>3.3929999999999998</v>
      </c>
      <c r="AS36" s="360">
        <v>3.43</v>
      </c>
      <c r="AT36" s="360">
        <v>3.3149999999999999</v>
      </c>
      <c r="AU36" s="360">
        <v>3.2879999999999998</v>
      </c>
      <c r="AV36" s="360">
        <v>3.274</v>
      </c>
      <c r="AW36" s="360">
        <v>3.2320000000000002</v>
      </c>
      <c r="AX36" s="360">
        <v>3.246</v>
      </c>
      <c r="AY36" s="360">
        <v>3.2509999999999999</v>
      </c>
      <c r="AZ36" s="360">
        <v>3.278</v>
      </c>
      <c r="BA36" s="360">
        <v>3.278</v>
      </c>
      <c r="BB36" s="360">
        <v>3.3210000000000002</v>
      </c>
      <c r="BC36" s="360">
        <v>3.3279999999999998</v>
      </c>
      <c r="BD36" s="360">
        <v>3.3359999999999999</v>
      </c>
      <c r="BE36" s="360">
        <v>3.3119999999999998</v>
      </c>
      <c r="BF36" s="360">
        <v>3.2949999999999999</v>
      </c>
      <c r="BG36" s="360">
        <v>3.3079999999999998</v>
      </c>
      <c r="BH36" s="360">
        <v>3.3039999999999998</v>
      </c>
      <c r="BI36" s="360">
        <v>3.262</v>
      </c>
      <c r="BJ36" s="360">
        <v>3.1970000000000001</v>
      </c>
      <c r="BK36" s="360">
        <v>3.2189999999999999</v>
      </c>
      <c r="BL36" s="360">
        <v>3.2229999999999999</v>
      </c>
      <c r="BM36" s="360">
        <v>3.22</v>
      </c>
      <c r="BN36" s="360">
        <v>3.2050000000000001</v>
      </c>
      <c r="BO36" s="360">
        <v>3.1779999999999999</v>
      </c>
      <c r="BP36" s="360">
        <v>3.1669999999999998</v>
      </c>
      <c r="BQ36" s="360">
        <v>3.0880000000000001</v>
      </c>
      <c r="BR36">
        <v>3.081</v>
      </c>
      <c r="BS36">
        <v>3.0790000000000002</v>
      </c>
      <c r="BT36">
        <v>3.0880000000000001</v>
      </c>
      <c r="BU36">
        <v>3.0950000000000002</v>
      </c>
      <c r="BV36">
        <v>3.149</v>
      </c>
      <c r="BW36">
        <v>3.1779999999999999</v>
      </c>
      <c r="BX36">
        <v>3.2069999999999999</v>
      </c>
    </row>
    <row r="37" spans="2:76" ht="21" customHeight="1" x14ac:dyDescent="0.35">
      <c r="B37" s="592" t="s">
        <v>1862</v>
      </c>
      <c r="C37" s="375"/>
      <c r="D37" s="365"/>
      <c r="E37" s="365"/>
      <c r="F37" s="365"/>
      <c r="G37" s="365"/>
      <c r="H37" s="361"/>
      <c r="I37" s="361"/>
      <c r="J37" s="361"/>
      <c r="K37" s="361"/>
      <c r="L37" s="361"/>
      <c r="M37" s="361">
        <f t="shared" ref="M37:AF37" si="3">((M34/L34)^4-1)*100</f>
        <v>8.1947936139129762</v>
      </c>
      <c r="N37" s="361">
        <f t="shared" si="3"/>
        <v>6.15604502328988</v>
      </c>
      <c r="O37" s="361">
        <f t="shared" si="3"/>
        <v>9.2618344747234858</v>
      </c>
      <c r="P37" s="361">
        <f t="shared" si="3"/>
        <v>4.979146091602038</v>
      </c>
      <c r="Q37" s="361">
        <f t="shared" si="3"/>
        <v>9.372003344274793</v>
      </c>
      <c r="R37" s="361">
        <f t="shared" si="3"/>
        <v>13.787465020858146</v>
      </c>
      <c r="S37" s="361">
        <f t="shared" si="3"/>
        <v>4.4315076129868292</v>
      </c>
      <c r="T37" s="361">
        <f t="shared" si="3"/>
        <v>4.5426276505244667</v>
      </c>
      <c r="U37" s="361">
        <f t="shared" si="3"/>
        <v>4.7503129485775064</v>
      </c>
      <c r="V37" s="361">
        <f t="shared" si="3"/>
        <v>3.0274590724707728</v>
      </c>
      <c r="W37" s="576">
        <f t="shared" si="3"/>
        <v>10.005265987602785</v>
      </c>
      <c r="X37" s="576">
        <f t="shared" si="3"/>
        <v>5.9303895017457586</v>
      </c>
      <c r="Y37" s="576">
        <f t="shared" si="3"/>
        <v>6.516175052916795</v>
      </c>
      <c r="Z37" s="576">
        <f t="shared" si="3"/>
        <v>3.9440316401324615</v>
      </c>
      <c r="AA37" s="576">
        <f t="shared" si="3"/>
        <v>5.4141608546233844</v>
      </c>
      <c r="AB37" s="576">
        <f t="shared" si="3"/>
        <v>4.0615713951417831</v>
      </c>
      <c r="AC37" s="576">
        <f t="shared" si="3"/>
        <v>5.743302579910492</v>
      </c>
      <c r="AD37" s="576">
        <f t="shared" si="3"/>
        <v>4.3580843964813321</v>
      </c>
      <c r="AE37" s="576">
        <f t="shared" si="3"/>
        <v>6.7613251840606958</v>
      </c>
      <c r="AF37" s="576">
        <f t="shared" si="3"/>
        <v>4.8477636167632676</v>
      </c>
      <c r="AG37" s="357">
        <f t="shared" ref="AG37:AJ37" si="4">AG36</f>
        <v>3.867</v>
      </c>
      <c r="AH37" s="357">
        <f t="shared" si="4"/>
        <v>3.8730000000000002</v>
      </c>
      <c r="AI37" s="357">
        <f t="shared" si="4"/>
        <v>3.9260000000000002</v>
      </c>
      <c r="AJ37" s="357">
        <f t="shared" si="4"/>
        <v>3.5779999999999998</v>
      </c>
      <c r="AK37" s="357">
        <f t="shared" ref="AK37:AN37" si="5">AK36</f>
        <v>3.7050000000000001</v>
      </c>
      <c r="AL37" s="357">
        <f t="shared" si="5"/>
        <v>3.6619999999999999</v>
      </c>
      <c r="AM37" s="357">
        <f t="shared" si="5"/>
        <v>3.4980000000000002</v>
      </c>
      <c r="AN37" s="357">
        <f t="shared" si="5"/>
        <v>3.4529999999999998</v>
      </c>
      <c r="AO37" s="599" t="s">
        <v>355</v>
      </c>
    </row>
    <row r="38" spans="2:76" ht="17.899999999999999" customHeight="1" x14ac:dyDescent="0.35">
      <c r="B38" s="602" t="s">
        <v>356</v>
      </c>
      <c r="C38" s="380"/>
      <c r="D38" s="604"/>
      <c r="E38" s="604"/>
      <c r="F38" s="604"/>
      <c r="G38" s="604"/>
      <c r="H38" s="364">
        <f t="shared" ref="H38:AF38" si="6">H34</f>
        <v>2425.1</v>
      </c>
      <c r="I38" s="364">
        <f t="shared" si="6"/>
        <v>2481.8000000000002</v>
      </c>
      <c r="J38" s="364">
        <f t="shared" si="6"/>
        <v>2454</v>
      </c>
      <c r="K38" s="364">
        <f t="shared" si="6"/>
        <v>2473.1999999999998</v>
      </c>
      <c r="L38" s="364">
        <f t="shared" si="6"/>
        <v>2489.1999999999998</v>
      </c>
      <c r="M38" s="364">
        <f t="shared" si="6"/>
        <v>2538.6999999999998</v>
      </c>
      <c r="N38" s="364">
        <f t="shared" si="6"/>
        <v>2576.9</v>
      </c>
      <c r="O38" s="364">
        <f t="shared" si="6"/>
        <v>2634.6</v>
      </c>
      <c r="P38" s="364">
        <f t="shared" si="6"/>
        <v>2666.8</v>
      </c>
      <c r="Q38" s="364">
        <f t="shared" si="6"/>
        <v>2727.2</v>
      </c>
      <c r="R38" s="364">
        <f t="shared" si="6"/>
        <v>2816.7</v>
      </c>
      <c r="S38" s="410">
        <f t="shared" si="6"/>
        <v>2847.4</v>
      </c>
      <c r="T38" s="410">
        <f t="shared" si="6"/>
        <v>2879.2</v>
      </c>
      <c r="U38" s="410">
        <f t="shared" si="6"/>
        <v>2912.8</v>
      </c>
      <c r="V38" s="410">
        <f t="shared" si="6"/>
        <v>2934.6</v>
      </c>
      <c r="W38" s="410">
        <f t="shared" si="6"/>
        <v>3005.4</v>
      </c>
      <c r="X38" s="410">
        <f t="shared" si="6"/>
        <v>3049</v>
      </c>
      <c r="Y38" s="410">
        <f t="shared" si="6"/>
        <v>3097.5</v>
      </c>
      <c r="Z38" s="410">
        <f t="shared" si="6"/>
        <v>3127.6</v>
      </c>
      <c r="AA38" s="410">
        <f t="shared" si="6"/>
        <v>3169.1</v>
      </c>
      <c r="AB38" s="410">
        <f t="shared" si="6"/>
        <v>3200.8</v>
      </c>
      <c r="AC38" s="410">
        <f t="shared" si="6"/>
        <v>3245.8</v>
      </c>
      <c r="AD38" s="410">
        <f t="shared" si="6"/>
        <v>3280.6</v>
      </c>
      <c r="AE38" s="410">
        <f t="shared" si="6"/>
        <v>3334.7</v>
      </c>
      <c r="AF38" s="410">
        <f t="shared" si="6"/>
        <v>3374.4</v>
      </c>
      <c r="AG38" s="582">
        <f>AF38*((1+AG37/100)^0.25)</f>
        <v>3406.5593473855811</v>
      </c>
      <c r="AH38" s="582">
        <f>AG38*((1+AH37/100)^0.25)</f>
        <v>3439.0748496505494</v>
      </c>
      <c r="AI38" s="582">
        <f t="shared" ref="AI38" si="7">AH38*((1+AI37/100)^0.25)</f>
        <v>3472.3435009738018</v>
      </c>
      <c r="AJ38" s="582">
        <f>AI38*((1+AJ37/100)^0.25)</f>
        <v>3502.9953543942324</v>
      </c>
      <c r="AK38" s="582">
        <f t="shared" ref="AK38:AN38" si="8">AJ38*((1+AK37/100)^0.25)</f>
        <v>3535.0005468995864</v>
      </c>
      <c r="AL38" s="582">
        <f t="shared" si="8"/>
        <v>3566.9283139717318</v>
      </c>
      <c r="AM38" s="582">
        <f t="shared" si="8"/>
        <v>3597.7200841612057</v>
      </c>
      <c r="AN38" s="582">
        <f t="shared" si="8"/>
        <v>3628.3831622589087</v>
      </c>
    </row>
    <row r="39" spans="2:76" ht="17.899999999999999" customHeight="1" x14ac:dyDescent="0.35">
      <c r="B39" s="602" t="s">
        <v>2008</v>
      </c>
      <c r="C39" s="380"/>
      <c r="D39" s="604"/>
      <c r="E39" s="604"/>
      <c r="F39" s="604"/>
      <c r="G39" s="604"/>
      <c r="H39" s="364"/>
      <c r="I39" s="364"/>
      <c r="J39" s="364"/>
      <c r="K39" s="364"/>
      <c r="L39" s="364"/>
      <c r="M39" s="364"/>
      <c r="N39" s="364"/>
      <c r="O39" s="364"/>
      <c r="P39" s="364"/>
      <c r="Q39" s="364"/>
      <c r="R39" s="364"/>
      <c r="S39" s="410"/>
      <c r="T39" s="410"/>
      <c r="U39" s="410"/>
      <c r="V39" s="410"/>
      <c r="W39" s="410"/>
      <c r="X39" s="410"/>
      <c r="Y39" s="410"/>
      <c r="Z39" s="410"/>
      <c r="AA39" s="410"/>
      <c r="AB39" s="410"/>
      <c r="AC39" s="567">
        <f>(AC38/AB38)^4-1</f>
        <v>5.743302579910492E-2</v>
      </c>
      <c r="AD39" s="567">
        <f t="shared" ref="AD39:AM39" si="9">(AD38/AC38)^4-1</f>
        <v>4.3580843964813321E-2</v>
      </c>
      <c r="AE39" s="567">
        <f t="shared" si="9"/>
        <v>6.7613251840606958E-2</v>
      </c>
      <c r="AF39" s="567">
        <f t="shared" si="9"/>
        <v>4.8477636167632676E-2</v>
      </c>
      <c r="AG39" s="567">
        <f t="shared" si="9"/>
        <v>3.866999999999976E-2</v>
      </c>
      <c r="AH39" s="567">
        <f t="shared" si="9"/>
        <v>3.8729999999999931E-2</v>
      </c>
      <c r="AI39" s="567">
        <f t="shared" si="9"/>
        <v>3.9259999999999851E-2</v>
      </c>
      <c r="AJ39" s="567">
        <f t="shared" si="9"/>
        <v>3.5780000000000145E-2</v>
      </c>
      <c r="AK39" s="567">
        <f t="shared" si="9"/>
        <v>3.7050000000000693E-2</v>
      </c>
      <c r="AL39" s="567">
        <f t="shared" si="9"/>
        <v>3.6619999999999875E-2</v>
      </c>
      <c r="AM39" s="567">
        <f t="shared" si="9"/>
        <v>3.4979999999999567E-2</v>
      </c>
      <c r="AN39" s="567">
        <f>(AN38/AM38)^4-1</f>
        <v>3.452999999999995E-2</v>
      </c>
    </row>
    <row r="40" spans="2:76" ht="17.899999999999999" customHeight="1" x14ac:dyDescent="0.35">
      <c r="B40" s="602" t="s">
        <v>2062</v>
      </c>
      <c r="C40" s="380"/>
      <c r="D40" s="604"/>
      <c r="E40" s="604"/>
      <c r="F40" s="604"/>
      <c r="G40" s="604"/>
      <c r="H40" s="364"/>
      <c r="I40" s="364"/>
      <c r="J40" s="364"/>
      <c r="K40" s="364"/>
      <c r="L40" s="364"/>
      <c r="M40" s="364"/>
      <c r="N40" s="364"/>
      <c r="O40" s="364"/>
      <c r="P40" s="364"/>
      <c r="Q40" s="364"/>
      <c r="R40" s="364"/>
      <c r="S40" s="410"/>
      <c r="T40" s="410"/>
      <c r="U40" s="410"/>
      <c r="V40" s="410"/>
      <c r="W40" s="410"/>
      <c r="X40" s="410"/>
      <c r="Y40" s="410"/>
      <c r="Z40" s="410"/>
      <c r="AA40" s="410"/>
      <c r="AB40" s="410"/>
      <c r="AC40" s="567"/>
      <c r="AD40" s="567"/>
      <c r="AE40" s="540">
        <f>AE38/Deflators!AE31</f>
        <v>2485.9853895550332</v>
      </c>
      <c r="AF40" s="540">
        <f>AF38/Deflators!AF31</f>
        <v>2500.5297067726765</v>
      </c>
      <c r="AG40" s="540">
        <f>AG38/Deflators!AG31</f>
        <v>2503.6843547175017</v>
      </c>
      <c r="AH40" s="540">
        <f>AH38/Deflators!AH31</f>
        <v>2506.603452763582</v>
      </c>
      <c r="AI40" s="540">
        <f>AI38/Deflators!AI31</f>
        <v>2509.8869905361612</v>
      </c>
      <c r="AJ40" s="540">
        <f>AJ38/Deflators!AJ31</f>
        <v>2511.7637131152487</v>
      </c>
      <c r="AK40" s="540">
        <f>AK38/Deflators!AK31</f>
        <v>2514.3766204730523</v>
      </c>
      <c r="AL40" s="540">
        <f>AL38/Deflators!AL31</f>
        <v>2517.2069927848638</v>
      </c>
      <c r="AM40" s="540">
        <f>AM38/Deflators!AM31</f>
        <v>2519.5142656280768</v>
      </c>
      <c r="AN40" s="540">
        <f>AN38/Deflators!AN31</f>
        <v>2521.9026535334178</v>
      </c>
    </row>
    <row r="41" spans="2:76" x14ac:dyDescent="0.35">
      <c r="B41" s="593" t="s">
        <v>357</v>
      </c>
      <c r="C41" s="594"/>
      <c r="D41" s="605"/>
      <c r="E41" s="605"/>
      <c r="F41" s="605"/>
      <c r="G41" s="605"/>
      <c r="H41" s="598">
        <f t="shared" ref="H41:P41" si="10">H34-H66</f>
        <v>2143.788</v>
      </c>
      <c r="I41" s="598">
        <f t="shared" si="10"/>
        <v>2193.799</v>
      </c>
      <c r="J41" s="598">
        <f t="shared" si="10"/>
        <v>2057.4270000000001</v>
      </c>
      <c r="K41" s="598">
        <f t="shared" si="10"/>
        <v>2097.1769999999997</v>
      </c>
      <c r="L41" s="598">
        <f t="shared" si="10"/>
        <v>2121.8379999999997</v>
      </c>
      <c r="M41" s="598">
        <f t="shared" si="10"/>
        <v>2146.8729999999996</v>
      </c>
      <c r="N41" s="598">
        <f t="shared" si="10"/>
        <v>2147.2249999999999</v>
      </c>
      <c r="O41" s="598">
        <f t="shared" si="10"/>
        <v>2190.2280000000001</v>
      </c>
      <c r="P41" s="598">
        <f t="shared" si="10"/>
        <v>2196.446148</v>
      </c>
      <c r="Q41" s="598">
        <f t="shared" ref="Q41:AC41" si="11">Q38-Q66</f>
        <v>2220.5607252</v>
      </c>
      <c r="R41" s="598">
        <f t="shared" si="11"/>
        <v>2239.803825142857</v>
      </c>
      <c r="S41" s="598">
        <f t="shared" si="11"/>
        <v>2288.6389891428571</v>
      </c>
      <c r="T41" s="598">
        <f t="shared" si="11"/>
        <v>2355.4599291428567</v>
      </c>
      <c r="U41" s="598">
        <f t="shared" si="11"/>
        <v>2395.2413139428572</v>
      </c>
      <c r="V41" s="366">
        <f t="shared" si="11"/>
        <v>2422.5121371428568</v>
      </c>
      <c r="W41" s="366">
        <f t="shared" si="11"/>
        <v>2511.4689131428572</v>
      </c>
      <c r="X41" s="366">
        <f t="shared" si="11"/>
        <v>2537.2799131428574</v>
      </c>
      <c r="Y41" s="454">
        <f t="shared" si="11"/>
        <v>2581.9729131428571</v>
      </c>
      <c r="Z41" s="454">
        <f t="shared" si="11"/>
        <v>2602.8497481428572</v>
      </c>
      <c r="AA41" s="454">
        <f t="shared" si="11"/>
        <v>2622.6205271428571</v>
      </c>
      <c r="AB41" s="454">
        <f t="shared" si="11"/>
        <v>2648.0125314428574</v>
      </c>
      <c r="AC41" s="454">
        <f t="shared" si="11"/>
        <v>2731.3788601428573</v>
      </c>
      <c r="AD41" s="454"/>
      <c r="AE41" s="454"/>
      <c r="AF41" s="454"/>
      <c r="AG41" s="454"/>
      <c r="AH41" s="454"/>
      <c r="AI41" s="454"/>
      <c r="AJ41" s="454"/>
      <c r="AK41" s="454"/>
      <c r="AL41" s="454"/>
      <c r="AM41" s="454"/>
      <c r="AN41" s="454"/>
      <c r="AO41" s="268" t="s">
        <v>358</v>
      </c>
    </row>
    <row r="42" spans="2:76" x14ac:dyDescent="0.35">
      <c r="B42" s="44"/>
      <c r="C42" s="44"/>
      <c r="D42" s="44"/>
      <c r="E42" s="44"/>
      <c r="F42" s="44"/>
      <c r="G42" s="44"/>
      <c r="H42" s="44"/>
      <c r="I42" s="44"/>
      <c r="J42" s="44"/>
      <c r="K42" s="44"/>
      <c r="L42" s="44"/>
      <c r="M42" s="119"/>
      <c r="N42" s="119"/>
      <c r="O42" s="119"/>
      <c r="P42" s="119"/>
      <c r="Q42" s="119"/>
      <c r="R42" s="119"/>
      <c r="S42" s="119"/>
      <c r="T42" s="119"/>
      <c r="U42" s="119"/>
      <c r="V42" s="119"/>
      <c r="W42" s="119"/>
      <c r="X42" s="119"/>
      <c r="Y42" s="119"/>
      <c r="Z42" s="77"/>
      <c r="AA42" s="77"/>
      <c r="AB42" s="77"/>
      <c r="AC42" s="77"/>
      <c r="AD42" s="77"/>
      <c r="AE42" s="77"/>
      <c r="AF42" s="77"/>
      <c r="AG42" s="77"/>
      <c r="AH42" s="77"/>
      <c r="AI42" s="77"/>
    </row>
    <row r="43" spans="2:76" ht="85.4" customHeight="1" x14ac:dyDescent="0.35">
      <c r="B43" s="577" t="s">
        <v>836</v>
      </c>
      <c r="C43" s="578" t="s">
        <v>835</v>
      </c>
      <c r="D43" s="549">
        <v>44197</v>
      </c>
      <c r="E43" s="550">
        <v>44228</v>
      </c>
      <c r="F43" s="549">
        <v>44256</v>
      </c>
      <c r="G43" s="549">
        <v>44287</v>
      </c>
      <c r="H43" s="549">
        <v>44317</v>
      </c>
      <c r="I43" s="549">
        <v>44348</v>
      </c>
      <c r="J43" s="549">
        <v>44378</v>
      </c>
      <c r="K43" s="550">
        <v>44409</v>
      </c>
      <c r="L43" s="549">
        <v>44440</v>
      </c>
      <c r="M43" s="549">
        <v>44470</v>
      </c>
      <c r="N43" s="549">
        <v>44501</v>
      </c>
      <c r="O43" s="549">
        <v>44531</v>
      </c>
      <c r="P43" s="549">
        <v>44562</v>
      </c>
      <c r="Q43" s="550">
        <v>44593</v>
      </c>
      <c r="R43" s="549">
        <v>44621</v>
      </c>
      <c r="S43" s="549">
        <v>44652</v>
      </c>
      <c r="T43" s="549">
        <v>44682</v>
      </c>
      <c r="U43" s="549">
        <v>44713</v>
      </c>
      <c r="V43" s="549">
        <v>44743</v>
      </c>
      <c r="W43" s="549">
        <v>44774</v>
      </c>
      <c r="X43" s="549">
        <v>44805</v>
      </c>
      <c r="Y43" s="549">
        <v>44835</v>
      </c>
      <c r="Z43" s="549">
        <v>44866</v>
      </c>
      <c r="AA43" s="549">
        <v>44896</v>
      </c>
      <c r="AB43" s="549">
        <v>44927</v>
      </c>
      <c r="AC43" s="549">
        <v>44958</v>
      </c>
      <c r="AD43" s="549">
        <v>44986</v>
      </c>
      <c r="AE43" s="549">
        <v>45017</v>
      </c>
      <c r="AF43" s="549">
        <v>45047</v>
      </c>
      <c r="AG43" s="549">
        <v>45078</v>
      </c>
      <c r="AH43" s="549">
        <v>45108</v>
      </c>
      <c r="AI43" s="549">
        <v>45139</v>
      </c>
      <c r="AJ43" s="549">
        <v>45170</v>
      </c>
      <c r="AK43" s="549">
        <v>45200</v>
      </c>
      <c r="AL43" s="549">
        <v>45231</v>
      </c>
      <c r="AM43" s="549">
        <v>45261</v>
      </c>
      <c r="AN43" s="549">
        <v>45292</v>
      </c>
      <c r="AO43" s="549">
        <v>45323</v>
      </c>
      <c r="AP43" s="549">
        <v>45352</v>
      </c>
      <c r="AQ43" s="549">
        <v>45383</v>
      </c>
      <c r="AR43" s="549">
        <v>45413</v>
      </c>
      <c r="AS43" s="549">
        <v>45444</v>
      </c>
      <c r="AT43" s="549">
        <v>45474</v>
      </c>
      <c r="AU43" s="549">
        <v>45505</v>
      </c>
      <c r="AV43" s="549">
        <v>45536</v>
      </c>
      <c r="AW43" s="549">
        <v>45566</v>
      </c>
      <c r="AX43" s="549">
        <v>45597</v>
      </c>
      <c r="AY43" s="549">
        <v>45627</v>
      </c>
      <c r="AZ43" s="549">
        <v>45658</v>
      </c>
      <c r="BA43" s="549">
        <v>45689</v>
      </c>
      <c r="BB43" s="549">
        <v>45717</v>
      </c>
      <c r="BC43" s="549">
        <v>45748</v>
      </c>
    </row>
    <row r="44" spans="2:76" ht="19.5" customHeight="1" x14ac:dyDescent="0.35">
      <c r="B44" s="463" t="s">
        <v>359</v>
      </c>
      <c r="C44" s="573" t="s">
        <v>1850</v>
      </c>
      <c r="D44" s="546">
        <v>5150</v>
      </c>
      <c r="E44" s="72">
        <v>5154</v>
      </c>
      <c r="F44" s="72">
        <v>5192</v>
      </c>
      <c r="G44" s="72">
        <v>5187</v>
      </c>
      <c r="H44" s="72">
        <v>5174</v>
      </c>
      <c r="I44" s="72">
        <v>5199</v>
      </c>
      <c r="J44" s="72">
        <v>5177</v>
      </c>
      <c r="K44" s="72">
        <v>5155</v>
      </c>
      <c r="L44" s="72">
        <v>5139</v>
      </c>
      <c r="M44" s="72">
        <v>5132</v>
      </c>
      <c r="N44" s="72">
        <v>5121</v>
      </c>
      <c r="O44" s="72">
        <v>5122</v>
      </c>
      <c r="P44" s="72">
        <v>5087</v>
      </c>
      <c r="Q44" s="72">
        <v>5070</v>
      </c>
      <c r="R44" s="72">
        <v>5057</v>
      </c>
      <c r="S44" s="72">
        <v>5075</v>
      </c>
      <c r="T44" s="72">
        <v>5095</v>
      </c>
      <c r="U44" s="72">
        <v>5104</v>
      </c>
      <c r="V44" s="72">
        <v>5140</v>
      </c>
      <c r="W44" s="72">
        <v>5146</v>
      </c>
      <c r="X44" s="72">
        <v>5148</v>
      </c>
      <c r="Y44" s="72">
        <v>5139</v>
      </c>
      <c r="Z44" s="72">
        <v>5162</v>
      </c>
      <c r="AA44" s="72">
        <v>5136</v>
      </c>
      <c r="AB44" s="72">
        <v>5199</v>
      </c>
      <c r="AC44" s="72">
        <v>5219</v>
      </c>
      <c r="AD44" s="72">
        <v>5235</v>
      </c>
      <c r="AE44" s="72">
        <v>5251</v>
      </c>
      <c r="AF44" s="72">
        <v>5272</v>
      </c>
      <c r="AG44" s="72">
        <v>5294</v>
      </c>
      <c r="AH44" s="72">
        <v>5303</v>
      </c>
      <c r="AI44" s="72">
        <v>5324</v>
      </c>
      <c r="AJ44" s="72">
        <v>5337</v>
      </c>
      <c r="AK44" s="72">
        <v>5359</v>
      </c>
      <c r="AL44" s="72">
        <v>5366</v>
      </c>
      <c r="AM44" s="72">
        <v>5378</v>
      </c>
      <c r="AN44" s="72">
        <v>5390</v>
      </c>
      <c r="AO44" s="72">
        <v>5404</v>
      </c>
      <c r="AP44" s="72">
        <v>5414</v>
      </c>
      <c r="AQ44" s="72">
        <v>5418</v>
      </c>
      <c r="AR44" s="72">
        <v>5420</v>
      </c>
      <c r="AS44" s="72">
        <v>5429</v>
      </c>
      <c r="AT44" s="72">
        <v>5444</v>
      </c>
      <c r="AU44" s="72">
        <v>5453</v>
      </c>
      <c r="AV44" s="72">
        <v>5468</v>
      </c>
      <c r="AW44" s="72">
        <v>5484</v>
      </c>
      <c r="AX44" s="72">
        <v>5493</v>
      </c>
      <c r="AY44" s="72">
        <v>5512</v>
      </c>
      <c r="AZ44" s="72">
        <v>5524</v>
      </c>
      <c r="BA44" s="72">
        <v>5514</v>
      </c>
      <c r="BB44" s="72">
        <v>5516</v>
      </c>
      <c r="BC44" s="553">
        <v>5522</v>
      </c>
    </row>
    <row r="45" spans="2:76" ht="18" customHeight="1" x14ac:dyDescent="0.35">
      <c r="B45" s="374" t="s">
        <v>360</v>
      </c>
      <c r="C45" s="120" t="s">
        <v>1910</v>
      </c>
      <c r="D45" s="61">
        <v>13743</v>
      </c>
      <c r="E45" s="63">
        <v>13728</v>
      </c>
      <c r="F45" s="63">
        <v>13779</v>
      </c>
      <c r="G45" s="63">
        <v>13827</v>
      </c>
      <c r="H45" s="63">
        <v>13849</v>
      </c>
      <c r="I45" s="63">
        <v>13917</v>
      </c>
      <c r="J45" s="63">
        <v>13990</v>
      </c>
      <c r="K45" s="63">
        <v>14057</v>
      </c>
      <c r="L45" s="63">
        <v>14055</v>
      </c>
      <c r="M45" s="63">
        <v>14035</v>
      </c>
      <c r="N45" s="63">
        <v>14035</v>
      </c>
      <c r="O45" s="63">
        <v>14071</v>
      </c>
      <c r="P45" s="63">
        <v>14091</v>
      </c>
      <c r="Q45" s="63">
        <v>14097</v>
      </c>
      <c r="R45" s="63">
        <v>14116</v>
      </c>
      <c r="S45" s="63">
        <v>14137</v>
      </c>
      <c r="T45" s="63">
        <v>14145</v>
      </c>
      <c r="U45" s="63">
        <v>14168</v>
      </c>
      <c r="V45" s="63">
        <v>14280</v>
      </c>
      <c r="W45" s="63">
        <v>14264</v>
      </c>
      <c r="X45" s="63">
        <v>14269</v>
      </c>
      <c r="Y45" s="63">
        <v>14301</v>
      </c>
      <c r="Z45" s="63">
        <v>14337</v>
      </c>
      <c r="AA45" s="63">
        <v>14364</v>
      </c>
      <c r="AB45" s="63">
        <v>14411</v>
      </c>
      <c r="AC45" s="63">
        <v>14439</v>
      </c>
      <c r="AD45" s="63">
        <v>14453</v>
      </c>
      <c r="AE45" s="63">
        <v>14478</v>
      </c>
      <c r="AF45" s="63">
        <v>14509</v>
      </c>
      <c r="AG45" s="63">
        <v>14565</v>
      </c>
      <c r="AH45" s="63">
        <v>14589</v>
      </c>
      <c r="AI45" s="63">
        <v>14603</v>
      </c>
      <c r="AJ45" s="63">
        <v>14653</v>
      </c>
      <c r="AK45" s="63">
        <v>14693</v>
      </c>
      <c r="AL45" s="63">
        <v>14728</v>
      </c>
      <c r="AM45" s="63">
        <v>14763</v>
      </c>
      <c r="AN45" s="63">
        <v>14786</v>
      </c>
      <c r="AO45" s="63">
        <v>14835</v>
      </c>
      <c r="AP45" s="63">
        <v>14890</v>
      </c>
      <c r="AQ45" s="63">
        <v>14877</v>
      </c>
      <c r="AR45" s="63">
        <v>14905</v>
      </c>
      <c r="AS45" s="63">
        <v>14915</v>
      </c>
      <c r="AT45" s="63">
        <v>14946</v>
      </c>
      <c r="AU45" s="63">
        <v>14973</v>
      </c>
      <c r="AV45" s="63">
        <v>14986</v>
      </c>
      <c r="AW45" s="63">
        <v>15012</v>
      </c>
      <c r="AX45" s="63">
        <v>15022</v>
      </c>
      <c r="AY45" s="63">
        <v>15036</v>
      </c>
      <c r="AZ45" s="63">
        <v>15053</v>
      </c>
      <c r="BA45" s="63">
        <v>15071</v>
      </c>
      <c r="BB45" s="63">
        <v>15088</v>
      </c>
      <c r="BC45" s="554">
        <v>15101</v>
      </c>
    </row>
    <row r="46" spans="2:76" ht="18" customHeight="1" x14ac:dyDescent="0.35">
      <c r="B46" s="374" t="s">
        <v>2014</v>
      </c>
      <c r="C46" s="268"/>
      <c r="D46" s="555">
        <f t="shared" ref="D46:U46" si="12">D44+D45</f>
        <v>18893</v>
      </c>
      <c r="E46" s="551">
        <f t="shared" si="12"/>
        <v>18882</v>
      </c>
      <c r="F46" s="551">
        <f t="shared" si="12"/>
        <v>18971</v>
      </c>
      <c r="G46" s="551">
        <f t="shared" si="12"/>
        <v>19014</v>
      </c>
      <c r="H46" s="551">
        <f t="shared" si="12"/>
        <v>19023</v>
      </c>
      <c r="I46" s="551">
        <f t="shared" si="12"/>
        <v>19116</v>
      </c>
      <c r="J46" s="551">
        <f t="shared" si="12"/>
        <v>19167</v>
      </c>
      <c r="K46" s="551">
        <f t="shared" si="12"/>
        <v>19212</v>
      </c>
      <c r="L46" s="551">
        <f t="shared" si="12"/>
        <v>19194</v>
      </c>
      <c r="M46" s="551">
        <f t="shared" si="12"/>
        <v>19167</v>
      </c>
      <c r="N46" s="551">
        <f t="shared" si="12"/>
        <v>19156</v>
      </c>
      <c r="O46" s="551">
        <f t="shared" si="12"/>
        <v>19193</v>
      </c>
      <c r="P46" s="551">
        <f t="shared" si="12"/>
        <v>19178</v>
      </c>
      <c r="Q46" s="551">
        <f t="shared" si="12"/>
        <v>19167</v>
      </c>
      <c r="R46" s="551">
        <f t="shared" si="12"/>
        <v>19173</v>
      </c>
      <c r="S46" s="551">
        <f t="shared" si="12"/>
        <v>19212</v>
      </c>
      <c r="T46" s="551">
        <f t="shared" si="12"/>
        <v>19240</v>
      </c>
      <c r="U46" s="551">
        <f t="shared" si="12"/>
        <v>19272</v>
      </c>
      <c r="V46" s="551">
        <f>V44+V45</f>
        <v>19420</v>
      </c>
      <c r="W46" s="551">
        <f t="shared" ref="W46:AR46" si="13">W44+W45</f>
        <v>19410</v>
      </c>
      <c r="X46" s="551">
        <f t="shared" si="13"/>
        <v>19417</v>
      </c>
      <c r="Y46" s="551">
        <f t="shared" si="13"/>
        <v>19440</v>
      </c>
      <c r="Z46" s="551">
        <f t="shared" si="13"/>
        <v>19499</v>
      </c>
      <c r="AA46" s="551">
        <f t="shared" si="13"/>
        <v>19500</v>
      </c>
      <c r="AB46" s="551">
        <f t="shared" si="13"/>
        <v>19610</v>
      </c>
      <c r="AC46" s="551">
        <f t="shared" si="13"/>
        <v>19658</v>
      </c>
      <c r="AD46" s="551">
        <f t="shared" si="13"/>
        <v>19688</v>
      </c>
      <c r="AE46" s="551">
        <f t="shared" si="13"/>
        <v>19729</v>
      </c>
      <c r="AF46" s="551">
        <f t="shared" si="13"/>
        <v>19781</v>
      </c>
      <c r="AG46" s="551">
        <f t="shared" si="13"/>
        <v>19859</v>
      </c>
      <c r="AH46" s="551">
        <f t="shared" si="13"/>
        <v>19892</v>
      </c>
      <c r="AI46" s="551">
        <f t="shared" si="13"/>
        <v>19927</v>
      </c>
      <c r="AJ46" s="551">
        <f t="shared" si="13"/>
        <v>19990</v>
      </c>
      <c r="AK46" s="551">
        <f t="shared" si="13"/>
        <v>20052</v>
      </c>
      <c r="AL46" s="551">
        <f t="shared" si="13"/>
        <v>20094</v>
      </c>
      <c r="AM46" s="551">
        <f t="shared" si="13"/>
        <v>20141</v>
      </c>
      <c r="AN46" s="551">
        <f t="shared" si="13"/>
        <v>20176</v>
      </c>
      <c r="AO46" s="551">
        <f t="shared" si="13"/>
        <v>20239</v>
      </c>
      <c r="AP46" s="551">
        <f t="shared" si="13"/>
        <v>20304</v>
      </c>
      <c r="AQ46" s="551">
        <f t="shared" si="13"/>
        <v>20295</v>
      </c>
      <c r="AR46" s="551">
        <f t="shared" si="13"/>
        <v>20325</v>
      </c>
      <c r="AS46" s="551">
        <f t="shared" ref="AS46:BC46" si="14">AS44+AS45</f>
        <v>20344</v>
      </c>
      <c r="AT46" s="551">
        <f t="shared" si="14"/>
        <v>20390</v>
      </c>
      <c r="AU46" s="551">
        <f t="shared" si="14"/>
        <v>20426</v>
      </c>
      <c r="AV46" s="551">
        <f t="shared" si="14"/>
        <v>20454</v>
      </c>
      <c r="AW46" s="551">
        <f t="shared" si="14"/>
        <v>20496</v>
      </c>
      <c r="AX46" s="551">
        <f t="shared" si="14"/>
        <v>20515</v>
      </c>
      <c r="AY46" s="551">
        <f>AY44+AY45</f>
        <v>20548</v>
      </c>
      <c r="AZ46" s="551">
        <f t="shared" si="14"/>
        <v>20577</v>
      </c>
      <c r="BA46" s="551">
        <f t="shared" si="14"/>
        <v>20585</v>
      </c>
      <c r="BB46" s="551">
        <f t="shared" si="14"/>
        <v>20604</v>
      </c>
      <c r="BC46" s="556">
        <f t="shared" si="14"/>
        <v>20623</v>
      </c>
    </row>
    <row r="47" spans="2:76" ht="19.5" customHeight="1" x14ac:dyDescent="0.35">
      <c r="B47" s="593" t="s">
        <v>362</v>
      </c>
      <c r="C47" s="468" t="s">
        <v>363</v>
      </c>
      <c r="D47" s="545">
        <v>345102</v>
      </c>
      <c r="E47" s="571">
        <v>335151</v>
      </c>
      <c r="F47" s="571">
        <v>336955</v>
      </c>
      <c r="G47" s="571">
        <v>335574</v>
      </c>
      <c r="H47" s="571">
        <v>338521</v>
      </c>
      <c r="I47" s="571">
        <v>329746</v>
      </c>
      <c r="J47" s="571">
        <v>328919</v>
      </c>
      <c r="K47" s="571">
        <v>333989</v>
      </c>
      <c r="L47" s="571">
        <v>326840</v>
      </c>
      <c r="M47" s="571">
        <v>327373</v>
      </c>
      <c r="N47" s="571">
        <v>331380</v>
      </c>
      <c r="O47" s="571">
        <v>331492</v>
      </c>
      <c r="P47" s="571">
        <v>334244</v>
      </c>
      <c r="Q47" s="571">
        <v>338416</v>
      </c>
      <c r="R47" s="571">
        <v>339417</v>
      </c>
      <c r="S47" s="571">
        <v>345062</v>
      </c>
      <c r="T47" s="571">
        <v>339178</v>
      </c>
      <c r="U47" s="571">
        <v>342484</v>
      </c>
      <c r="V47" s="571">
        <v>350972</v>
      </c>
      <c r="W47" s="571">
        <v>350286</v>
      </c>
      <c r="X47" s="571">
        <v>355116</v>
      </c>
      <c r="Y47" s="571">
        <v>354474</v>
      </c>
      <c r="Z47" s="571">
        <v>359543</v>
      </c>
      <c r="AA47" s="571">
        <v>361033</v>
      </c>
      <c r="AB47" s="571">
        <v>364867</v>
      </c>
      <c r="AC47" s="571">
        <v>371673</v>
      </c>
      <c r="AD47" s="571">
        <v>374555</v>
      </c>
      <c r="AE47" s="571">
        <v>382073</v>
      </c>
      <c r="AF47" s="571">
        <v>388978</v>
      </c>
      <c r="AG47" s="571">
        <v>396538</v>
      </c>
      <c r="AH47" s="571">
        <v>404059</v>
      </c>
      <c r="AI47" s="571">
        <v>407847</v>
      </c>
      <c r="AJ47" s="571">
        <v>418897</v>
      </c>
      <c r="AK47" s="570">
        <v>432334</v>
      </c>
      <c r="AL47" s="571">
        <v>440095</v>
      </c>
      <c r="AM47" s="571">
        <v>446894</v>
      </c>
      <c r="AN47" s="571">
        <v>445408</v>
      </c>
      <c r="AO47" s="570">
        <v>448458</v>
      </c>
      <c r="AP47" s="571">
        <v>453062</v>
      </c>
      <c r="AQ47" s="570">
        <v>451154</v>
      </c>
      <c r="AR47" s="570"/>
      <c r="AS47" s="572"/>
      <c r="AT47" s="572"/>
      <c r="AU47" s="572"/>
      <c r="AV47" s="572"/>
      <c r="AW47" s="572"/>
      <c r="AX47" s="572"/>
      <c r="AY47" s="572"/>
      <c r="AZ47" s="572"/>
      <c r="BA47" s="570"/>
      <c r="BB47" s="570"/>
      <c r="BC47" s="557"/>
    </row>
    <row r="48" spans="2:76" ht="15.65" customHeight="1" x14ac:dyDescent="0.35">
      <c r="B48" s="380"/>
      <c r="C48" s="375"/>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S48" s="63"/>
      <c r="AT48" s="63"/>
      <c r="AU48" s="63"/>
      <c r="AV48" s="63"/>
      <c r="AW48" s="63"/>
      <c r="AX48" s="63"/>
      <c r="AY48" s="63"/>
      <c r="AZ48" s="63"/>
    </row>
    <row r="49" spans="2:63" ht="15.65" customHeight="1" x14ac:dyDescent="0.35">
      <c r="B49" s="559" t="s">
        <v>2015</v>
      </c>
      <c r="C49" s="560" t="s">
        <v>835</v>
      </c>
      <c r="D49" s="566" t="s">
        <v>1079</v>
      </c>
      <c r="E49" s="566" t="s">
        <v>1080</v>
      </c>
      <c r="F49" s="566" t="s">
        <v>1081</v>
      </c>
      <c r="G49" s="566" t="s">
        <v>1082</v>
      </c>
      <c r="H49" s="566" t="s">
        <v>1083</v>
      </c>
      <c r="I49" s="566" t="s">
        <v>1084</v>
      </c>
      <c r="J49" s="566" t="s">
        <v>235</v>
      </c>
      <c r="K49" s="566" t="s">
        <v>236</v>
      </c>
      <c r="L49" s="566" t="s">
        <v>237</v>
      </c>
      <c r="M49" s="566" t="s">
        <v>238</v>
      </c>
      <c r="N49" s="566" t="s">
        <v>168</v>
      </c>
      <c r="O49" s="566" t="s">
        <v>169</v>
      </c>
      <c r="P49" s="566" t="s">
        <v>170</v>
      </c>
      <c r="Q49" s="566" t="s">
        <v>171</v>
      </c>
      <c r="R49" s="566" t="s">
        <v>172</v>
      </c>
      <c r="S49" s="566" t="s">
        <v>173</v>
      </c>
      <c r="T49" s="566" t="s">
        <v>174</v>
      </c>
      <c r="U49" s="566" t="s">
        <v>175</v>
      </c>
      <c r="V49" s="566" t="s">
        <v>176</v>
      </c>
      <c r="W49" s="566" t="s">
        <v>177</v>
      </c>
      <c r="X49" s="566" t="s">
        <v>178</v>
      </c>
      <c r="Y49" s="566" t="s">
        <v>179</v>
      </c>
      <c r="Z49" s="566" t="s">
        <v>163</v>
      </c>
      <c r="AA49" s="566" t="s">
        <v>164</v>
      </c>
      <c r="AB49" s="566" t="s">
        <v>165</v>
      </c>
      <c r="AC49" s="566" t="s">
        <v>728</v>
      </c>
      <c r="AD49" s="558"/>
      <c r="AE49" s="558"/>
      <c r="AF49" s="558"/>
      <c r="AG49" s="558"/>
      <c r="AH49" s="558"/>
      <c r="AI49" s="558"/>
      <c r="AJ49" s="558"/>
      <c r="AK49" s="558"/>
      <c r="AL49" s="558"/>
      <c r="AM49" s="558"/>
      <c r="AN49" s="558"/>
      <c r="AO49" s="558"/>
      <c r="AP49" s="558"/>
      <c r="AQ49" s="558"/>
      <c r="AR49" s="558"/>
      <c r="AS49" s="558"/>
      <c r="AT49" s="558"/>
      <c r="AU49" s="558"/>
      <c r="AV49" s="558"/>
      <c r="AW49" s="558"/>
      <c r="AX49" s="558"/>
      <c r="AY49" s="558"/>
      <c r="AZ49" s="558"/>
      <c r="BA49" s="558"/>
      <c r="BB49" s="558"/>
      <c r="BC49" s="558"/>
      <c r="BD49" s="558"/>
      <c r="BE49" s="558"/>
      <c r="BF49" s="558"/>
      <c r="BG49" s="558"/>
      <c r="BH49" s="558"/>
      <c r="BI49" s="558"/>
      <c r="BJ49" s="558"/>
      <c r="BK49" s="558"/>
    </row>
    <row r="50" spans="2:63" ht="15.65" customHeight="1" x14ac:dyDescent="0.35">
      <c r="B50" s="463" t="s">
        <v>359</v>
      </c>
      <c r="C50" s="573" t="s">
        <v>1850</v>
      </c>
      <c r="D50" s="564">
        <f>'Haver Pivoted'!GP72</f>
        <v>5182</v>
      </c>
      <c r="E50" s="564">
        <f>'Haver Pivoted'!GQ72</f>
        <v>5170.6666666666697</v>
      </c>
      <c r="F50" s="564">
        <f>'Haver Pivoted'!GR72</f>
        <v>5207.6666666666697</v>
      </c>
      <c r="G50" s="564">
        <f>'Haver Pivoted'!GS72</f>
        <v>5246</v>
      </c>
      <c r="H50" s="564">
        <f>'Haver Pivoted'!GT72</f>
        <v>5277.6666666666697</v>
      </c>
      <c r="I50" s="564">
        <f>'Haver Pivoted'!GU72</f>
        <v>5080.3333333333303</v>
      </c>
      <c r="J50" s="564">
        <f>'Haver Pivoted'!GV72</f>
        <v>5097</v>
      </c>
      <c r="K50" s="564">
        <f>'Haver Pivoted'!GW72</f>
        <v>5077</v>
      </c>
      <c r="L50" s="564">
        <f>'Haver Pivoted'!GX72</f>
        <v>5160.3333333333303</v>
      </c>
      <c r="M50" s="564">
        <f>'Haver Pivoted'!GY72</f>
        <v>5185</v>
      </c>
      <c r="N50" s="564">
        <f>'Haver Pivoted'!GZ72</f>
        <v>5156.6666666666697</v>
      </c>
      <c r="O50" s="564">
        <f>'Haver Pivoted'!HA72</f>
        <v>5125.6666666666697</v>
      </c>
      <c r="P50" s="564">
        <f>'Haver Pivoted'!HB72</f>
        <v>5070</v>
      </c>
      <c r="Q50" s="564">
        <f>'Haver Pivoted'!HC72</f>
        <v>5091.6666666666697</v>
      </c>
      <c r="R50" s="564">
        <f>'Haver Pivoted'!HD72</f>
        <v>5143.3333333333303</v>
      </c>
      <c r="S50" s="564">
        <f>'Haver Pivoted'!HE72</f>
        <v>5145.3333333333303</v>
      </c>
      <c r="T50" s="564">
        <f>'Haver Pivoted'!HF72</f>
        <v>5216.3333333333303</v>
      </c>
      <c r="U50" s="564">
        <f>'Haver Pivoted'!HG72</f>
        <v>5275</v>
      </c>
      <c r="V50" s="564">
        <f>'Haver Pivoted'!HH72</f>
        <v>5318.3333333333303</v>
      </c>
      <c r="W50" s="564">
        <f>'Haver Pivoted'!HI72</f>
        <v>5365.3333333333303</v>
      </c>
      <c r="X50" s="564">
        <f>'Haver Pivoted'!HJ72</f>
        <v>5402</v>
      </c>
      <c r="Y50" s="564">
        <f>'Haver Pivoted'!HK72</f>
        <v>5421.3333333333303</v>
      </c>
      <c r="Z50" s="564">
        <f>'Haver Pivoted'!HL72</f>
        <v>5463.3333333333303</v>
      </c>
      <c r="AA50" s="564">
        <f>'Haver Pivoted'!HM72</f>
        <v>5503</v>
      </c>
      <c r="AB50" s="564">
        <f>'Haver Pivoted'!HN72</f>
        <v>5524.3333333333303</v>
      </c>
      <c r="AC50" s="564">
        <f>'Haver Pivoted'!HO72</f>
        <v>5517.6666666666697</v>
      </c>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row>
    <row r="51" spans="2:63" ht="15.65" customHeight="1" x14ac:dyDescent="0.35">
      <c r="B51" s="374" t="s">
        <v>360</v>
      </c>
      <c r="C51" s="120" t="s">
        <v>1910</v>
      </c>
      <c r="D51" s="564">
        <f>'Haver Pivoted'!GP73</f>
        <v>14542.333333333299</v>
      </c>
      <c r="E51" s="564">
        <f>'Haver Pivoted'!GQ73</f>
        <v>14594.666666666701</v>
      </c>
      <c r="F51" s="564">
        <f>'Haver Pivoted'!GR73</f>
        <v>14564</v>
      </c>
      <c r="G51" s="564">
        <f>'Haver Pivoted'!GS73</f>
        <v>14617</v>
      </c>
      <c r="H51" s="564">
        <f>'Haver Pivoted'!GT73</f>
        <v>14681.333333333299</v>
      </c>
      <c r="I51" s="564">
        <f>'Haver Pivoted'!GU73</f>
        <v>13613</v>
      </c>
      <c r="J51" s="564">
        <f>'Haver Pivoted'!GV73</f>
        <v>13655</v>
      </c>
      <c r="K51" s="564">
        <f>'Haver Pivoted'!GW73</f>
        <v>13721.666666666701</v>
      </c>
      <c r="L51" s="564">
        <f>'Haver Pivoted'!GX73</f>
        <v>13735.333333333299</v>
      </c>
      <c r="M51" s="564">
        <f>'Haver Pivoted'!GY73</f>
        <v>13877</v>
      </c>
      <c r="N51" s="564">
        <f>'Haver Pivoted'!GZ73</f>
        <v>14046.666666666701</v>
      </c>
      <c r="O51" s="564">
        <f>'Haver Pivoted'!HA73</f>
        <v>14036.333333333299</v>
      </c>
      <c r="P51" s="564">
        <f>'Haver Pivoted'!HB73</f>
        <v>14094.666666666701</v>
      </c>
      <c r="Q51" s="564">
        <f>'Haver Pivoted'!HC73</f>
        <v>14160</v>
      </c>
      <c r="R51" s="564">
        <f>'Haver Pivoted'!HD73</f>
        <v>14297</v>
      </c>
      <c r="S51" s="564">
        <f>'Haver Pivoted'!HE73</f>
        <v>14326.666666666701</v>
      </c>
      <c r="T51" s="564">
        <f>'Haver Pivoted'!HF73</f>
        <v>14431</v>
      </c>
      <c r="U51" s="564">
        <f>'Haver Pivoted'!HG73</f>
        <v>14529</v>
      </c>
      <c r="V51" s="564">
        <f>'Haver Pivoted'!HH73</f>
        <v>14636.666666666701</v>
      </c>
      <c r="W51" s="564">
        <f>'Haver Pivoted'!HI73</f>
        <v>14714.666666666701</v>
      </c>
      <c r="X51" s="564">
        <f>'Haver Pivoted'!HJ73</f>
        <v>14833.666666666701</v>
      </c>
      <c r="Y51" s="564">
        <f>'Haver Pivoted'!HK73</f>
        <v>14901.333333333299</v>
      </c>
      <c r="Z51" s="564">
        <f>'Haver Pivoted'!HL73</f>
        <v>14955</v>
      </c>
      <c r="AA51" s="564">
        <f>'Haver Pivoted'!HM73</f>
        <v>14993</v>
      </c>
      <c r="AB51" s="564">
        <f>'Haver Pivoted'!HN73</f>
        <v>15035.666666666701</v>
      </c>
      <c r="AC51" s="564">
        <f>'Haver Pivoted'!HO73</f>
        <v>15096.666666666701</v>
      </c>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row>
    <row r="52" spans="2:63" ht="15.65" customHeight="1" x14ac:dyDescent="0.35">
      <c r="B52" s="561" t="s">
        <v>2014</v>
      </c>
      <c r="C52" s="405"/>
      <c r="D52" s="562">
        <f t="shared" ref="D52:M52" si="15">D50+D51</f>
        <v>19724.333333333299</v>
      </c>
      <c r="E52" s="562">
        <f t="shared" si="15"/>
        <v>19765.333333333372</v>
      </c>
      <c r="F52" s="562">
        <f t="shared" si="15"/>
        <v>19771.666666666672</v>
      </c>
      <c r="G52" s="562">
        <f t="shared" si="15"/>
        <v>19863</v>
      </c>
      <c r="H52" s="562">
        <f t="shared" si="15"/>
        <v>19958.999999999971</v>
      </c>
      <c r="I52" s="562">
        <f t="shared" si="15"/>
        <v>18693.333333333328</v>
      </c>
      <c r="J52" s="562">
        <f t="shared" si="15"/>
        <v>18752</v>
      </c>
      <c r="K52" s="562">
        <f t="shared" si="15"/>
        <v>18798.666666666701</v>
      </c>
      <c r="L52" s="562">
        <f t="shared" si="15"/>
        <v>18895.666666666628</v>
      </c>
      <c r="M52" s="562">
        <f t="shared" si="15"/>
        <v>19062</v>
      </c>
      <c r="N52" s="562">
        <f t="shared" ref="N52" si="16">N50+N51</f>
        <v>19203.333333333372</v>
      </c>
      <c r="O52" s="562">
        <f t="shared" ref="O52" si="17">O50+O51</f>
        <v>19161.999999999971</v>
      </c>
      <c r="P52" s="562">
        <f t="shared" ref="P52" si="18">P50+P51</f>
        <v>19164.666666666701</v>
      </c>
      <c r="Q52" s="562">
        <f t="shared" ref="Q52" si="19">Q50+Q51</f>
        <v>19251.666666666672</v>
      </c>
      <c r="R52" s="562">
        <f t="shared" ref="R52" si="20">R50+R51</f>
        <v>19440.333333333328</v>
      </c>
      <c r="S52" s="562">
        <f t="shared" ref="S52" si="21">S50+S51</f>
        <v>19472.000000000029</v>
      </c>
      <c r="T52" s="562">
        <f t="shared" ref="T52" si="22">T50+T51</f>
        <v>19647.333333333328</v>
      </c>
      <c r="U52" s="562">
        <f t="shared" ref="U52" si="23">U50+U51</f>
        <v>19804</v>
      </c>
      <c r="V52" s="562">
        <f t="shared" ref="V52" si="24">V50+V51</f>
        <v>19955.000000000029</v>
      </c>
      <c r="W52" s="562">
        <f t="shared" ref="W52" si="25">W50+W51</f>
        <v>20080.000000000029</v>
      </c>
      <c r="X52" s="562">
        <f t="shared" ref="X52" si="26">X50+X51</f>
        <v>20235.666666666701</v>
      </c>
      <c r="Y52" s="562">
        <f t="shared" ref="Y52" si="27">Y50+Y51</f>
        <v>20322.666666666628</v>
      </c>
      <c r="Z52" s="562">
        <f t="shared" ref="Z52" si="28">Z50+Z51</f>
        <v>20418.333333333328</v>
      </c>
      <c r="AA52" s="562">
        <f t="shared" ref="AA52" si="29">AA50+AA51</f>
        <v>20496</v>
      </c>
      <c r="AB52" s="562">
        <f t="shared" ref="AB52" si="30">AB50+AB51</f>
        <v>20560.000000000029</v>
      </c>
      <c r="AC52" s="563">
        <f>AC50+AC51</f>
        <v>20614.333333333372</v>
      </c>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row>
    <row r="53" spans="2:63" ht="12.75" customHeight="1" x14ac:dyDescent="0.35">
      <c r="B53" s="593" t="s">
        <v>362</v>
      </c>
      <c r="C53" s="468" t="s">
        <v>363</v>
      </c>
      <c r="D53" s="565">
        <f>'Haver Pivoted'!GP74</f>
        <v>300642.33333333302</v>
      </c>
      <c r="E53" s="565">
        <f>'Haver Pivoted'!GQ74</f>
        <v>320820.33333333302</v>
      </c>
      <c r="F53" s="565">
        <f>'Haver Pivoted'!GR74</f>
        <v>324029.66666666698</v>
      </c>
      <c r="G53" s="565">
        <f>'Haver Pivoted'!GS74</f>
        <v>324382</v>
      </c>
      <c r="H53" s="565">
        <f>'Haver Pivoted'!GT74</f>
        <v>343616.66666666698</v>
      </c>
      <c r="I53" s="565">
        <f>'Haver Pivoted'!GU74</f>
        <v>342816</v>
      </c>
      <c r="J53" s="565">
        <f>'Haver Pivoted'!GV74</f>
        <v>335700</v>
      </c>
      <c r="K53" s="565">
        <f>'Haver Pivoted'!GW74</f>
        <v>341450.33333333302</v>
      </c>
      <c r="L53" s="565">
        <f>'Haver Pivoted'!GX74</f>
        <v>338111.33333333302</v>
      </c>
      <c r="M53" s="565">
        <f>'Haver Pivoted'!GY74</f>
        <v>334562.66666666698</v>
      </c>
      <c r="N53" s="565">
        <f>'Haver Pivoted'!GZ74</f>
        <v>330245.33333333302</v>
      </c>
      <c r="O53" s="565">
        <f>'Haver Pivoted'!HA74</f>
        <v>329422</v>
      </c>
      <c r="P53" s="565">
        <f>'Haver Pivoted'!HB74</f>
        <v>339538.66666666698</v>
      </c>
      <c r="Q53" s="565">
        <f>'Haver Pivoted'!HC74</f>
        <v>347441.33333333302</v>
      </c>
      <c r="R53" s="565">
        <f>'Haver Pivoted'!HD74</f>
        <v>362214.33333333302</v>
      </c>
      <c r="S53" s="565">
        <f>'Haver Pivoted'!HE74</f>
        <v>368624.33333333302</v>
      </c>
      <c r="T53" s="565">
        <f>'Haver Pivoted'!HF74</f>
        <v>388408.33333333302</v>
      </c>
      <c r="U53" s="565">
        <f>'Haver Pivoted'!HG74</f>
        <v>415585.33333333302</v>
      </c>
      <c r="V53" s="565">
        <f>'Haver Pivoted'!HH74</f>
        <v>429322</v>
      </c>
      <c r="W53" s="565">
        <f>'Haver Pivoted'!HI74</f>
        <v>451322.66666666698</v>
      </c>
      <c r="X53" s="565">
        <f>'Haver Pivoted'!HJ74</f>
        <v>455254</v>
      </c>
      <c r="Y53" s="565">
        <f>'Haver Pivoted'!HK74</f>
        <v>457983.66666666698</v>
      </c>
      <c r="Z53" s="565">
        <f>'Haver Pivoted'!HL74</f>
        <v>467739</v>
      </c>
      <c r="AA53" s="565">
        <f>'Haver Pivoted'!HM74</f>
        <v>471235</v>
      </c>
      <c r="AB53" s="565">
        <f>'Haver Pivoted'!HN74</f>
        <v>468903.33333333302</v>
      </c>
      <c r="AC53" s="565">
        <f>'Haver Pivoted'!HO74</f>
        <v>476013.66666666698</v>
      </c>
      <c r="AD53" s="551"/>
      <c r="AE53" s="551"/>
      <c r="AF53" s="551"/>
      <c r="AG53" s="551"/>
      <c r="AH53" s="551"/>
      <c r="AI53" s="551"/>
      <c r="AJ53" s="551"/>
      <c r="AK53" s="551"/>
      <c r="AL53" s="551"/>
      <c r="AM53" s="551"/>
      <c r="AN53" s="551"/>
      <c r="AO53" s="551"/>
      <c r="AP53" s="551"/>
      <c r="AQ53" s="551"/>
      <c r="AR53" s="551"/>
      <c r="AS53" s="63"/>
      <c r="AT53" s="551"/>
      <c r="AU53" s="551"/>
      <c r="AV53" s="551"/>
      <c r="AW53" s="63"/>
      <c r="AX53" s="551"/>
      <c r="AY53" s="63"/>
      <c r="AZ53" s="63"/>
      <c r="BA53" s="552"/>
      <c r="BB53" s="552"/>
      <c r="BC53" s="552"/>
      <c r="BD53" s="552"/>
      <c r="BE53" s="552"/>
      <c r="BF53" s="552"/>
      <c r="BG53" s="552"/>
      <c r="BH53" s="552"/>
      <c r="BI53" s="63"/>
      <c r="BJ53" s="63"/>
      <c r="BK53" s="63"/>
    </row>
    <row r="54" spans="2:63" ht="12.75" customHeight="1" x14ac:dyDescent="0.35">
      <c r="B54" s="375"/>
      <c r="C54" s="268"/>
      <c r="D54" s="63"/>
      <c r="E54" s="551"/>
      <c r="F54" s="551"/>
      <c r="G54" s="551"/>
      <c r="H54" s="551"/>
      <c r="I54" s="551"/>
      <c r="J54" s="551"/>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63"/>
      <c r="AL54" s="551"/>
      <c r="AM54" s="551"/>
      <c r="AN54" s="551"/>
      <c r="AO54" s="63"/>
      <c r="AP54" s="551"/>
      <c r="AQ54" s="63"/>
      <c r="AR54" s="63"/>
      <c r="AS54" s="552"/>
      <c r="AT54" s="552"/>
      <c r="AU54" s="552"/>
      <c r="AV54" s="552"/>
      <c r="AW54" s="552"/>
      <c r="AX54" s="552"/>
      <c r="AY54" s="552"/>
      <c r="AZ54" s="552"/>
      <c r="BA54" s="63"/>
      <c r="BB54" s="63"/>
      <c r="BC54" s="63"/>
    </row>
    <row r="55" spans="2:63" x14ac:dyDescent="0.35">
      <c r="B55" s="1453" t="s">
        <v>364</v>
      </c>
      <c r="C55" s="1453"/>
      <c r="D55" s="1453"/>
      <c r="E55" s="1453"/>
      <c r="F55" s="1453"/>
      <c r="G55" s="1453"/>
      <c r="H55" s="1453"/>
      <c r="I55" s="1453"/>
      <c r="J55" s="1453"/>
      <c r="K55" s="1453"/>
      <c r="L55" s="1453"/>
      <c r="M55" s="1453"/>
      <c r="N55" s="1453"/>
      <c r="O55" s="1453"/>
      <c r="P55" s="1453"/>
      <c r="Q55" s="1453"/>
      <c r="R55" s="1453"/>
      <c r="S55" s="1453"/>
      <c r="T55" s="1453"/>
      <c r="U55" s="1453"/>
      <c r="V55" s="1453"/>
      <c r="W55" s="1453"/>
      <c r="X55" s="1453"/>
      <c r="Y55" s="1453"/>
      <c r="Z55" s="1453"/>
      <c r="AA55" s="1453"/>
      <c r="AB55" s="1453"/>
      <c r="AC55" s="1453"/>
      <c r="AD55" s="241"/>
      <c r="AE55">
        <f>AVERAGE(AE47:AG47)</f>
        <v>389196.33333333331</v>
      </c>
      <c r="AF55" s="241"/>
      <c r="AG55" s="241"/>
      <c r="AH55" s="241"/>
      <c r="AL55" s="268"/>
    </row>
    <row r="56" spans="2:63" ht="20.25" customHeight="1" x14ac:dyDescent="0.35">
      <c r="B56" s="1453"/>
      <c r="C56" s="1453"/>
      <c r="D56" s="1453"/>
      <c r="E56" s="1453"/>
      <c r="F56" s="1453"/>
      <c r="G56" s="1453"/>
      <c r="H56" s="1453"/>
      <c r="I56" s="1453"/>
      <c r="J56" s="1453"/>
      <c r="K56" s="1453"/>
      <c r="L56" s="1453"/>
      <c r="M56" s="1453"/>
      <c r="N56" s="1453"/>
      <c r="O56" s="1453"/>
      <c r="P56" s="1453"/>
      <c r="Q56" s="1453"/>
      <c r="R56" s="1453"/>
      <c r="S56" s="1453"/>
      <c r="T56" s="1453"/>
      <c r="U56" s="1453"/>
      <c r="V56" s="1453"/>
      <c r="W56" s="1453"/>
      <c r="X56" s="1453"/>
      <c r="Y56" s="1453"/>
      <c r="Z56" s="1453"/>
      <c r="AA56" s="1453"/>
      <c r="AB56" s="1453"/>
      <c r="AC56" s="1453"/>
      <c r="AD56" s="241"/>
      <c r="AE56" s="241"/>
      <c r="AF56" s="241"/>
      <c r="AG56" s="241"/>
      <c r="AH56" s="241"/>
      <c r="AL56" s="268"/>
    </row>
    <row r="57" spans="2:63" ht="14.25" customHeight="1" x14ac:dyDescent="0.35">
      <c r="B57" s="1452" t="s">
        <v>365</v>
      </c>
      <c r="C57" s="1452"/>
      <c r="D57" s="1452"/>
      <c r="E57" s="1452"/>
      <c r="F57" s="1452"/>
      <c r="G57" s="1452"/>
      <c r="H57" s="1452"/>
      <c r="I57" s="1452"/>
      <c r="J57" s="1452"/>
      <c r="K57" s="1452"/>
      <c r="L57" s="1452"/>
      <c r="M57" s="1452"/>
      <c r="N57" s="1452"/>
      <c r="O57" s="1452"/>
      <c r="P57" s="1452"/>
      <c r="Q57" s="1452"/>
      <c r="R57" s="1452"/>
      <c r="S57" s="1452"/>
      <c r="T57" s="1452"/>
      <c r="U57" s="1452"/>
      <c r="V57" s="1452"/>
      <c r="W57" s="1452"/>
      <c r="X57" s="1452"/>
      <c r="Y57" s="1452"/>
      <c r="Z57" s="1452"/>
      <c r="AA57" s="1452"/>
      <c r="AB57" s="1452"/>
      <c r="AC57" s="1452"/>
      <c r="AD57" s="488"/>
      <c r="AE57" s="488"/>
      <c r="AF57" s="488"/>
      <c r="AG57" s="488"/>
      <c r="AH57" s="488"/>
      <c r="AL57" s="268"/>
    </row>
    <row r="58" spans="2:63" x14ac:dyDescent="0.35">
      <c r="B58" s="1452"/>
      <c r="C58" s="1452"/>
      <c r="D58" s="1452"/>
      <c r="E58" s="1452"/>
      <c r="F58" s="1452"/>
      <c r="G58" s="1452"/>
      <c r="H58" s="1452"/>
      <c r="I58" s="1452"/>
      <c r="J58" s="1452"/>
      <c r="K58" s="1452"/>
      <c r="L58" s="1452"/>
      <c r="M58" s="1452"/>
      <c r="N58" s="1452"/>
      <c r="O58" s="1452"/>
      <c r="P58" s="1452"/>
      <c r="Q58" s="1452"/>
      <c r="R58" s="1452"/>
      <c r="S58" s="1452"/>
      <c r="T58" s="1452"/>
      <c r="U58" s="1452"/>
      <c r="V58" s="1452"/>
      <c r="W58" s="1452"/>
      <c r="X58" s="1452"/>
      <c r="Y58" s="1452"/>
      <c r="Z58" s="1452"/>
      <c r="AA58" s="1452"/>
      <c r="AB58" s="1452"/>
      <c r="AC58" s="1452"/>
      <c r="AD58" s="488"/>
      <c r="AE58" s="488"/>
      <c r="AF58" s="488"/>
      <c r="AG58" s="488"/>
      <c r="AH58" s="488"/>
      <c r="AL58" s="268"/>
    </row>
    <row r="59" spans="2:63" ht="8.9" customHeight="1" x14ac:dyDescent="0.35">
      <c r="B59" s="1452"/>
      <c r="C59" s="1452"/>
      <c r="D59" s="1452"/>
      <c r="E59" s="1452"/>
      <c r="F59" s="1452"/>
      <c r="G59" s="1452"/>
      <c r="H59" s="1452"/>
      <c r="I59" s="1452"/>
      <c r="J59" s="1452"/>
      <c r="K59" s="1452"/>
      <c r="L59" s="1452"/>
      <c r="M59" s="1452"/>
      <c r="N59" s="1452"/>
      <c r="O59" s="1452"/>
      <c r="P59" s="1452"/>
      <c r="Q59" s="1452"/>
      <c r="R59" s="1452"/>
      <c r="S59" s="1452"/>
      <c r="T59" s="1452"/>
      <c r="U59" s="1452"/>
      <c r="V59" s="1452"/>
      <c r="W59" s="1452"/>
      <c r="X59" s="1452"/>
      <c r="Y59" s="1452"/>
      <c r="Z59" s="1452"/>
      <c r="AA59" s="1452"/>
      <c r="AB59" s="1452"/>
      <c r="AC59" s="1452"/>
      <c r="AD59" s="488"/>
      <c r="AE59" s="488"/>
      <c r="AF59" s="488"/>
      <c r="AG59" s="488"/>
      <c r="AH59" s="488"/>
      <c r="AL59" s="268"/>
    </row>
    <row r="60" spans="2:63" ht="12.75" customHeight="1" x14ac:dyDescent="0.35">
      <c r="AL60" s="268"/>
    </row>
    <row r="61" spans="2:63" ht="30.75" customHeight="1" x14ac:dyDescent="0.35">
      <c r="B61" s="1389" t="s">
        <v>245</v>
      </c>
      <c r="C61" s="1454"/>
      <c r="D61" s="1409" t="s">
        <v>246</v>
      </c>
      <c r="E61" s="1410"/>
      <c r="F61" s="1410"/>
      <c r="G61" s="1410"/>
      <c r="H61" s="1410"/>
      <c r="I61" s="1410"/>
      <c r="J61" s="1410"/>
      <c r="K61" s="1410"/>
      <c r="L61" s="1410"/>
      <c r="M61" s="1410"/>
      <c r="N61" s="1410"/>
      <c r="O61" s="1410"/>
      <c r="P61" s="1410"/>
      <c r="Q61" s="1410"/>
      <c r="R61" s="1410"/>
      <c r="S61" s="1410"/>
      <c r="T61" s="1410"/>
      <c r="U61" s="1410"/>
      <c r="V61" s="1410"/>
      <c r="W61" s="1410"/>
      <c r="X61" s="1410"/>
      <c r="Y61" s="1410"/>
      <c r="Z61" s="1410"/>
      <c r="AA61" s="1411"/>
      <c r="AB61" s="1440" t="s">
        <v>247</v>
      </c>
      <c r="AC61" s="1441"/>
      <c r="AD61" s="1441"/>
      <c r="AE61" s="1441"/>
      <c r="AF61" s="1441"/>
      <c r="AG61" s="1441"/>
      <c r="AH61" s="1441"/>
      <c r="AI61" s="1441"/>
      <c r="AJ61" s="1441"/>
      <c r="AK61" s="1441"/>
      <c r="AL61" s="1441"/>
      <c r="AM61" s="1441"/>
      <c r="AN61" s="1442"/>
    </row>
    <row r="62" spans="2:63" x14ac:dyDescent="0.35">
      <c r="B62" s="1391"/>
      <c r="C62" s="1455"/>
      <c r="D62" s="249">
        <v>2018</v>
      </c>
      <c r="E62" s="1398">
        <v>2019</v>
      </c>
      <c r="F62" s="1415"/>
      <c r="G62" s="1415"/>
      <c r="H62" s="1400"/>
      <c r="I62" s="1398">
        <v>2020</v>
      </c>
      <c r="J62" s="1415"/>
      <c r="K62" s="1415"/>
      <c r="L62" s="1415"/>
      <c r="M62" s="1398">
        <v>2021</v>
      </c>
      <c r="N62" s="1415"/>
      <c r="O62" s="1415"/>
      <c r="P62" s="1415"/>
      <c r="Q62" s="1398">
        <v>2022</v>
      </c>
      <c r="R62" s="1399"/>
      <c r="S62" s="1399"/>
      <c r="T62" s="1399"/>
      <c r="U62" s="1398">
        <v>2023</v>
      </c>
      <c r="V62" s="1399"/>
      <c r="W62" s="1399"/>
      <c r="X62" s="1400"/>
      <c r="Y62" s="283"/>
      <c r="Z62" s="277">
        <v>2024</v>
      </c>
      <c r="AA62" s="277"/>
      <c r="AB62" s="279"/>
      <c r="AC62" s="1398">
        <v>2025</v>
      </c>
      <c r="AD62" s="1399"/>
      <c r="AE62" s="1399"/>
      <c r="AF62" s="1400"/>
      <c r="AG62" s="1412">
        <v>2026</v>
      </c>
      <c r="AH62" s="1424"/>
      <c r="AI62" s="1424"/>
      <c r="AJ62" s="1414"/>
      <c r="AK62" s="1412">
        <v>2027</v>
      </c>
      <c r="AL62" s="1424"/>
      <c r="AM62" s="1424"/>
      <c r="AN62" s="1414"/>
    </row>
    <row r="63" spans="2:63" x14ac:dyDescent="0.35">
      <c r="B63" s="1393"/>
      <c r="C63" s="1456"/>
      <c r="D63" s="244" t="s">
        <v>248</v>
      </c>
      <c r="E63" s="244" t="s">
        <v>249</v>
      </c>
      <c r="F63" s="245" t="s">
        <v>250</v>
      </c>
      <c r="G63" s="245" t="s">
        <v>226</v>
      </c>
      <c r="H63" s="246" t="s">
        <v>248</v>
      </c>
      <c r="I63" s="245" t="s">
        <v>249</v>
      </c>
      <c r="J63" s="245" t="s">
        <v>250</v>
      </c>
      <c r="K63" s="245" t="s">
        <v>226</v>
      </c>
      <c r="L63" s="245" t="s">
        <v>248</v>
      </c>
      <c r="M63" s="244" t="s">
        <v>249</v>
      </c>
      <c r="N63" s="245" t="s">
        <v>250</v>
      </c>
      <c r="O63" s="245" t="s">
        <v>226</v>
      </c>
      <c r="P63" s="245" t="s">
        <v>248</v>
      </c>
      <c r="Q63" s="244" t="s">
        <v>249</v>
      </c>
      <c r="R63" s="245" t="s">
        <v>250</v>
      </c>
      <c r="S63" s="245" t="s">
        <v>226</v>
      </c>
      <c r="T63" s="245" t="s">
        <v>248</v>
      </c>
      <c r="U63" s="272" t="s">
        <v>249</v>
      </c>
      <c r="V63" s="273" t="s">
        <v>250</v>
      </c>
      <c r="W63" s="273" t="s">
        <v>226</v>
      </c>
      <c r="X63" s="271" t="s">
        <v>248</v>
      </c>
      <c r="Y63" s="272" t="s">
        <v>249</v>
      </c>
      <c r="Z63" s="274" t="s">
        <v>250</v>
      </c>
      <c r="AA63" s="273" t="s">
        <v>226</v>
      </c>
      <c r="AB63" s="271" t="s">
        <v>248</v>
      </c>
      <c r="AC63" s="272" t="s">
        <v>249</v>
      </c>
      <c r="AD63" s="274" t="s">
        <v>250</v>
      </c>
      <c r="AE63" s="273" t="s">
        <v>226</v>
      </c>
      <c r="AF63" s="271" t="s">
        <v>248</v>
      </c>
      <c r="AG63" s="358" t="s">
        <v>249</v>
      </c>
      <c r="AH63" s="269" t="s">
        <v>250</v>
      </c>
      <c r="AI63" s="269" t="s">
        <v>226</v>
      </c>
      <c r="AJ63" s="402" t="s">
        <v>248</v>
      </c>
      <c r="AK63" s="358" t="s">
        <v>249</v>
      </c>
      <c r="AL63" s="269" t="s">
        <v>250</v>
      </c>
      <c r="AM63" s="269" t="s">
        <v>226</v>
      </c>
      <c r="AN63" s="402" t="s">
        <v>248</v>
      </c>
    </row>
    <row r="64" spans="2:63" x14ac:dyDescent="0.35">
      <c r="B64" s="600" t="s">
        <v>122</v>
      </c>
      <c r="C64" s="390"/>
      <c r="D64" s="376"/>
      <c r="E64" s="595"/>
      <c r="F64" s="595"/>
      <c r="G64" s="595"/>
      <c r="H64" s="535">
        <f>Grants!H94</f>
        <v>72.497</v>
      </c>
      <c r="I64" s="535">
        <f>Grants!I94</f>
        <v>75.790000000000006</v>
      </c>
      <c r="J64" s="535">
        <f>Grants!J94</f>
        <v>75.337000000000003</v>
      </c>
      <c r="K64" s="535">
        <f>Grants!K94</f>
        <v>79.305000000000007</v>
      </c>
      <c r="L64" s="535">
        <f>Grants!L94</f>
        <v>75.888000000000005</v>
      </c>
      <c r="M64" s="535">
        <f>Grants!M94</f>
        <v>73.445999999999998</v>
      </c>
      <c r="N64" s="535">
        <f>Grants!N94</f>
        <v>74.11</v>
      </c>
      <c r="O64" s="535">
        <f>Grants!O94</f>
        <v>70.132999999999996</v>
      </c>
      <c r="P64" s="535">
        <f>Grants!P94</f>
        <v>72.956999999999994</v>
      </c>
      <c r="Q64" s="535">
        <f>Grants!Q94</f>
        <v>75.451999999999998</v>
      </c>
      <c r="R64" s="535">
        <f>Grants!R94</f>
        <v>75.19614285714286</v>
      </c>
      <c r="S64" s="596">
        <f>Grants!S94</f>
        <v>75.19614285714286</v>
      </c>
      <c r="T64" s="584">
        <f>Grants!T94</f>
        <v>76.015142857142862</v>
      </c>
      <c r="U64" s="361">
        <f>Grants!U94</f>
        <v>76.015142857142862</v>
      </c>
      <c r="V64" s="361">
        <f>Grants!V94</f>
        <v>76.015142857142862</v>
      </c>
      <c r="W64" s="361">
        <f>Grants!W94</f>
        <v>76.015142857142862</v>
      </c>
      <c r="X64" s="357">
        <f>Grants!X94</f>
        <v>77.674142857142854</v>
      </c>
      <c r="Y64" s="357">
        <f>Grants!Y94</f>
        <v>77.674142857142854</v>
      </c>
      <c r="Z64" s="357">
        <f>Grants!Z94</f>
        <v>77.674142857142854</v>
      </c>
      <c r="AA64" s="357">
        <f>Grants!AA94</f>
        <v>77.674142857142854</v>
      </c>
      <c r="AB64" s="357">
        <f>Grants!AB94</f>
        <v>79.268142857142863</v>
      </c>
      <c r="AC64" s="357">
        <f>Grants!AC94</f>
        <v>79.268142857142863</v>
      </c>
      <c r="AD64" s="357">
        <f>Grants!AD94</f>
        <v>75.19614285714286</v>
      </c>
      <c r="AE64" s="357">
        <f>Grants!AE94</f>
        <v>75.19614285714286</v>
      </c>
      <c r="AF64" s="357">
        <f>Grants!AF94</f>
        <v>75.19614285714286</v>
      </c>
      <c r="AG64" s="357">
        <f>Grants!AG94</f>
        <v>75.19614285714286</v>
      </c>
      <c r="AH64" s="357">
        <f>Grants!AH94</f>
        <v>75.19614285714286</v>
      </c>
      <c r="AI64" s="357">
        <f>Grants!AI94</f>
        <v>75.19614285714286</v>
      </c>
      <c r="AJ64" s="357">
        <f>Grants!AJ94</f>
        <v>75.19614285714286</v>
      </c>
      <c r="AK64" s="357">
        <f>Grants!AK94</f>
        <v>75.19614285714286</v>
      </c>
      <c r="AL64" s="357">
        <f>Grants!AL94</f>
        <v>75.19614285714286</v>
      </c>
      <c r="AM64" s="357">
        <f>Grants!AM94</f>
        <v>75.19614285714286</v>
      </c>
      <c r="AN64" s="357">
        <f>Grants!AN94</f>
        <v>75.19614285714286</v>
      </c>
    </row>
    <row r="65" spans="2:40" x14ac:dyDescent="0.35">
      <c r="B65" s="592" t="s">
        <v>180</v>
      </c>
      <c r="C65" s="356"/>
      <c r="D65" s="403"/>
      <c r="E65" s="356"/>
      <c r="F65" s="356"/>
      <c r="G65" s="356"/>
      <c r="H65" s="361">
        <f>Grants!H73</f>
        <v>208.815</v>
      </c>
      <c r="I65" s="361">
        <f>Grants!I73</f>
        <v>212.21100000000007</v>
      </c>
      <c r="J65" s="361">
        <f>Grants!J73</f>
        <v>321.23599999999999</v>
      </c>
      <c r="K65" s="361">
        <f>Grants!K73</f>
        <v>296.71800000000007</v>
      </c>
      <c r="L65" s="361">
        <f>Grants!L73</f>
        <v>291.47400000000005</v>
      </c>
      <c r="M65" s="361">
        <f>Grants!M73</f>
        <v>318.38100000000003</v>
      </c>
      <c r="N65" s="361">
        <f>Grants!N73</f>
        <v>355.56500000000005</v>
      </c>
      <c r="O65" s="361">
        <f>Grants!O73</f>
        <v>374.23899999999998</v>
      </c>
      <c r="P65" s="361">
        <f>Grants!P73</f>
        <v>397.39685199999997</v>
      </c>
      <c r="Q65" s="361">
        <f>Grants!Q73</f>
        <v>431.18727480000001</v>
      </c>
      <c r="R65" s="361">
        <f>Grants!R73</f>
        <v>501.70003200000002</v>
      </c>
      <c r="S65" s="361">
        <f>Grants!S73</f>
        <v>483.56486800000005</v>
      </c>
      <c r="T65" s="361">
        <f>Grants!T73</f>
        <v>447.72492800000003</v>
      </c>
      <c r="U65" s="581">
        <f>Grants!U73</f>
        <v>441.54354319999999</v>
      </c>
      <c r="V65" s="581">
        <f>Grants!V73</f>
        <v>436.07272</v>
      </c>
      <c r="W65" s="581">
        <f>Grants!W73</f>
        <v>417.91594400000008</v>
      </c>
      <c r="X65" s="581">
        <f>Grants!X73</f>
        <v>434.04594399999996</v>
      </c>
      <c r="Y65" s="581">
        <f>Grants!Y73</f>
        <v>437.85294400000009</v>
      </c>
      <c r="Z65" s="581">
        <f>Grants!Z73</f>
        <v>447.07610900000003</v>
      </c>
      <c r="AA65" s="581">
        <f>Grants!AA73</f>
        <v>468.80533000000014</v>
      </c>
      <c r="AB65" s="581">
        <f>Grants!AB73</f>
        <v>473.51932569999985</v>
      </c>
      <c r="AC65" s="581">
        <f>Grants!AC73</f>
        <v>435.15299700000003</v>
      </c>
      <c r="AD65" s="581">
        <f>Grants!AD73</f>
        <v>411.3256194999999</v>
      </c>
      <c r="AE65" s="581">
        <f>Grants!AE73</f>
        <v>437.30692800000003</v>
      </c>
      <c r="AF65" s="581">
        <f>Grants!AF73</f>
        <v>409.71131879999996</v>
      </c>
      <c r="AG65" s="581">
        <f>Grants!AG73</f>
        <v>412.46319788780909</v>
      </c>
      <c r="AH65" s="581">
        <f>Grants!AH73</f>
        <v>412.439192359044</v>
      </c>
      <c r="AI65" s="581">
        <f>Grants!AI73</f>
        <v>416.24556939260134</v>
      </c>
      <c r="AJ65" s="581">
        <f>Grants!AJ73</f>
        <v>418.07959879999999</v>
      </c>
      <c r="AK65" s="581">
        <f>Grants!AK73</f>
        <v>420.94155305132148</v>
      </c>
      <c r="AL65" s="581">
        <f>Grants!AL73</f>
        <v>423.8317073014058</v>
      </c>
      <c r="AM65" s="581">
        <f>Grants!AM73</f>
        <v>426.75033941630539</v>
      </c>
      <c r="AN65" s="581">
        <f>Grants!AN73</f>
        <v>429.69772999999998</v>
      </c>
    </row>
    <row r="66" spans="2:40" x14ac:dyDescent="0.35">
      <c r="B66" s="601" t="s">
        <v>366</v>
      </c>
      <c r="C66" s="594"/>
      <c r="D66" s="593"/>
      <c r="E66" s="594"/>
      <c r="F66" s="594"/>
      <c r="G66" s="594"/>
      <c r="H66" s="585">
        <f>H64+H65</f>
        <v>281.31200000000001</v>
      </c>
      <c r="I66" s="585">
        <f t="shared" ref="I66:AN66" si="31">I64+I65</f>
        <v>288.00100000000009</v>
      </c>
      <c r="J66" s="585">
        <f t="shared" si="31"/>
        <v>396.57299999999998</v>
      </c>
      <c r="K66" s="585">
        <f t="shared" si="31"/>
        <v>376.02300000000008</v>
      </c>
      <c r="L66" s="585">
        <f t="shared" si="31"/>
        <v>367.36200000000008</v>
      </c>
      <c r="M66" s="585">
        <f t="shared" si="31"/>
        <v>391.827</v>
      </c>
      <c r="N66" s="585">
        <f t="shared" si="31"/>
        <v>429.67500000000007</v>
      </c>
      <c r="O66" s="585">
        <f t="shared" si="31"/>
        <v>444.37199999999996</v>
      </c>
      <c r="P66" s="585">
        <f t="shared" si="31"/>
        <v>470.35385199999996</v>
      </c>
      <c r="Q66" s="585">
        <f t="shared" si="31"/>
        <v>506.63927480000001</v>
      </c>
      <c r="R66" s="585">
        <f t="shared" si="31"/>
        <v>576.89617485714291</v>
      </c>
      <c r="S66" s="585">
        <f t="shared" si="31"/>
        <v>558.76101085714288</v>
      </c>
      <c r="T66" s="585">
        <f t="shared" si="31"/>
        <v>523.74007085714288</v>
      </c>
      <c r="U66" s="585">
        <f t="shared" si="31"/>
        <v>517.55868605714284</v>
      </c>
      <c r="V66" s="585">
        <f t="shared" si="31"/>
        <v>512.08786285714291</v>
      </c>
      <c r="W66" s="585">
        <f t="shared" si="31"/>
        <v>493.93108685714293</v>
      </c>
      <c r="X66" s="574">
        <f t="shared" si="31"/>
        <v>511.7200868571428</v>
      </c>
      <c r="Y66" s="574">
        <f t="shared" si="31"/>
        <v>515.52708685714299</v>
      </c>
      <c r="Z66" s="574">
        <f t="shared" si="31"/>
        <v>524.75025185714287</v>
      </c>
      <c r="AA66" s="574">
        <f t="shared" si="31"/>
        <v>546.47947285714304</v>
      </c>
      <c r="AB66" s="574">
        <f t="shared" si="31"/>
        <v>552.78746855714269</v>
      </c>
      <c r="AC66" s="574">
        <f t="shared" si="31"/>
        <v>514.42113985714286</v>
      </c>
      <c r="AD66" s="574">
        <f t="shared" si="31"/>
        <v>486.52176235714273</v>
      </c>
      <c r="AE66" s="574">
        <f t="shared" si="31"/>
        <v>512.50307085714292</v>
      </c>
      <c r="AF66" s="574">
        <f t="shared" si="31"/>
        <v>484.90746165714279</v>
      </c>
      <c r="AG66" s="574">
        <f t="shared" si="31"/>
        <v>487.65934074495192</v>
      </c>
      <c r="AH66" s="574">
        <f>AH64+AH65</f>
        <v>487.63533521618683</v>
      </c>
      <c r="AI66" s="574">
        <f t="shared" si="31"/>
        <v>491.44171224974423</v>
      </c>
      <c r="AJ66" s="574">
        <f t="shared" si="31"/>
        <v>493.27574165714282</v>
      </c>
      <c r="AK66" s="574">
        <f t="shared" si="31"/>
        <v>496.13769590846437</v>
      </c>
      <c r="AL66" s="574">
        <f t="shared" si="31"/>
        <v>499.02785015854863</v>
      </c>
      <c r="AM66" s="574">
        <f t="shared" si="31"/>
        <v>501.94648227344828</v>
      </c>
      <c r="AN66" s="574">
        <f t="shared" si="31"/>
        <v>504.89387285714281</v>
      </c>
    </row>
    <row r="68" spans="2:40" x14ac:dyDescent="0.35">
      <c r="S68" s="438"/>
      <c r="T68" s="438"/>
      <c r="U68" s="438"/>
      <c r="V68" s="438"/>
      <c r="W68" s="438"/>
      <c r="X68" s="438"/>
      <c r="Y68" s="438"/>
      <c r="Z68" s="438"/>
      <c r="AA68" s="438"/>
      <c r="AB68" s="438"/>
      <c r="AC68" s="438"/>
      <c r="AD68" s="438"/>
      <c r="AE68" s="438"/>
      <c r="AF68" s="438"/>
      <c r="AG68" s="438"/>
      <c r="AH68" s="438"/>
    </row>
  </sheetData>
  <mergeCells count="41">
    <mergeCell ref="AG6:AN6"/>
    <mergeCell ref="D31:AB31"/>
    <mergeCell ref="E32:H32"/>
    <mergeCell ref="AK32:AN32"/>
    <mergeCell ref="AK62:AN62"/>
    <mergeCell ref="U32:X32"/>
    <mergeCell ref="U62:X62"/>
    <mergeCell ref="D61:AA61"/>
    <mergeCell ref="AB61:AN61"/>
    <mergeCell ref="AG62:AJ62"/>
    <mergeCell ref="AC32:AF32"/>
    <mergeCell ref="AG32:AJ32"/>
    <mergeCell ref="AC62:AF62"/>
    <mergeCell ref="M62:P62"/>
    <mergeCell ref="Q32:T32"/>
    <mergeCell ref="AG31:AN31"/>
    <mergeCell ref="AG7:AJ7"/>
    <mergeCell ref="AK7:AN7"/>
    <mergeCell ref="Y7:AB7"/>
    <mergeCell ref="U7:X7"/>
    <mergeCell ref="B27:AC29"/>
    <mergeCell ref="E7:H7"/>
    <mergeCell ref="I7:L7"/>
    <mergeCell ref="M7:P7"/>
    <mergeCell ref="Q7:T7"/>
    <mergeCell ref="AC7:AF7"/>
    <mergeCell ref="B1:AC1"/>
    <mergeCell ref="B6:C8"/>
    <mergeCell ref="E8:H8"/>
    <mergeCell ref="B2:AC4"/>
    <mergeCell ref="E62:H62"/>
    <mergeCell ref="B31:C33"/>
    <mergeCell ref="M32:P32"/>
    <mergeCell ref="I32:L32"/>
    <mergeCell ref="Q62:T62"/>
    <mergeCell ref="B57:AC59"/>
    <mergeCell ref="B55:AC56"/>
    <mergeCell ref="B61:C63"/>
    <mergeCell ref="I62:L62"/>
    <mergeCell ref="D6:AB6"/>
    <mergeCell ref="B26:AC26"/>
  </mergeCells>
  <hyperlinks>
    <hyperlink ref="C44" r:id="rId1" xr:uid="{00000000-0004-0000-1000-000000000000}"/>
    <hyperlink ref="C45" r:id="rId2" xr:uid="{00000000-0004-0000-1000-000001000000}"/>
    <hyperlink ref="C50" r:id="rId3" xr:uid="{00000000-0004-0000-1000-000002000000}"/>
    <hyperlink ref="C51"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A985-174E-4AE6-BFF0-1A657C6D8636}">
  <dimension ref="A1:Q35"/>
  <sheetViews>
    <sheetView tabSelected="1" zoomScaleNormal="100" workbookViewId="0">
      <selection activeCell="D13" sqref="D13:G13"/>
    </sheetView>
  </sheetViews>
  <sheetFormatPr defaultColWidth="10.90625" defaultRowHeight="14.5" x14ac:dyDescent="0.35"/>
  <cols>
    <col min="1" max="1" width="16.453125" customWidth="1"/>
    <col min="4" max="4" width="16.81640625" customWidth="1"/>
    <col min="5" max="5" width="11.36328125" bestFit="1" customWidth="1"/>
  </cols>
  <sheetData>
    <row r="1" spans="1:17" x14ac:dyDescent="0.35">
      <c r="A1" t="s">
        <v>2403</v>
      </c>
    </row>
    <row r="2" spans="1:17" x14ac:dyDescent="0.35">
      <c r="A2" t="s">
        <v>2402</v>
      </c>
    </row>
    <row r="3" spans="1:17" ht="54" customHeight="1" x14ac:dyDescent="0.35">
      <c r="A3" s="608" t="s">
        <v>2401</v>
      </c>
      <c r="B3" s="608"/>
      <c r="C3" s="608"/>
      <c r="D3" s="1458"/>
      <c r="E3" s="1458"/>
      <c r="F3" s="608"/>
      <c r="G3" s="608"/>
      <c r="H3" s="608"/>
      <c r="I3" s="608"/>
      <c r="J3" s="608"/>
      <c r="K3" s="608"/>
      <c r="L3" s="608"/>
      <c r="M3" s="608"/>
      <c r="N3" s="608"/>
      <c r="O3" s="608"/>
      <c r="P3" s="608"/>
      <c r="Q3" s="608"/>
    </row>
    <row r="4" spans="1:17" x14ac:dyDescent="0.35">
      <c r="A4" s="608" t="s">
        <v>2400</v>
      </c>
      <c r="B4" s="608"/>
      <c r="C4" s="608"/>
      <c r="E4" s="609"/>
      <c r="F4" s="608"/>
      <c r="G4" s="608"/>
      <c r="H4" s="608"/>
      <c r="I4" s="608"/>
      <c r="J4" s="608"/>
      <c r="K4" s="608"/>
      <c r="L4" s="608"/>
      <c r="M4" s="608"/>
      <c r="N4" s="608"/>
      <c r="O4" s="608"/>
      <c r="P4" s="608"/>
      <c r="Q4" s="608"/>
    </row>
    <row r="5" spans="1:17" x14ac:dyDescent="0.35">
      <c r="A5" s="608"/>
      <c r="B5" s="608"/>
      <c r="C5" s="608"/>
      <c r="D5" s="609"/>
      <c r="E5" s="609"/>
      <c r="F5" s="608"/>
      <c r="G5" s="608"/>
      <c r="H5" s="608"/>
      <c r="I5" s="608"/>
      <c r="J5" s="608"/>
      <c r="K5" s="608"/>
      <c r="L5" s="608"/>
      <c r="M5" s="608"/>
      <c r="N5" s="608"/>
      <c r="O5" s="608"/>
      <c r="P5" s="608"/>
      <c r="Q5" s="608"/>
    </row>
    <row r="6" spans="1:17" x14ac:dyDescent="0.35">
      <c r="A6" s="608"/>
      <c r="B6" s="608"/>
      <c r="C6" s="608"/>
      <c r="D6" s="608" t="s">
        <v>730</v>
      </c>
      <c r="E6" s="609" t="s">
        <v>1108</v>
      </c>
      <c r="F6" s="608" t="s">
        <v>1109</v>
      </c>
      <c r="G6" s="608" t="s">
        <v>1110</v>
      </c>
      <c r="H6" s="608"/>
      <c r="I6" s="608"/>
      <c r="J6" s="608"/>
      <c r="K6" s="608"/>
      <c r="L6" s="608"/>
      <c r="M6" s="608"/>
      <c r="N6" s="608"/>
      <c r="O6" s="608"/>
      <c r="P6" s="608"/>
      <c r="Q6" s="608"/>
    </row>
    <row r="7" spans="1:17" x14ac:dyDescent="0.35">
      <c r="A7" s="610" t="s">
        <v>2399</v>
      </c>
      <c r="B7" s="608"/>
      <c r="C7" s="608"/>
      <c r="D7" s="608">
        <v>-60</v>
      </c>
      <c r="E7" s="608">
        <f>SUM(E8:E9)</f>
        <v>75</v>
      </c>
      <c r="F7" s="608">
        <f>SUM(F8:F9)</f>
        <v>-8</v>
      </c>
      <c r="G7" s="608">
        <f>SUM(G8:G9)</f>
        <v>-7</v>
      </c>
      <c r="I7" s="608"/>
      <c r="J7" s="608"/>
      <c r="K7" s="608"/>
      <c r="L7" s="608"/>
      <c r="M7" s="608"/>
      <c r="N7" s="608"/>
      <c r="O7" s="608"/>
      <c r="P7" s="608"/>
      <c r="Q7" s="608"/>
    </row>
    <row r="8" spans="1:17" x14ac:dyDescent="0.35">
      <c r="A8" s="610" t="s">
        <v>2398</v>
      </c>
      <c r="B8" s="608"/>
      <c r="C8" s="608"/>
      <c r="D8" s="608">
        <v>-38</v>
      </c>
      <c r="E8" s="608">
        <v>38</v>
      </c>
      <c r="F8" s="608"/>
      <c r="G8" s="608"/>
      <c r="I8" s="608"/>
      <c r="J8" s="608"/>
      <c r="K8" s="608"/>
      <c r="L8" s="608"/>
      <c r="M8" s="608"/>
      <c r="N8" s="608"/>
      <c r="O8" s="608"/>
      <c r="P8" s="608"/>
      <c r="Q8" s="608"/>
    </row>
    <row r="9" spans="1:17" x14ac:dyDescent="0.35">
      <c r="A9" s="610" t="s">
        <v>2397</v>
      </c>
      <c r="B9" s="608"/>
      <c r="C9" s="608"/>
      <c r="D9" s="608">
        <v>-22</v>
      </c>
      <c r="E9" s="608">
        <v>37</v>
      </c>
      <c r="F9" s="608">
        <v>-8</v>
      </c>
      <c r="G9" s="608">
        <v>-7</v>
      </c>
      <c r="I9" s="608"/>
      <c r="J9" s="608"/>
      <c r="K9" s="608"/>
      <c r="L9" s="608"/>
      <c r="M9" s="608"/>
      <c r="N9" s="608"/>
      <c r="O9" s="608"/>
      <c r="P9" s="608"/>
      <c r="Q9" s="608"/>
    </row>
    <row r="10" spans="1:17" x14ac:dyDescent="0.35">
      <c r="A10" s="610" t="s">
        <v>2412</v>
      </c>
      <c r="B10" s="608"/>
      <c r="C10" s="608"/>
      <c r="D10" s="608">
        <f>D9</f>
        <v>-22</v>
      </c>
      <c r="E10" s="608">
        <f>D10+E9</f>
        <v>15</v>
      </c>
      <c r="F10" s="608">
        <f>E10+F9</f>
        <v>7</v>
      </c>
      <c r="G10" s="608">
        <f>F10+G9</f>
        <v>0</v>
      </c>
      <c r="I10" s="608"/>
      <c r="J10" s="608"/>
      <c r="K10" s="608"/>
      <c r="L10" s="608"/>
      <c r="M10" s="608"/>
      <c r="N10" s="608"/>
      <c r="O10" s="608"/>
      <c r="P10" s="608"/>
      <c r="Q10" s="608"/>
    </row>
    <row r="11" spans="1:17" x14ac:dyDescent="0.35">
      <c r="A11" s="610" t="s">
        <v>2396</v>
      </c>
      <c r="B11" s="608"/>
      <c r="C11" s="608"/>
      <c r="D11" s="608">
        <f>D9/D21</f>
        <v>-16.319682192582491</v>
      </c>
      <c r="E11" s="608">
        <f>E9/E21</f>
        <v>28.027601876203953</v>
      </c>
      <c r="F11" s="608">
        <f>F9/F21</f>
        <v>-6.0154053341517804</v>
      </c>
      <c r="G11" s="608" t="e">
        <f>G9/G21</f>
        <v>#DIV/0!</v>
      </c>
      <c r="I11" s="608"/>
      <c r="J11" s="608"/>
      <c r="K11" s="608"/>
      <c r="L11" s="608"/>
      <c r="M11" s="608"/>
      <c r="N11" s="608"/>
      <c r="O11" s="608"/>
      <c r="P11" s="608"/>
      <c r="Q11" s="608"/>
    </row>
    <row r="12" spans="1:17" x14ac:dyDescent="0.35">
      <c r="A12" s="608"/>
      <c r="B12" s="608"/>
      <c r="C12" s="608"/>
      <c r="D12" s="608"/>
      <c r="E12" s="608"/>
      <c r="F12" s="608"/>
      <c r="G12" s="608"/>
      <c r="H12" s="608"/>
      <c r="I12" s="608"/>
      <c r="J12" s="608"/>
      <c r="K12" s="608"/>
      <c r="L12" s="608"/>
      <c r="M12" s="608"/>
      <c r="N12" s="608"/>
      <c r="O12" s="608"/>
      <c r="P12" s="608"/>
      <c r="Q12" s="608"/>
    </row>
    <row r="13" spans="1:17" x14ac:dyDescent="0.35">
      <c r="A13" s="610" t="s">
        <v>2395</v>
      </c>
      <c r="B13" s="608"/>
      <c r="C13" s="608"/>
      <c r="D13" s="1556">
        <f>(1+D7/24112)^4-1</f>
        <v>-9.9164592594533918E-3</v>
      </c>
      <c r="E13" s="1556">
        <f>(1+E7/24112)^4-1</f>
        <v>1.2500108774626595E-2</v>
      </c>
      <c r="F13" s="1556">
        <f>(1+F7/24112)^4-1</f>
        <v>-1.3264796716221383E-3</v>
      </c>
      <c r="G13" s="1556">
        <f>(1+G7/24112)^4-1</f>
        <v>-1.1607419235576399E-3</v>
      </c>
      <c r="H13" s="608"/>
      <c r="I13" s="608"/>
      <c r="J13" s="608"/>
      <c r="K13" s="608"/>
      <c r="L13" s="608"/>
      <c r="M13" s="608"/>
      <c r="N13" s="608"/>
      <c r="O13" s="608"/>
      <c r="P13" s="608"/>
      <c r="Q13" s="608"/>
    </row>
    <row r="14" spans="1:17" x14ac:dyDescent="0.35">
      <c r="A14" s="608"/>
      <c r="B14" s="608"/>
      <c r="C14" s="608"/>
      <c r="D14" s="608"/>
      <c r="E14" s="608"/>
      <c r="F14" s="608"/>
      <c r="G14" s="608"/>
      <c r="H14" s="608"/>
      <c r="J14" s="608"/>
      <c r="K14" s="608"/>
      <c r="L14" s="608"/>
      <c r="M14" s="608"/>
      <c r="N14" s="608"/>
      <c r="O14" s="608"/>
      <c r="P14" s="608"/>
      <c r="Q14" s="608"/>
    </row>
    <row r="15" spans="1:17" x14ac:dyDescent="0.35">
      <c r="A15" s="608" t="s">
        <v>2394</v>
      </c>
      <c r="B15" s="608"/>
      <c r="C15" s="608"/>
      <c r="D15" s="608">
        <v>415</v>
      </c>
      <c r="E15" s="608">
        <v>415</v>
      </c>
      <c r="F15" s="608">
        <v>415</v>
      </c>
      <c r="G15" s="608"/>
      <c r="H15" s="608"/>
      <c r="I15" s="608"/>
      <c r="J15" s="608"/>
      <c r="K15" s="608"/>
      <c r="L15" s="608"/>
      <c r="M15" s="608"/>
      <c r="N15" s="608"/>
      <c r="O15" s="608"/>
      <c r="P15" s="608"/>
      <c r="Q15" s="608"/>
    </row>
    <row r="16" spans="1:17" x14ac:dyDescent="0.35">
      <c r="A16" s="608" t="s">
        <v>2393</v>
      </c>
      <c r="B16" s="608"/>
      <c r="C16" s="608"/>
      <c r="D16" s="608">
        <f>D15/(1.136*1.3)</f>
        <v>281.01300108342366</v>
      </c>
      <c r="E16" s="608"/>
      <c r="F16" s="608"/>
      <c r="G16" s="608"/>
      <c r="H16" s="608"/>
      <c r="I16" s="608"/>
      <c r="J16" s="608"/>
      <c r="K16" s="608"/>
      <c r="L16" s="608"/>
      <c r="M16" s="608"/>
      <c r="N16" s="608"/>
      <c r="O16" s="608"/>
      <c r="P16" s="608"/>
      <c r="Q16" s="608"/>
    </row>
    <row r="17" spans="1:17" x14ac:dyDescent="0.35">
      <c r="A17" s="608" t="s">
        <v>2392</v>
      </c>
      <c r="D17">
        <f>D15/1.3</f>
        <v>319.23076923076923</v>
      </c>
      <c r="I17" s="608"/>
      <c r="J17" s="608"/>
      <c r="K17" s="608"/>
      <c r="L17" s="608"/>
      <c r="M17" s="608"/>
      <c r="N17" s="608"/>
      <c r="O17" s="608"/>
      <c r="P17" s="608"/>
      <c r="Q17" s="608"/>
    </row>
    <row r="18" spans="1:17" x14ac:dyDescent="0.35">
      <c r="A18" s="608"/>
      <c r="B18" s="608"/>
      <c r="C18" s="608"/>
      <c r="D18" s="608">
        <f>D17-D16</f>
        <v>38.217768147345566</v>
      </c>
      <c r="E18" s="608"/>
      <c r="F18" s="608"/>
      <c r="G18" s="608"/>
      <c r="H18" s="608"/>
      <c r="I18" s="608"/>
      <c r="J18" s="608"/>
      <c r="K18" s="608"/>
      <c r="L18" s="608"/>
      <c r="M18" s="608"/>
      <c r="N18" s="608"/>
      <c r="O18" s="608"/>
      <c r="P18" s="608"/>
      <c r="Q18" s="608"/>
    </row>
    <row r="19" spans="1:17" x14ac:dyDescent="0.35">
      <c r="A19" s="608"/>
      <c r="B19" s="608"/>
      <c r="C19" s="608"/>
      <c r="D19" s="608"/>
      <c r="E19" s="608"/>
      <c r="F19" s="608"/>
      <c r="G19" s="608"/>
      <c r="H19" s="608"/>
      <c r="I19" s="608"/>
      <c r="J19" s="608"/>
      <c r="K19" s="608"/>
      <c r="L19" s="608"/>
      <c r="M19" s="608"/>
      <c r="N19" s="608"/>
      <c r="O19" s="608"/>
      <c r="P19" s="608"/>
      <c r="Q19" s="608"/>
    </row>
    <row r="20" spans="1:17" x14ac:dyDescent="0.35">
      <c r="A20" s="608"/>
      <c r="B20" s="608"/>
      <c r="C20" s="608"/>
      <c r="D20" s="608"/>
      <c r="E20" s="608"/>
      <c r="F20" s="608"/>
      <c r="G20" s="608"/>
      <c r="H20" s="608"/>
      <c r="I20" s="608"/>
      <c r="J20" s="608"/>
      <c r="K20" s="608"/>
      <c r="L20" s="608"/>
      <c r="M20" s="608"/>
      <c r="N20" s="608"/>
      <c r="O20" s="608"/>
      <c r="P20" s="608"/>
      <c r="Q20" s="608"/>
    </row>
    <row r="21" spans="1:17" x14ac:dyDescent="0.35">
      <c r="A21" s="610"/>
      <c r="B21" s="608" t="s">
        <v>2054</v>
      </c>
      <c r="C21" s="608">
        <v>1.3</v>
      </c>
      <c r="D21">
        <f>C21*(1.1563)^0.25</f>
        <v>1.3480654672306847</v>
      </c>
      <c r="E21">
        <f>D21*E23^0.25</f>
        <v>1.3201272147159264</v>
      </c>
      <c r="F21" s="608">
        <f>E21*1.03^0.25</f>
        <v>1.329918693023213</v>
      </c>
      <c r="G21" s="608"/>
      <c r="H21" s="608"/>
      <c r="I21" s="608"/>
      <c r="J21" s="608"/>
      <c r="K21" s="608"/>
      <c r="L21" s="608"/>
      <c r="M21" s="608"/>
      <c r="N21" s="608"/>
      <c r="O21" s="608"/>
      <c r="P21" s="608"/>
      <c r="Q21" s="608"/>
    </row>
    <row r="22" spans="1:17" x14ac:dyDescent="0.35">
      <c r="A22" s="610"/>
      <c r="B22" s="608"/>
      <c r="C22" s="608"/>
      <c r="D22" s="608"/>
      <c r="E22" s="1557">
        <f>1-E23</f>
        <v>8.0357142857142905E-2</v>
      </c>
      <c r="F22" s="608"/>
      <c r="G22" s="608"/>
      <c r="H22" s="608"/>
      <c r="I22" s="608"/>
      <c r="J22" s="608"/>
      <c r="K22" s="608"/>
      <c r="L22" s="608"/>
      <c r="M22" s="608"/>
      <c r="N22" s="608"/>
      <c r="O22" s="608"/>
      <c r="P22" s="608"/>
      <c r="Q22" s="608"/>
    </row>
    <row r="23" spans="1:17" x14ac:dyDescent="0.35">
      <c r="A23" s="608"/>
      <c r="B23" s="608"/>
      <c r="C23" s="608"/>
      <c r="D23" s="608"/>
      <c r="E23" s="608">
        <f>1.03/1.12</f>
        <v>0.9196428571428571</v>
      </c>
      <c r="F23" s="608"/>
      <c r="G23" s="608"/>
      <c r="H23" s="608"/>
      <c r="I23" s="608"/>
      <c r="J23" s="608"/>
      <c r="K23" s="608"/>
      <c r="L23" s="608"/>
      <c r="M23" s="608"/>
      <c r="N23" s="608"/>
      <c r="O23" s="608"/>
      <c r="P23" s="608"/>
      <c r="Q23" s="608"/>
    </row>
    <row r="24" spans="1:17" x14ac:dyDescent="0.35">
      <c r="A24" s="608"/>
      <c r="B24" s="608"/>
      <c r="C24" s="608"/>
      <c r="D24" s="608"/>
      <c r="E24" s="608"/>
      <c r="F24" s="608"/>
      <c r="G24" s="608"/>
      <c r="H24" s="608"/>
      <c r="I24" s="608"/>
      <c r="J24" s="608"/>
      <c r="K24" s="608"/>
      <c r="L24" s="608"/>
      <c r="M24" s="608"/>
      <c r="N24" s="608"/>
      <c r="O24" s="608"/>
      <c r="P24" s="608"/>
      <c r="Q24" s="608"/>
    </row>
    <row r="25" spans="1:17" x14ac:dyDescent="0.35">
      <c r="A25" s="608" t="s">
        <v>2404</v>
      </c>
      <c r="C25" s="608">
        <v>1.3</v>
      </c>
      <c r="D25" s="608">
        <f>C25*1.03^0.25</f>
        <v>1.3096421933110527</v>
      </c>
      <c r="E25" s="608">
        <f t="shared" ref="E25:F25" si="0">D25*1.03^0.25</f>
        <v>1.3193559034619884</v>
      </c>
      <c r="F25" s="608">
        <f t="shared" si="0"/>
        <v>1.3291416608983415</v>
      </c>
      <c r="G25" s="608"/>
      <c r="H25" s="608"/>
      <c r="I25" s="608"/>
      <c r="J25" s="608"/>
      <c r="K25" s="608"/>
      <c r="L25" s="608"/>
      <c r="M25" s="608"/>
      <c r="N25" s="608"/>
      <c r="O25" s="608"/>
      <c r="P25" s="608"/>
      <c r="Q25" s="608"/>
    </row>
    <row r="26" spans="1:17" x14ac:dyDescent="0.35">
      <c r="A26" s="610"/>
      <c r="B26" s="608"/>
      <c r="C26" s="608"/>
      <c r="D26" s="611"/>
      <c r="E26" s="611"/>
      <c r="F26" s="611"/>
      <c r="G26" s="611"/>
      <c r="H26" s="611"/>
      <c r="I26" s="608"/>
      <c r="J26" s="608"/>
      <c r="K26" s="608"/>
      <c r="L26" s="608"/>
      <c r="M26" s="608"/>
      <c r="N26" s="608"/>
      <c r="O26" s="608"/>
      <c r="P26" s="608"/>
      <c r="Q26" s="608"/>
    </row>
    <row r="27" spans="1:17" x14ac:dyDescent="0.35">
      <c r="A27" s="608"/>
      <c r="B27" s="608"/>
      <c r="C27" s="608"/>
      <c r="D27" s="608"/>
      <c r="E27" s="608"/>
      <c r="F27" s="608"/>
      <c r="G27" s="608"/>
      <c r="H27" s="608"/>
      <c r="I27" s="608"/>
      <c r="J27" s="608"/>
      <c r="K27" s="608"/>
      <c r="L27" s="608"/>
      <c r="M27" s="608"/>
      <c r="N27" s="608"/>
      <c r="O27" s="608"/>
      <c r="P27" s="608"/>
      <c r="Q27" s="608"/>
    </row>
    <row r="28" spans="1:17" x14ac:dyDescent="0.35">
      <c r="A28" s="610"/>
      <c r="B28" s="610"/>
      <c r="C28" s="610"/>
      <c r="D28" s="610"/>
      <c r="E28" s="610"/>
      <c r="F28" s="610"/>
      <c r="G28" s="610"/>
      <c r="H28" s="610"/>
      <c r="I28" s="610"/>
      <c r="J28" s="608"/>
      <c r="K28" s="608"/>
      <c r="L28" s="608"/>
      <c r="M28" s="608"/>
      <c r="N28" s="608"/>
      <c r="O28" s="608"/>
      <c r="P28" s="608"/>
      <c r="Q28" s="608"/>
    </row>
    <row r="29" spans="1:17" x14ac:dyDescent="0.35">
      <c r="A29" s="608"/>
      <c r="B29" s="608"/>
      <c r="C29" s="608"/>
      <c r="D29" s="608"/>
      <c r="E29" s="608"/>
      <c r="F29" s="608"/>
      <c r="G29" s="608"/>
      <c r="H29" s="608"/>
      <c r="I29" s="608"/>
      <c r="J29" s="608"/>
      <c r="K29" s="608"/>
      <c r="L29" s="608"/>
      <c r="M29" s="608"/>
      <c r="N29" s="608"/>
      <c r="O29" s="608"/>
      <c r="P29" s="608"/>
      <c r="Q29" s="608"/>
    </row>
    <row r="30" spans="1:17" x14ac:dyDescent="0.35">
      <c r="A30" s="608"/>
      <c r="B30" s="608"/>
      <c r="C30" s="610"/>
      <c r="D30" s="608"/>
      <c r="E30" s="608"/>
      <c r="F30" s="608"/>
      <c r="G30" s="608"/>
      <c r="H30" s="608"/>
      <c r="I30" s="608"/>
      <c r="J30" s="608"/>
      <c r="K30" s="608"/>
      <c r="L30" s="608"/>
      <c r="M30" s="608"/>
      <c r="N30" s="608"/>
      <c r="O30" s="608"/>
      <c r="P30" s="608"/>
      <c r="Q30" s="608"/>
    </row>
    <row r="31" spans="1:17" x14ac:dyDescent="0.35">
      <c r="A31" s="608"/>
      <c r="B31" s="608"/>
      <c r="C31" s="608"/>
      <c r="D31" s="608"/>
      <c r="E31" s="608"/>
      <c r="F31" s="608"/>
      <c r="G31" s="608"/>
      <c r="H31" s="608"/>
      <c r="I31" s="608"/>
      <c r="J31" s="608"/>
      <c r="K31" s="608"/>
      <c r="L31" s="608"/>
      <c r="M31" s="608"/>
      <c r="N31" s="608"/>
      <c r="O31" s="608"/>
      <c r="P31" s="608"/>
      <c r="Q31" s="608"/>
    </row>
    <row r="32" spans="1:17" x14ac:dyDescent="0.35">
      <c r="A32" s="608"/>
      <c r="B32" s="608"/>
      <c r="C32" s="608"/>
      <c r="D32" s="611"/>
      <c r="E32" s="611"/>
      <c r="F32" s="611"/>
      <c r="G32" s="611"/>
      <c r="H32" s="611"/>
      <c r="I32" s="608"/>
      <c r="J32" s="608"/>
      <c r="K32" s="608"/>
      <c r="L32" s="608"/>
      <c r="M32" s="608"/>
      <c r="N32" s="608"/>
      <c r="O32" s="608"/>
      <c r="P32" s="608"/>
      <c r="Q32" s="608"/>
    </row>
    <row r="33" spans="1:17" x14ac:dyDescent="0.35">
      <c r="A33" s="608"/>
      <c r="B33" s="608"/>
      <c r="C33" s="608"/>
      <c r="D33" s="608"/>
      <c r="E33" s="608"/>
      <c r="F33" s="608"/>
      <c r="G33" s="608"/>
      <c r="H33" s="608"/>
      <c r="I33" s="608"/>
      <c r="J33" s="608"/>
      <c r="K33" s="608"/>
      <c r="L33" s="608"/>
      <c r="M33" s="608"/>
      <c r="N33" s="608"/>
      <c r="O33" s="608"/>
      <c r="P33" s="608"/>
      <c r="Q33" s="608"/>
    </row>
    <row r="34" spans="1:17" x14ac:dyDescent="0.35">
      <c r="A34" s="608"/>
      <c r="B34" s="608"/>
      <c r="C34" s="608"/>
      <c r="D34" s="611"/>
      <c r="E34" s="608"/>
      <c r="F34" s="608"/>
      <c r="G34" s="608"/>
      <c r="H34" s="608"/>
      <c r="I34" s="608"/>
      <c r="J34" s="608"/>
      <c r="K34" s="608"/>
      <c r="L34" s="608"/>
      <c r="M34" s="608"/>
      <c r="N34" s="608"/>
      <c r="O34" s="608"/>
      <c r="P34" s="608"/>
      <c r="Q34" s="608"/>
    </row>
    <row r="35" spans="1:17" x14ac:dyDescent="0.35">
      <c r="A35" s="608"/>
      <c r="B35" s="608"/>
      <c r="C35" s="608"/>
      <c r="D35" s="608"/>
      <c r="E35" s="608"/>
      <c r="F35" s="608"/>
      <c r="G35" s="608"/>
      <c r="H35" s="608"/>
      <c r="I35" s="608"/>
      <c r="J35" s="608"/>
      <c r="K35" s="608"/>
      <c r="L35" s="608"/>
      <c r="M35" s="608"/>
      <c r="N35" s="608"/>
      <c r="O35" s="608"/>
      <c r="P35" s="608"/>
      <c r="Q35" s="608"/>
    </row>
  </sheetData>
  <mergeCells count="1">
    <mergeCell ref="D3:E3"/>
  </mergeCells>
  <pageMargins left="0.7" right="0.7" top="0.75" bottom="0.75" header="0.3" footer="0.3"/>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A85"/>
  <sheetViews>
    <sheetView zoomScale="115" zoomScaleNormal="115" workbookViewId="0">
      <pane xSplit="3" ySplit="10" topLeftCell="AB11" activePane="bottomRight" state="frozen"/>
      <selection pane="topRight" activeCell="D1" sqref="D1"/>
      <selection pane="bottomLeft" activeCell="A11" sqref="A11"/>
      <selection pane="bottomRight" activeCell="AH15" sqref="AH15"/>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87" t="s">
        <v>43</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40" ht="14.9" customHeight="1" x14ac:dyDescent="0.35">
      <c r="B2" s="1426" t="s">
        <v>814</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ht="14.9" customHeight="1"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ht="5.9" customHeight="1"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ht="1.5" customHeight="1" x14ac:dyDescent="0.35">
      <c r="B5" s="1426"/>
      <c r="C5" s="1426"/>
      <c r="D5" s="1426"/>
      <c r="E5" s="1426"/>
      <c r="F5" s="1426"/>
      <c r="G5" s="1426"/>
      <c r="H5" s="1426"/>
      <c r="I5" s="1426"/>
      <c r="J5" s="1426"/>
      <c r="K5" s="1426"/>
      <c r="L5" s="1426"/>
      <c r="M5" s="1426"/>
      <c r="N5" s="1426"/>
      <c r="O5" s="1426"/>
      <c r="P5" s="1426"/>
      <c r="Q5" s="1426"/>
      <c r="R5" s="1426"/>
      <c r="S5" s="1426"/>
      <c r="T5" s="1426"/>
      <c r="U5" s="1426"/>
      <c r="V5" s="1426"/>
      <c r="W5" s="1426"/>
      <c r="X5" s="1426"/>
      <c r="Y5" s="1426"/>
      <c r="Z5" s="1426"/>
      <c r="AA5" s="1426"/>
      <c r="AB5" s="1426"/>
      <c r="AC5" s="1426"/>
    </row>
    <row r="6" spans="2:40" ht="14.9" customHeight="1" x14ac:dyDescent="0.35">
      <c r="B6" s="1426"/>
      <c r="C6" s="1426"/>
      <c r="D6" s="1426"/>
      <c r="E6" s="1426"/>
      <c r="F6" s="1426"/>
      <c r="G6" s="1426"/>
      <c r="H6" s="1426"/>
      <c r="I6" s="1426"/>
      <c r="J6" s="1426"/>
      <c r="K6" s="1426"/>
      <c r="L6" s="1426"/>
      <c r="M6" s="1426"/>
      <c r="N6" s="1426"/>
      <c r="O6" s="1426"/>
      <c r="P6" s="1426"/>
      <c r="Q6" s="1426"/>
      <c r="R6" s="1426"/>
      <c r="S6" s="1426"/>
      <c r="T6" s="1426"/>
      <c r="U6" s="1426"/>
      <c r="V6" s="1426"/>
      <c r="W6" s="1426"/>
      <c r="X6" s="1426"/>
      <c r="Y6" s="1426"/>
      <c r="Z6" s="1426"/>
      <c r="AA6" s="1426"/>
      <c r="AB6" s="1426"/>
      <c r="AC6" s="1426"/>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89" t="s">
        <v>367</v>
      </c>
      <c r="C8" s="1390"/>
      <c r="D8" s="1409" t="s">
        <v>246</v>
      </c>
      <c r="E8" s="1410"/>
      <c r="F8" s="1410"/>
      <c r="G8" s="1410"/>
      <c r="H8" s="1410"/>
      <c r="I8" s="1410"/>
      <c r="J8" s="1410"/>
      <c r="K8" s="1410"/>
      <c r="L8" s="1410"/>
      <c r="M8" s="1410"/>
      <c r="N8" s="1410"/>
      <c r="O8" s="1410"/>
      <c r="P8" s="1410"/>
      <c r="Q8" s="1410"/>
      <c r="R8" s="1410"/>
      <c r="S8" s="1410"/>
      <c r="T8" s="1410"/>
      <c r="U8" s="1410"/>
      <c r="V8" s="1410"/>
      <c r="W8" s="1410"/>
      <c r="X8" s="1410"/>
      <c r="Y8" s="1410"/>
      <c r="Z8" s="1410"/>
      <c r="AA8" s="1410"/>
      <c r="AB8" s="1411"/>
      <c r="AC8" s="1428"/>
      <c r="AD8" s="1429"/>
      <c r="AE8" s="1429"/>
      <c r="AF8" s="1430"/>
      <c r="AG8" s="1419" t="s">
        <v>247</v>
      </c>
      <c r="AH8" s="1420"/>
      <c r="AI8" s="1420"/>
      <c r="AJ8" s="1420"/>
      <c r="AK8" s="1420"/>
      <c r="AL8" s="1420"/>
      <c r="AM8" s="1420"/>
      <c r="AN8" s="1421"/>
    </row>
    <row r="9" spans="2:40" x14ac:dyDescent="0.35">
      <c r="B9" s="1391"/>
      <c r="C9" s="1392"/>
      <c r="D9" s="244">
        <v>2018</v>
      </c>
      <c r="E9" s="1395">
        <v>2019</v>
      </c>
      <c r="F9" s="1396"/>
      <c r="G9" s="1396"/>
      <c r="H9" s="1397"/>
      <c r="I9" s="1395">
        <v>2020</v>
      </c>
      <c r="J9" s="1396"/>
      <c r="K9" s="1396"/>
      <c r="L9" s="1396"/>
      <c r="M9" s="1395">
        <v>2021</v>
      </c>
      <c r="N9" s="1396"/>
      <c r="O9" s="1396"/>
      <c r="P9" s="1396"/>
      <c r="Q9" s="1398">
        <v>2022</v>
      </c>
      <c r="R9" s="1399"/>
      <c r="S9" s="1399"/>
      <c r="T9" s="1399"/>
      <c r="U9" s="1398">
        <v>2023</v>
      </c>
      <c r="V9" s="1399"/>
      <c r="W9" s="1399"/>
      <c r="X9" s="1400"/>
      <c r="Y9" s="283"/>
      <c r="Z9" s="282">
        <v>2024</v>
      </c>
      <c r="AA9" s="282"/>
      <c r="AB9" s="279"/>
      <c r="AC9" s="1398">
        <v>2025</v>
      </c>
      <c r="AD9" s="1415"/>
      <c r="AE9" s="1415"/>
      <c r="AF9" s="1400"/>
      <c r="AG9" s="1412">
        <v>2026</v>
      </c>
      <c r="AH9" s="1424"/>
      <c r="AI9" s="1424"/>
      <c r="AJ9" s="1414"/>
      <c r="AK9" s="1412">
        <v>2027</v>
      </c>
      <c r="AL9" s="1424"/>
      <c r="AM9" s="1424"/>
      <c r="AN9" s="1414"/>
    </row>
    <row r="10" spans="2:40" x14ac:dyDescent="0.35">
      <c r="B10" s="1393"/>
      <c r="C10" s="1394"/>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5" t="s">
        <v>248</v>
      </c>
      <c r="U10" s="272" t="s">
        <v>249</v>
      </c>
      <c r="V10" s="273" t="s">
        <v>250</v>
      </c>
      <c r="W10" s="273" t="s">
        <v>226</v>
      </c>
      <c r="X10" s="271" t="s">
        <v>248</v>
      </c>
      <c r="Y10" s="272" t="s">
        <v>249</v>
      </c>
      <c r="Z10" s="274" t="s">
        <v>250</v>
      </c>
      <c r="AA10" s="273" t="s">
        <v>226</v>
      </c>
      <c r="AB10" s="273"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0" x14ac:dyDescent="0.35">
      <c r="B11" s="638" t="s">
        <v>820</v>
      </c>
      <c r="C11" s="75" t="s">
        <v>482</v>
      </c>
      <c r="D11" s="612"/>
      <c r="E11" s="644"/>
      <c r="F11" s="648">
        <v>60.5</v>
      </c>
      <c r="G11" s="648">
        <v>81.400000000000006</v>
      </c>
      <c r="H11" s="648">
        <f>'Haver Pivoted'!GS42</f>
        <v>82.1</v>
      </c>
      <c r="I11" s="648">
        <f>'Haver Pivoted'!GT42</f>
        <v>80</v>
      </c>
      <c r="J11" s="648">
        <f>'Haver Pivoted'!GU42</f>
        <v>1031.8</v>
      </c>
      <c r="K11" s="648">
        <f>'Haver Pivoted'!GV42</f>
        <v>1163.3</v>
      </c>
      <c r="L11" s="648">
        <f>'Haver Pivoted'!GW42</f>
        <v>516.4</v>
      </c>
      <c r="M11" s="648">
        <f>'Haver Pivoted'!GX42</f>
        <v>534.29999999999995</v>
      </c>
      <c r="N11" s="648">
        <f>'Haver Pivoted'!GY42</f>
        <v>838.2</v>
      </c>
      <c r="O11" s="648">
        <f>'Haver Pivoted'!GZ42</f>
        <v>689.7</v>
      </c>
      <c r="P11" s="648">
        <f>'Haver Pivoted'!HA42</f>
        <v>429.7</v>
      </c>
      <c r="Q11" s="648">
        <f>'Haver Pivoted'!HB42</f>
        <v>151</v>
      </c>
      <c r="R11" s="648">
        <f>'Haver Pivoted'!HC42</f>
        <v>129.4</v>
      </c>
      <c r="S11" s="649">
        <f>'Haver Pivoted'!HD42</f>
        <v>118.4</v>
      </c>
      <c r="T11" s="649">
        <f>'Haver Pivoted'!HE42</f>
        <v>110.5</v>
      </c>
      <c r="U11" s="451">
        <f>'Haver Pivoted'!HF42</f>
        <v>103.4</v>
      </c>
      <c r="V11" s="451">
        <f>'Haver Pivoted'!HG42</f>
        <v>101.3</v>
      </c>
      <c r="W11" s="451">
        <f>'Haver Pivoted'!HH42</f>
        <v>103.5</v>
      </c>
      <c r="X11" s="451">
        <f>'Haver Pivoted'!HI42</f>
        <v>98</v>
      </c>
      <c r="Y11" s="451">
        <f>'Haver Pivoted'!HJ42</f>
        <v>95</v>
      </c>
      <c r="Z11" s="451">
        <f>'Haver Pivoted'!HK42</f>
        <v>93</v>
      </c>
      <c r="AA11" s="451">
        <f>'Haver Pivoted'!HL42</f>
        <v>92.1</v>
      </c>
      <c r="AB11" s="451">
        <f>'Haver Pivoted'!HM42</f>
        <v>94</v>
      </c>
      <c r="AC11" s="451">
        <f>'Haver Pivoted'!HN42</f>
        <v>107</v>
      </c>
      <c r="AD11" s="451">
        <f>'Haver Pivoted'!HO42</f>
        <v>119.2</v>
      </c>
      <c r="AE11" s="451">
        <f>'Haver Pivoted'!HP42</f>
        <v>123.4</v>
      </c>
      <c r="AF11" s="451">
        <f>'Haver Pivoted'!HQ42</f>
        <v>97.3</v>
      </c>
      <c r="AG11" s="455">
        <f>AG12+AG13+AG14</f>
        <v>107.3</v>
      </c>
      <c r="AH11" s="455">
        <f t="shared" ref="AH11:AN11" si="0">AH12+AH13+AH14</f>
        <v>107.3</v>
      </c>
      <c r="AI11" s="455">
        <f t="shared" si="0"/>
        <v>107.3</v>
      </c>
      <c r="AJ11" s="455">
        <f t="shared" si="0"/>
        <v>107.3</v>
      </c>
      <c r="AK11" s="455">
        <f t="shared" si="0"/>
        <v>107.3</v>
      </c>
      <c r="AL11" s="455">
        <f t="shared" si="0"/>
        <v>107.3</v>
      </c>
      <c r="AM11" s="455">
        <f t="shared" si="0"/>
        <v>107.3</v>
      </c>
      <c r="AN11" s="455">
        <f t="shared" si="0"/>
        <v>107.3</v>
      </c>
    </row>
    <row r="12" spans="2:40" ht="16.5" customHeight="1" x14ac:dyDescent="0.35">
      <c r="B12" s="529" t="s">
        <v>368</v>
      </c>
      <c r="C12" s="75"/>
      <c r="D12" s="638"/>
      <c r="E12" s="75"/>
      <c r="F12" s="74">
        <f>F11</f>
        <v>60.5</v>
      </c>
      <c r="G12" s="74">
        <f>G11</f>
        <v>81.400000000000006</v>
      </c>
      <c r="H12" s="74">
        <f t="shared" ref="H12:M12" si="1">H11-H14</f>
        <v>82.1</v>
      </c>
      <c r="I12" s="74">
        <f t="shared" si="1"/>
        <v>80</v>
      </c>
      <c r="J12" s="74">
        <f>J11-J14</f>
        <v>42.299999999999955</v>
      </c>
      <c r="K12" s="74">
        <f t="shared" si="1"/>
        <v>36.700000000000045</v>
      </c>
      <c r="L12" s="74">
        <f>L11-L14</f>
        <v>-22.000000000000114</v>
      </c>
      <c r="M12" s="74">
        <f t="shared" si="1"/>
        <v>226.49999999999994</v>
      </c>
      <c r="N12" s="74">
        <f t="shared" ref="N12:T12" si="2">N11-N14</f>
        <v>234.60000000000002</v>
      </c>
      <c r="O12" s="74">
        <f t="shared" si="2"/>
        <v>233.68352000000004</v>
      </c>
      <c r="P12" s="74">
        <f t="shared" si="2"/>
        <v>224.79999999999998</v>
      </c>
      <c r="Q12" s="74">
        <f t="shared" si="2"/>
        <v>90.3</v>
      </c>
      <c r="R12" s="74">
        <f t="shared" si="2"/>
        <v>75.900000000000006</v>
      </c>
      <c r="S12" s="451">
        <f t="shared" si="2"/>
        <v>75.7</v>
      </c>
      <c r="T12" s="451">
        <f t="shared" si="2"/>
        <v>78.677999999999997</v>
      </c>
      <c r="U12" s="451">
        <f t="shared" ref="U12:V12" si="3">U11-U14</f>
        <v>90.891999999999996</v>
      </c>
      <c r="V12" s="451">
        <f t="shared" si="3"/>
        <v>88.792000000000002</v>
      </c>
      <c r="W12" s="451">
        <f t="shared" ref="W12:AB12" si="4">W11-W14</f>
        <v>90.99199999999999</v>
      </c>
      <c r="X12" s="451">
        <f t="shared" si="4"/>
        <v>88.369</v>
      </c>
      <c r="Y12" s="451">
        <f t="shared" si="4"/>
        <v>85.369</v>
      </c>
      <c r="Z12" s="451">
        <f t="shared" si="4"/>
        <v>83.369</v>
      </c>
      <c r="AA12" s="451">
        <f t="shared" si="4"/>
        <v>82.468999999999994</v>
      </c>
      <c r="AB12" s="451">
        <f t="shared" si="4"/>
        <v>79.536000000000001</v>
      </c>
      <c r="AC12" s="451">
        <f>AC11-AC14</f>
        <v>92.536000000000001</v>
      </c>
      <c r="AD12" s="451">
        <f>AD11-AD14</f>
        <v>112.75800000000001</v>
      </c>
      <c r="AE12" s="451">
        <f>AE11-AE14</f>
        <v>116.958</v>
      </c>
      <c r="AF12" s="451">
        <f>AF11-AF14</f>
        <v>97.3</v>
      </c>
      <c r="AG12" s="455">
        <f>AF12-AF14</f>
        <v>97.3</v>
      </c>
      <c r="AH12" s="455">
        <f t="shared" ref="AH12:AN12" si="5">AG12-AG14</f>
        <v>97.3</v>
      </c>
      <c r="AI12" s="455">
        <f t="shared" si="5"/>
        <v>97.3</v>
      </c>
      <c r="AJ12" s="455">
        <f t="shared" si="5"/>
        <v>97.3</v>
      </c>
      <c r="AK12" s="455">
        <f t="shared" si="5"/>
        <v>97.3</v>
      </c>
      <c r="AL12" s="455">
        <f t="shared" si="5"/>
        <v>97.3</v>
      </c>
      <c r="AM12" s="455">
        <f t="shared" si="5"/>
        <v>97.3</v>
      </c>
      <c r="AN12" s="455">
        <f t="shared" si="5"/>
        <v>97.3</v>
      </c>
    </row>
    <row r="13" spans="2:40" ht="16.5" customHeight="1" x14ac:dyDescent="0.35">
      <c r="B13" s="529" t="s">
        <v>2386</v>
      </c>
      <c r="C13" s="75"/>
      <c r="D13" s="638"/>
      <c r="E13" s="75"/>
      <c r="F13" s="74"/>
      <c r="G13" s="74"/>
      <c r="H13" s="74"/>
      <c r="I13" s="74"/>
      <c r="J13" s="74"/>
      <c r="K13" s="74"/>
      <c r="L13" s="74"/>
      <c r="M13" s="74"/>
      <c r="N13" s="74"/>
      <c r="O13" s="74"/>
      <c r="P13" s="74"/>
      <c r="Q13" s="74"/>
      <c r="R13" s="74"/>
      <c r="S13" s="451"/>
      <c r="T13" s="451"/>
      <c r="U13" s="451"/>
      <c r="V13" s="451"/>
      <c r="W13" s="451"/>
      <c r="X13" s="451"/>
      <c r="Y13" s="451"/>
      <c r="Z13" s="451"/>
      <c r="AA13" s="451"/>
      <c r="AB13" s="451"/>
      <c r="AC13" s="451"/>
      <c r="AD13" s="451"/>
      <c r="AE13" s="451"/>
      <c r="AF13" s="451"/>
      <c r="AG13" s="1331">
        <v>10</v>
      </c>
      <c r="AH13" s="455">
        <v>10</v>
      </c>
      <c r="AI13" s="455">
        <v>10</v>
      </c>
      <c r="AJ13" s="455">
        <v>10</v>
      </c>
      <c r="AK13" s="455">
        <v>10</v>
      </c>
      <c r="AL13" s="455">
        <v>10</v>
      </c>
      <c r="AM13" s="455">
        <v>10</v>
      </c>
      <c r="AN13" s="455">
        <v>10</v>
      </c>
    </row>
    <row r="14" spans="2:40" x14ac:dyDescent="0.35">
      <c r="B14" s="528" t="s">
        <v>369</v>
      </c>
      <c r="C14" s="75"/>
      <c r="D14" s="638"/>
      <c r="E14" s="75"/>
      <c r="F14" s="646"/>
      <c r="G14" s="646"/>
      <c r="H14" s="74">
        <f>SUM(H17:H26)</f>
        <v>0</v>
      </c>
      <c r="I14" s="74">
        <f>SUM(I17:I26)</f>
        <v>0</v>
      </c>
      <c r="J14" s="74">
        <f t="shared" ref="J14:S14" si="6">SUM(J17:J26)+J15</f>
        <v>989.5</v>
      </c>
      <c r="K14" s="74">
        <f t="shared" si="6"/>
        <v>1126.5999999999999</v>
      </c>
      <c r="L14" s="74">
        <f t="shared" si="6"/>
        <v>538.40000000000009</v>
      </c>
      <c r="M14" s="74">
        <f t="shared" si="6"/>
        <v>307.8</v>
      </c>
      <c r="N14" s="57">
        <f t="shared" si="6"/>
        <v>603.6</v>
      </c>
      <c r="O14" s="57">
        <f>SUM(O17:O26)+O15</f>
        <v>456.01648</v>
      </c>
      <c r="P14" s="57">
        <f>SUM(P17:P26)+P15</f>
        <v>204.9</v>
      </c>
      <c r="Q14" s="57">
        <f t="shared" si="6"/>
        <v>60.7</v>
      </c>
      <c r="R14" s="57">
        <f t="shared" si="6"/>
        <v>53.5</v>
      </c>
      <c r="S14" s="57">
        <f t="shared" si="6"/>
        <v>42.7</v>
      </c>
      <c r="T14" s="57">
        <f t="shared" ref="T14:AB14" si="7">SUM(T17:T28)+T15</f>
        <v>31.822000000000003</v>
      </c>
      <c r="U14" s="57">
        <f t="shared" si="7"/>
        <v>12.508000000000003</v>
      </c>
      <c r="V14" s="57">
        <f t="shared" si="7"/>
        <v>12.508000000000003</v>
      </c>
      <c r="W14" s="57">
        <f>SUM(W17:W28)+W15</f>
        <v>12.508000000000003</v>
      </c>
      <c r="X14" s="57">
        <f>SUM(X17:X28)+X15</f>
        <v>9.6310000000000002</v>
      </c>
      <c r="Y14" s="455">
        <f t="shared" si="7"/>
        <v>9.6310000000000002</v>
      </c>
      <c r="Z14" s="455">
        <f t="shared" si="7"/>
        <v>9.6310000000000002</v>
      </c>
      <c r="AA14" s="455">
        <f t="shared" si="7"/>
        <v>9.6310000000000002</v>
      </c>
      <c r="AB14" s="455">
        <f t="shared" si="7"/>
        <v>14.464</v>
      </c>
      <c r="AC14" s="455">
        <f>SUM(AC17:AC28)+AC15</f>
        <v>14.464</v>
      </c>
      <c r="AD14" s="455">
        <f>SUM(AD17:AD28)+AD15</f>
        <v>6.4420000000000002</v>
      </c>
      <c r="AE14" s="455">
        <f t="shared" ref="AE14" si="8">SUM(AE17:AE28)+AE15</f>
        <v>6.4420000000000002</v>
      </c>
      <c r="AF14" s="455">
        <v>0</v>
      </c>
      <c r="AG14" s="455">
        <v>0</v>
      </c>
      <c r="AH14" s="455">
        <v>0</v>
      </c>
      <c r="AI14" s="455">
        <v>0</v>
      </c>
      <c r="AJ14" s="455">
        <v>0</v>
      </c>
      <c r="AK14" s="455">
        <v>0</v>
      </c>
      <c r="AL14" s="455">
        <v>0</v>
      </c>
      <c r="AM14" s="455">
        <v>0</v>
      </c>
      <c r="AN14" s="455">
        <v>0</v>
      </c>
    </row>
    <row r="15" spans="2:40" x14ac:dyDescent="0.35">
      <c r="B15" s="472" t="s">
        <v>41</v>
      </c>
      <c r="C15" s="56" t="s">
        <v>295</v>
      </c>
      <c r="D15" s="469"/>
      <c r="E15" s="56"/>
      <c r="F15" s="74"/>
      <c r="G15" s="74"/>
      <c r="H15" s="74">
        <f>'Haver Pivoted'!GS49</f>
        <v>0</v>
      </c>
      <c r="I15" s="74">
        <f>'Haver Pivoted'!GT49</f>
        <v>0</v>
      </c>
      <c r="J15" s="74">
        <f>'Haver Pivoted'!GU49</f>
        <v>576.9</v>
      </c>
      <c r="K15" s="74">
        <f>'Haver Pivoted'!GV49</f>
        <v>819.5</v>
      </c>
      <c r="L15" s="74">
        <f>'Haver Pivoted'!GW49</f>
        <v>246.3</v>
      </c>
      <c r="M15" s="74">
        <f>'Haver Pivoted'!GX49</f>
        <v>197</v>
      </c>
      <c r="N15" s="74">
        <f>'Haver Pivoted'!GY49</f>
        <v>441.2</v>
      </c>
      <c r="O15" s="74">
        <f>'Haver Pivoted'!GZ49</f>
        <v>276.7</v>
      </c>
      <c r="P15" s="74">
        <f>'Haver Pivoted'!HA49</f>
        <v>28.2</v>
      </c>
      <c r="Q15" s="74">
        <f>'Haver Pivoted'!HB49</f>
        <v>0</v>
      </c>
      <c r="R15" s="74">
        <f>'Haver Pivoted'!HC49</f>
        <v>0</v>
      </c>
      <c r="S15" s="451">
        <f>'Haver Pivoted'!HD49</f>
        <v>0</v>
      </c>
      <c r="T15" s="451">
        <f>'Haver Pivoted'!HE49</f>
        <v>0</v>
      </c>
      <c r="U15" s="451">
        <f>'Haver Pivoted'!HF49</f>
        <v>0</v>
      </c>
      <c r="V15" s="451">
        <f>'Haver Pivoted'!HG49</f>
        <v>0</v>
      </c>
      <c r="W15" s="656">
        <f>'Haver Pivoted'!HH49</f>
        <v>0</v>
      </c>
      <c r="X15" s="656">
        <f>'Haver Pivoted'!HI49</f>
        <v>0</v>
      </c>
      <c r="Y15" s="656">
        <f>'Haver Pivoted'!HJ49</f>
        <v>0</v>
      </c>
      <c r="Z15" s="656">
        <f>'Haver Pivoted'!HK49</f>
        <v>0</v>
      </c>
      <c r="AA15" s="656">
        <f>'Haver Pivoted'!HL49</f>
        <v>0</v>
      </c>
      <c r="AB15" s="656">
        <f>'Haver Pivoted'!HM49</f>
        <v>0</v>
      </c>
      <c r="AC15" s="656">
        <f>'Haver Pivoted'!HN49</f>
        <v>0</v>
      </c>
      <c r="AD15" s="656">
        <f>'Haver Pivoted'!HO49</f>
        <v>0</v>
      </c>
      <c r="AE15" s="656">
        <f>'Haver Pivoted'!HP49</f>
        <v>0</v>
      </c>
      <c r="AF15" s="656">
        <f>'Haver Pivoted'!HQ49</f>
        <v>0</v>
      </c>
      <c r="AG15" s="353"/>
      <c r="AH15" s="353"/>
      <c r="AI15" s="353"/>
      <c r="AJ15" s="353"/>
      <c r="AK15" s="353"/>
      <c r="AL15" s="353"/>
      <c r="AM15" s="353"/>
      <c r="AN15" s="353"/>
    </row>
    <row r="16" spans="2:40" x14ac:dyDescent="0.35">
      <c r="B16" s="528" t="s">
        <v>370</v>
      </c>
      <c r="C16" s="75"/>
      <c r="D16" s="638"/>
      <c r="E16" s="75"/>
      <c r="F16" s="646"/>
      <c r="G16" s="646"/>
      <c r="H16" s="74">
        <f t="shared" ref="H16:AC16" si="9">SUM(H17:H26)</f>
        <v>0</v>
      </c>
      <c r="I16" s="74">
        <f t="shared" si="9"/>
        <v>0</v>
      </c>
      <c r="J16" s="74">
        <f t="shared" si="9"/>
        <v>412.6</v>
      </c>
      <c r="K16" s="74">
        <f t="shared" si="9"/>
        <v>307.10000000000002</v>
      </c>
      <c r="L16" s="74">
        <f t="shared" si="9"/>
        <v>292.10000000000002</v>
      </c>
      <c r="M16" s="74">
        <f t="shared" si="9"/>
        <v>110.8</v>
      </c>
      <c r="N16" s="74">
        <f t="shared" si="9"/>
        <v>162.4</v>
      </c>
      <c r="O16" s="74">
        <f t="shared" si="9"/>
        <v>179.31648000000001</v>
      </c>
      <c r="P16" s="74">
        <f>SUM(P17:P26)</f>
        <v>176.70000000000002</v>
      </c>
      <c r="Q16" s="74">
        <f t="shared" si="9"/>
        <v>60.7</v>
      </c>
      <c r="R16" s="74">
        <f t="shared" si="9"/>
        <v>53.5</v>
      </c>
      <c r="S16" s="74">
        <f t="shared" si="9"/>
        <v>42.7</v>
      </c>
      <c r="T16" s="74">
        <f t="shared" si="9"/>
        <v>28.200000000000003</v>
      </c>
      <c r="U16" s="74">
        <f t="shared" si="9"/>
        <v>8.886000000000001</v>
      </c>
      <c r="V16" s="74">
        <f t="shared" si="9"/>
        <v>8.886000000000001</v>
      </c>
      <c r="W16" s="508">
        <f t="shared" si="9"/>
        <v>8.886000000000001</v>
      </c>
      <c r="X16" s="74">
        <f t="shared" si="9"/>
        <v>0.2</v>
      </c>
      <c r="Y16" s="627">
        <f t="shared" si="9"/>
        <v>0.2</v>
      </c>
      <c r="Z16" s="627">
        <f t="shared" si="9"/>
        <v>0.2</v>
      </c>
      <c r="AA16" s="627">
        <f t="shared" si="9"/>
        <v>0.2</v>
      </c>
      <c r="AB16" s="627">
        <f t="shared" si="9"/>
        <v>0</v>
      </c>
      <c r="AC16" s="627">
        <f t="shared" si="9"/>
        <v>0</v>
      </c>
      <c r="AD16" s="627">
        <f t="shared" ref="AD16:AE16" si="10">SUM(AD17:AD26)</f>
        <v>0</v>
      </c>
      <c r="AE16" s="627">
        <f t="shared" si="10"/>
        <v>0</v>
      </c>
      <c r="AF16" s="627">
        <f>SUM(AF17:AF28)</f>
        <v>9.532</v>
      </c>
      <c r="AG16" s="627">
        <f t="shared" ref="AG16:AN16" si="11">SUM(AG17:AG28)</f>
        <v>9.532</v>
      </c>
      <c r="AH16" s="627">
        <f t="shared" si="11"/>
        <v>9.532</v>
      </c>
      <c r="AI16" s="627">
        <f t="shared" si="11"/>
        <v>9.532</v>
      </c>
      <c r="AJ16" s="627">
        <f t="shared" si="11"/>
        <v>9.532</v>
      </c>
      <c r="AK16" s="627">
        <f t="shared" si="11"/>
        <v>9.532</v>
      </c>
      <c r="AL16" s="627">
        <f t="shared" si="11"/>
        <v>9.532</v>
      </c>
      <c r="AM16" s="627">
        <f t="shared" si="11"/>
        <v>9.532</v>
      </c>
      <c r="AN16" s="627">
        <f t="shared" si="11"/>
        <v>9.532</v>
      </c>
    </row>
    <row r="17" spans="2:40" x14ac:dyDescent="0.35">
      <c r="B17" s="635" t="s">
        <v>133</v>
      </c>
      <c r="C17" s="59" t="s">
        <v>371</v>
      </c>
      <c r="D17" s="533"/>
      <c r="E17" s="59"/>
      <c r="F17" s="74"/>
      <c r="G17" s="74"/>
      <c r="H17" s="74">
        <f>'Haver Pivoted'!GS53</f>
        <v>0</v>
      </c>
      <c r="I17" s="74">
        <f>'Haver Pivoted'!GT53</f>
        <v>0</v>
      </c>
      <c r="J17" s="74">
        <f>'Haver Pivoted'!GU53</f>
        <v>16.899999999999999</v>
      </c>
      <c r="K17" s="74">
        <f>'Haver Pivoted'!GV53</f>
        <v>18.399999999999999</v>
      </c>
      <c r="L17" s="74">
        <f>'Haver Pivoted'!GW53</f>
        <v>46.2</v>
      </c>
      <c r="M17" s="74">
        <f>'Haver Pivoted'!GX53</f>
        <v>0.9</v>
      </c>
      <c r="N17" s="74">
        <f>'Haver Pivoted'!GY53</f>
        <v>14.1</v>
      </c>
      <c r="O17" s="74">
        <f>'Haver Pivoted'!GZ53</f>
        <v>8.6</v>
      </c>
      <c r="P17" s="74">
        <f>'Haver Pivoted'!HA53</f>
        <v>1.2</v>
      </c>
      <c r="Q17" s="74">
        <f>'Haver Pivoted'!HB53</f>
        <v>0.6</v>
      </c>
      <c r="R17" s="74">
        <f>'Haver Pivoted'!HC53</f>
        <v>0</v>
      </c>
      <c r="S17" s="451">
        <f>'Haver Pivoted'!HD53</f>
        <v>0</v>
      </c>
      <c r="T17" s="451">
        <f>'Haver Pivoted'!HE53</f>
        <v>0</v>
      </c>
      <c r="U17" s="451">
        <f>'Haver Pivoted'!HF53</f>
        <v>0</v>
      </c>
      <c r="V17" s="451">
        <f>'Haver Pivoted'!HG53</f>
        <v>0</v>
      </c>
      <c r="W17" s="656">
        <f>'Haver Pivoted'!HH53</f>
        <v>0</v>
      </c>
      <c r="X17" s="656">
        <f>'Haver Pivoted'!HI53</f>
        <v>0</v>
      </c>
      <c r="Y17" s="656">
        <f>'Haver Pivoted'!HJ53</f>
        <v>0</v>
      </c>
      <c r="Z17" s="656">
        <f>'Haver Pivoted'!HK53</f>
        <v>0</v>
      </c>
      <c r="AA17" s="656">
        <f>'Haver Pivoted'!HL53</f>
        <v>0</v>
      </c>
      <c r="AB17" s="656">
        <f>'Haver Pivoted'!HM53</f>
        <v>0</v>
      </c>
      <c r="AC17" s="656">
        <f>'Haver Pivoted'!HN53</f>
        <v>0</v>
      </c>
      <c r="AD17" s="656">
        <f>'Haver Pivoted'!HO53</f>
        <v>0</v>
      </c>
      <c r="AE17" s="656">
        <f>'Haver Pivoted'!HP53</f>
        <v>0</v>
      </c>
      <c r="AF17" s="656">
        <f>'Haver Pivoted'!HQ53</f>
        <v>0</v>
      </c>
      <c r="AG17" s="353"/>
      <c r="AH17" s="353"/>
      <c r="AI17" s="353"/>
      <c r="AJ17" s="353"/>
      <c r="AK17" s="353"/>
      <c r="AL17" s="353"/>
      <c r="AM17" s="353"/>
      <c r="AN17" s="353"/>
    </row>
    <row r="18" spans="2:40" x14ac:dyDescent="0.35">
      <c r="B18" s="635" t="s">
        <v>131</v>
      </c>
      <c r="C18" s="59" t="s">
        <v>372</v>
      </c>
      <c r="D18" s="533"/>
      <c r="E18" s="59"/>
      <c r="F18" s="74"/>
      <c r="G18" s="74"/>
      <c r="H18" s="74">
        <f>'Haver Pivoted'!GS51</f>
        <v>0</v>
      </c>
      <c r="I18" s="74">
        <f>'Haver Pivoted'!GT51</f>
        <v>0</v>
      </c>
      <c r="J18" s="74">
        <f>'Haver Pivoted'!GU51</f>
        <v>73.3</v>
      </c>
      <c r="K18" s="74">
        <f>'Haver Pivoted'!GV51</f>
        <v>73.3</v>
      </c>
      <c r="L18" s="74">
        <f>'Haver Pivoted'!GW51</f>
        <v>73.3</v>
      </c>
      <c r="M18" s="74">
        <f>'Haver Pivoted'!GX51</f>
        <v>39.799999999999997</v>
      </c>
      <c r="N18" s="74">
        <f>'Haver Pivoted'!GY51</f>
        <v>43</v>
      </c>
      <c r="O18" s="74">
        <f>'Haver Pivoted'!GZ51</f>
        <v>45.7</v>
      </c>
      <c r="P18" s="74">
        <f>'Haver Pivoted'!HA51</f>
        <v>51.5</v>
      </c>
      <c r="Q18" s="74">
        <f>'Haver Pivoted'!HB51</f>
        <v>0</v>
      </c>
      <c r="R18" s="74">
        <f>'Haver Pivoted'!HC51</f>
        <v>0</v>
      </c>
      <c r="S18" s="451">
        <f>'Haver Pivoted'!HD51</f>
        <v>0</v>
      </c>
      <c r="T18" s="451">
        <f>'Haver Pivoted'!HE51</f>
        <v>0</v>
      </c>
      <c r="U18" s="451">
        <f>'Haver Pivoted'!HF51</f>
        <v>0</v>
      </c>
      <c r="V18" s="451">
        <f>'Haver Pivoted'!HG51</f>
        <v>0</v>
      </c>
      <c r="W18" s="656">
        <f>'Haver Pivoted'!HH51</f>
        <v>0</v>
      </c>
      <c r="X18" s="656">
        <f>'Haver Pivoted'!HI51</f>
        <v>0</v>
      </c>
      <c r="Y18" s="656">
        <f>'Haver Pivoted'!HJ51</f>
        <v>0</v>
      </c>
      <c r="Z18" s="656">
        <f>'Haver Pivoted'!HK51</f>
        <v>0</v>
      </c>
      <c r="AA18" s="656">
        <f>'Haver Pivoted'!HL51</f>
        <v>0</v>
      </c>
      <c r="AB18" s="656">
        <f>'Haver Pivoted'!HM51</f>
        <v>0</v>
      </c>
      <c r="AC18" s="656">
        <f>'Haver Pivoted'!HN51</f>
        <v>0</v>
      </c>
      <c r="AD18" s="656">
        <f>'Haver Pivoted'!HO51</f>
        <v>0</v>
      </c>
      <c r="AE18" s="656">
        <f>'Haver Pivoted'!HP51</f>
        <v>0</v>
      </c>
      <c r="AF18" s="656">
        <f>'Haver Pivoted'!HQ51</f>
        <v>0</v>
      </c>
      <c r="AG18" s="455">
        <f t="shared" ref="AG18:AH18" si="12">AF18</f>
        <v>0</v>
      </c>
      <c r="AH18" s="455">
        <f t="shared" si="12"/>
        <v>0</v>
      </c>
      <c r="AI18" s="455">
        <f t="shared" ref="AI18" si="13">AH18</f>
        <v>0</v>
      </c>
      <c r="AJ18" s="455">
        <f t="shared" ref="AJ18" si="14">AI18</f>
        <v>0</v>
      </c>
      <c r="AK18" s="455">
        <f t="shared" ref="AK18" si="15">AJ18</f>
        <v>0</v>
      </c>
      <c r="AL18" s="455">
        <f t="shared" ref="AL18" si="16">AK18</f>
        <v>0</v>
      </c>
      <c r="AM18" s="455">
        <f t="shared" ref="AM18" si="17">AL18</f>
        <v>0</v>
      </c>
      <c r="AN18" s="455">
        <f t="shared" ref="AN18" si="18">AM18</f>
        <v>0</v>
      </c>
    </row>
    <row r="19" spans="2:40" x14ac:dyDescent="0.35">
      <c r="B19" s="635" t="s">
        <v>130</v>
      </c>
      <c r="C19" s="56" t="s">
        <v>373</v>
      </c>
      <c r="D19" s="469"/>
      <c r="E19" s="56"/>
      <c r="F19" s="74"/>
      <c r="G19" s="74"/>
      <c r="H19" s="74">
        <f>'Haver Pivoted'!GS50</f>
        <v>0</v>
      </c>
      <c r="I19" s="74">
        <f>'Haver Pivoted'!GT50</f>
        <v>0</v>
      </c>
      <c r="J19" s="74">
        <f>'Haver Pivoted'!GU50</f>
        <v>63.8</v>
      </c>
      <c r="K19" s="74">
        <f>'Haver Pivoted'!GV50</f>
        <v>15</v>
      </c>
      <c r="L19" s="74">
        <f>'Haver Pivoted'!GW50</f>
        <v>0.1</v>
      </c>
      <c r="M19" s="74">
        <f>'Haver Pivoted'!GX50</f>
        <v>38</v>
      </c>
      <c r="N19" s="74">
        <f>'Haver Pivoted'!GY50</f>
        <v>47.3</v>
      </c>
      <c r="O19" s="74">
        <f>'Haver Pivoted'!GZ50</f>
        <v>0.7</v>
      </c>
      <c r="P19" s="74">
        <f>'Haver Pivoted'!HA50</f>
        <v>0</v>
      </c>
      <c r="Q19" s="74">
        <f>'Haver Pivoted'!HB50</f>
        <v>0.3</v>
      </c>
      <c r="R19" s="74">
        <f>'Haver Pivoted'!HC50</f>
        <v>0.2</v>
      </c>
      <c r="S19" s="451">
        <f>'Haver Pivoted'!HD50</f>
        <v>0.3</v>
      </c>
      <c r="T19" s="451">
        <f>'Haver Pivoted'!HE50</f>
        <v>0.4</v>
      </c>
      <c r="U19" s="451">
        <f>'Haver Pivoted'!HF50</f>
        <v>0</v>
      </c>
      <c r="V19" s="451">
        <f>'Haver Pivoted'!HG50</f>
        <v>0</v>
      </c>
      <c r="W19" s="656">
        <f>'Haver Pivoted'!HH50</f>
        <v>0</v>
      </c>
      <c r="X19" s="656">
        <f>'Haver Pivoted'!HI50</f>
        <v>0</v>
      </c>
      <c r="Y19" s="656">
        <f>'Haver Pivoted'!HJ50</f>
        <v>0</v>
      </c>
      <c r="Z19" s="656">
        <f>'Haver Pivoted'!HK50</f>
        <v>0</v>
      </c>
      <c r="AA19" s="656">
        <f>'Haver Pivoted'!HL50</f>
        <v>0</v>
      </c>
      <c r="AB19" s="656">
        <f>'Haver Pivoted'!HM50</f>
        <v>0</v>
      </c>
      <c r="AC19" s="656">
        <f>'Haver Pivoted'!HN50</f>
        <v>0</v>
      </c>
      <c r="AD19" s="656">
        <f>'Haver Pivoted'!HO50</f>
        <v>0</v>
      </c>
      <c r="AE19" s="656">
        <f>'Haver Pivoted'!HP50</f>
        <v>0</v>
      </c>
      <c r="AF19" s="656">
        <f>'Haver Pivoted'!HQ50</f>
        <v>0</v>
      </c>
      <c r="AG19" s="455">
        <f t="shared" ref="AG19" si="19">AG31</f>
        <v>0</v>
      </c>
      <c r="AH19" s="455">
        <f t="shared" ref="AH19:AJ19" si="20">AH31</f>
        <v>0</v>
      </c>
      <c r="AI19" s="455">
        <f t="shared" si="20"/>
        <v>0</v>
      </c>
      <c r="AJ19" s="455">
        <f t="shared" si="20"/>
        <v>0</v>
      </c>
      <c r="AK19" s="455">
        <f t="shared" ref="AK19:AN19" si="21">AK31</f>
        <v>0</v>
      </c>
      <c r="AL19" s="455">
        <f t="shared" si="21"/>
        <v>0</v>
      </c>
      <c r="AM19" s="455">
        <f t="shared" si="21"/>
        <v>0</v>
      </c>
      <c r="AN19" s="455">
        <f t="shared" si="21"/>
        <v>0</v>
      </c>
    </row>
    <row r="20" spans="2:40" x14ac:dyDescent="0.35">
      <c r="B20" s="635" t="s">
        <v>374</v>
      </c>
      <c r="C20" s="56" t="s">
        <v>275</v>
      </c>
      <c r="D20" s="469"/>
      <c r="E20" s="56"/>
      <c r="F20" s="74"/>
      <c r="G20" s="74"/>
      <c r="H20" s="74">
        <f>'Haver Pivoted'!GS54</f>
        <v>0</v>
      </c>
      <c r="I20" s="74">
        <f>'Haver Pivoted'!GT54</f>
        <v>0</v>
      </c>
      <c r="J20" s="74">
        <f>'Haver Pivoted'!GU54</f>
        <v>96.6</v>
      </c>
      <c r="K20" s="74">
        <f>'Haver Pivoted'!GV54</f>
        <v>35.1</v>
      </c>
      <c r="L20" s="74">
        <f>'Haver Pivoted'!GW54</f>
        <v>20.7</v>
      </c>
      <c r="M20" s="74">
        <f>'Haver Pivoted'!GX54</f>
        <v>15.4</v>
      </c>
      <c r="N20" s="74">
        <f>'Haver Pivoted'!GY54</f>
        <v>9.6</v>
      </c>
      <c r="O20" s="74">
        <f>'Haver Pivoted'!GZ54</f>
        <v>13.5</v>
      </c>
      <c r="P20" s="74">
        <f>'Haver Pivoted'!HA54</f>
        <v>23.2</v>
      </c>
      <c r="Q20" s="74">
        <f>'Haver Pivoted'!HB54</f>
        <v>19.3</v>
      </c>
      <c r="R20" s="74">
        <f>'Haver Pivoted'!HC54</f>
        <v>14.4</v>
      </c>
      <c r="S20" s="451">
        <f>'Haver Pivoted'!HD54</f>
        <v>5.9</v>
      </c>
      <c r="T20" s="451">
        <f>'Haver Pivoted'!HE54</f>
        <v>3.6</v>
      </c>
      <c r="U20" s="451">
        <f>'Haver Pivoted'!HF54</f>
        <v>0</v>
      </c>
      <c r="V20" s="451">
        <f>'Haver Pivoted'!HG54</f>
        <v>0</v>
      </c>
      <c r="W20" s="656">
        <f>'Haver Pivoted'!HH54</f>
        <v>0</v>
      </c>
      <c r="X20" s="656">
        <f>'Haver Pivoted'!HI54</f>
        <v>0</v>
      </c>
      <c r="Y20" s="656">
        <f>'Haver Pivoted'!HJ54</f>
        <v>0</v>
      </c>
      <c r="Z20" s="656">
        <f>'Haver Pivoted'!HK54</f>
        <v>0</v>
      </c>
      <c r="AA20" s="656">
        <f>'Haver Pivoted'!HL54</f>
        <v>0</v>
      </c>
      <c r="AB20" s="656">
        <f>'Haver Pivoted'!HM54</f>
        <v>0</v>
      </c>
      <c r="AC20" s="656">
        <f>'Haver Pivoted'!HN54</f>
        <v>0</v>
      </c>
      <c r="AD20" s="656">
        <f>'Haver Pivoted'!HO54</f>
        <v>0</v>
      </c>
      <c r="AE20" s="656">
        <f>'Haver Pivoted'!HP54</f>
        <v>0</v>
      </c>
      <c r="AF20" s="656">
        <f>'Haver Pivoted'!HQ54</f>
        <v>0</v>
      </c>
      <c r="AG20" s="353"/>
      <c r="AH20" s="353"/>
      <c r="AI20" s="353"/>
      <c r="AJ20" s="353"/>
      <c r="AK20" s="353"/>
      <c r="AL20" s="353"/>
      <c r="AM20" s="353"/>
      <c r="AN20" s="353"/>
    </row>
    <row r="21" spans="2:40" x14ac:dyDescent="0.35">
      <c r="B21" s="635" t="s">
        <v>132</v>
      </c>
      <c r="C21" s="56" t="s">
        <v>375</v>
      </c>
      <c r="D21" s="469"/>
      <c r="E21" s="56"/>
      <c r="F21" s="74"/>
      <c r="G21" s="74"/>
      <c r="H21" s="74">
        <f>'Haver Pivoted'!GS52</f>
        <v>0</v>
      </c>
      <c r="I21" s="74">
        <f>'Haver Pivoted'!GT52</f>
        <v>0</v>
      </c>
      <c r="J21" s="74">
        <f>'Haver Pivoted'!GU52</f>
        <v>22</v>
      </c>
      <c r="K21" s="74">
        <f>'Haver Pivoted'!GV52</f>
        <v>25.3</v>
      </c>
      <c r="L21" s="74">
        <f>'Haver Pivoted'!GW52</f>
        <v>11.8</v>
      </c>
      <c r="M21" s="74">
        <f>'Haver Pivoted'!GX52</f>
        <v>11.9</v>
      </c>
      <c r="N21" s="74">
        <f>'Haver Pivoted'!GY52</f>
        <v>11.3</v>
      </c>
      <c r="O21" s="74">
        <f>'Haver Pivoted'!GZ52</f>
        <v>13.6</v>
      </c>
      <c r="P21" s="74">
        <f>'Haver Pivoted'!HA52</f>
        <v>19</v>
      </c>
      <c r="Q21" s="74">
        <f>'Haver Pivoted'!HB52</f>
        <v>21.8</v>
      </c>
      <c r="R21" s="74">
        <f>'Haver Pivoted'!HC52</f>
        <v>22.3</v>
      </c>
      <c r="S21" s="451">
        <f>'Haver Pivoted'!HD52</f>
        <v>20.2</v>
      </c>
      <c r="T21" s="451">
        <f>'Haver Pivoted'!HE52</f>
        <v>15.8</v>
      </c>
      <c r="U21" s="57">
        <f t="shared" ref="U21:AC21" si="22">U38</f>
        <v>0.48599999999999993</v>
      </c>
      <c r="V21" s="57">
        <f t="shared" si="22"/>
        <v>0.48599999999999993</v>
      </c>
      <c r="W21" s="508">
        <f t="shared" si="22"/>
        <v>0.48599999999999993</v>
      </c>
      <c r="X21" s="57">
        <f t="shared" si="22"/>
        <v>0</v>
      </c>
      <c r="Y21" s="455">
        <f t="shared" si="22"/>
        <v>0</v>
      </c>
      <c r="Z21" s="455">
        <f t="shared" si="22"/>
        <v>0</v>
      </c>
      <c r="AA21" s="455">
        <f t="shared" si="22"/>
        <v>0</v>
      </c>
      <c r="AB21" s="455">
        <f t="shared" si="22"/>
        <v>0</v>
      </c>
      <c r="AC21" s="455">
        <f t="shared" si="22"/>
        <v>0</v>
      </c>
      <c r="AD21" s="455">
        <f t="shared" ref="AD21:AE21" si="23">AD38</f>
        <v>0</v>
      </c>
      <c r="AE21" s="455">
        <f t="shared" si="23"/>
        <v>0</v>
      </c>
      <c r="AF21" s="455">
        <f t="shared" ref="AF21:AG21" si="24">AF38</f>
        <v>0</v>
      </c>
      <c r="AG21" s="455">
        <f t="shared" si="24"/>
        <v>0</v>
      </c>
      <c r="AH21" s="455">
        <f t="shared" ref="AH21:AJ21" si="25">AH38</f>
        <v>0</v>
      </c>
      <c r="AI21" s="455">
        <f t="shared" si="25"/>
        <v>0</v>
      </c>
      <c r="AJ21" s="455">
        <f t="shared" si="25"/>
        <v>0</v>
      </c>
      <c r="AK21" s="455">
        <f t="shared" ref="AK21:AN21" si="26">AK38</f>
        <v>0</v>
      </c>
      <c r="AL21" s="455">
        <f t="shared" si="26"/>
        <v>0</v>
      </c>
      <c r="AM21" s="455">
        <f t="shared" si="26"/>
        <v>0</v>
      </c>
      <c r="AN21" s="455">
        <f t="shared" si="26"/>
        <v>0</v>
      </c>
    </row>
    <row r="22" spans="2:40" x14ac:dyDescent="0.35">
      <c r="B22" s="635" t="s">
        <v>136</v>
      </c>
      <c r="C22" s="56" t="s">
        <v>376</v>
      </c>
      <c r="D22" s="469"/>
      <c r="E22" s="56"/>
      <c r="F22" s="74"/>
      <c r="G22" s="74"/>
      <c r="H22" s="74">
        <f>'Haver Pivoted'!GS55</f>
        <v>0</v>
      </c>
      <c r="I22" s="74">
        <f>'Haver Pivoted'!GT55</f>
        <v>0</v>
      </c>
      <c r="J22" s="74">
        <f>'Haver Pivoted'!GU55</f>
        <v>140</v>
      </c>
      <c r="K22" s="74">
        <f>'Haver Pivoted'!GV55</f>
        <v>140</v>
      </c>
      <c r="L22" s="74">
        <f>'Haver Pivoted'!GW55</f>
        <v>140</v>
      </c>
      <c r="M22" s="74">
        <f>'Haver Pivoted'!GX55</f>
        <v>4.8</v>
      </c>
      <c r="N22" s="74">
        <f>'Haver Pivoted'!GY55</f>
        <v>4.4000000000000004</v>
      </c>
      <c r="O22" s="74">
        <f>'Haver Pivoted'!GZ55</f>
        <v>5.3</v>
      </c>
      <c r="P22" s="74">
        <f>'Haver Pivoted'!HA55</f>
        <v>4.7</v>
      </c>
      <c r="Q22" s="74">
        <f>'Haver Pivoted'!HB55</f>
        <v>0</v>
      </c>
      <c r="R22" s="74">
        <f>'Haver Pivoted'!HC55</f>
        <v>0</v>
      </c>
      <c r="S22" s="451">
        <f>'Haver Pivoted'!HD55</f>
        <v>0</v>
      </c>
      <c r="T22" s="451">
        <f>'Haver Pivoted'!HE55</f>
        <v>0</v>
      </c>
      <c r="U22" s="451">
        <f>'Haver Pivoted'!HF55</f>
        <v>0</v>
      </c>
      <c r="V22" s="451">
        <f>'Haver Pivoted'!HG55</f>
        <v>0</v>
      </c>
      <c r="W22" s="656">
        <f>'Haver Pivoted'!HH55</f>
        <v>0</v>
      </c>
      <c r="X22" s="656">
        <f>'Haver Pivoted'!HI55</f>
        <v>0</v>
      </c>
      <c r="Y22" s="656">
        <f>'Haver Pivoted'!HJ55</f>
        <v>0</v>
      </c>
      <c r="Z22" s="656">
        <f>'Haver Pivoted'!HK55</f>
        <v>0</v>
      </c>
      <c r="AA22" s="656">
        <f>'Haver Pivoted'!HL55</f>
        <v>0</v>
      </c>
      <c r="AB22" s="656">
        <f>'Haver Pivoted'!HM55</f>
        <v>0</v>
      </c>
      <c r="AC22" s="656">
        <f>'Haver Pivoted'!HN55</f>
        <v>0</v>
      </c>
      <c r="AD22" s="656">
        <f>'Haver Pivoted'!HO55</f>
        <v>0</v>
      </c>
      <c r="AE22" s="656">
        <f>'Haver Pivoted'!HP55</f>
        <v>0</v>
      </c>
      <c r="AF22" s="656">
        <f>'Haver Pivoted'!HQ55</f>
        <v>0</v>
      </c>
      <c r="AG22" s="455">
        <f t="shared" ref="AG22:AH22" si="27">AF22</f>
        <v>0</v>
      </c>
      <c r="AH22" s="455">
        <f t="shared" si="27"/>
        <v>0</v>
      </c>
      <c r="AI22" s="455">
        <f t="shared" ref="AI22" si="28">AH22</f>
        <v>0</v>
      </c>
      <c r="AJ22" s="455">
        <f t="shared" ref="AJ22" si="29">AI22</f>
        <v>0</v>
      </c>
      <c r="AK22" s="455">
        <f t="shared" ref="AK22" si="30">AJ22</f>
        <v>0</v>
      </c>
      <c r="AL22" s="455">
        <f t="shared" ref="AL22" si="31">AK22</f>
        <v>0</v>
      </c>
      <c r="AM22" s="455">
        <f t="shared" ref="AM22" si="32">AL22</f>
        <v>0</v>
      </c>
      <c r="AN22" s="455">
        <f t="shared" ref="AN22" si="33">AM22</f>
        <v>0</v>
      </c>
    </row>
    <row r="23" spans="2:40" x14ac:dyDescent="0.35">
      <c r="B23" s="635" t="s">
        <v>377</v>
      </c>
      <c r="C23" s="56" t="s">
        <v>750</v>
      </c>
      <c r="D23" s="481"/>
      <c r="E23" s="74"/>
      <c r="F23" s="74"/>
      <c r="G23" s="74"/>
      <c r="H23" s="74"/>
      <c r="I23" s="74"/>
      <c r="J23" s="74"/>
      <c r="K23" s="74"/>
      <c r="L23" s="74"/>
      <c r="M23" s="74"/>
      <c r="N23" s="74">
        <f>'Haver Pivoted'!GY87</f>
        <v>11.3</v>
      </c>
      <c r="O23" s="74">
        <f>'Haver Pivoted'!GZ87</f>
        <v>10.4</v>
      </c>
      <c r="P23" s="74">
        <f>'Haver Pivoted'!HA87</f>
        <v>5.3</v>
      </c>
      <c r="Q23" s="74">
        <f>'Haver Pivoted'!HB87</f>
        <v>2.4</v>
      </c>
      <c r="R23" s="74">
        <f>'Haver Pivoted'!HC87</f>
        <v>0.3</v>
      </c>
      <c r="S23" s="451">
        <f>'Haver Pivoted'!HD87</f>
        <v>0</v>
      </c>
      <c r="T23" s="451">
        <f>'Haver Pivoted'!HE87</f>
        <v>0</v>
      </c>
      <c r="U23" s="451">
        <f>'Haver Pivoted'!HF87</f>
        <v>0</v>
      </c>
      <c r="V23" s="451">
        <f>'Haver Pivoted'!HG87</f>
        <v>0</v>
      </c>
      <c r="W23" s="656">
        <f>'Haver Pivoted'!HH87</f>
        <v>0</v>
      </c>
      <c r="X23" s="656">
        <f>'Haver Pivoted'!HI87</f>
        <v>0</v>
      </c>
      <c r="Y23" s="656">
        <f>'Haver Pivoted'!HJ87</f>
        <v>0</v>
      </c>
      <c r="Z23" s="656">
        <f>'Haver Pivoted'!HK87</f>
        <v>0</v>
      </c>
      <c r="AA23" s="656">
        <f>'Haver Pivoted'!HL87</f>
        <v>0</v>
      </c>
      <c r="AB23" s="656">
        <f>'Haver Pivoted'!HM87</f>
        <v>0</v>
      </c>
      <c r="AC23" s="656">
        <f>'Haver Pivoted'!HN87</f>
        <v>0</v>
      </c>
      <c r="AD23" s="656">
        <f>'Haver Pivoted'!HO87</f>
        <v>0</v>
      </c>
      <c r="AE23" s="656">
        <f>'Haver Pivoted'!HP87</f>
        <v>0</v>
      </c>
      <c r="AF23" s="656">
        <f>'Haver Pivoted'!HQ87</f>
        <v>0</v>
      </c>
      <c r="AG23" s="455">
        <v>0</v>
      </c>
      <c r="AH23" s="455">
        <v>0</v>
      </c>
      <c r="AI23" s="455">
        <v>0</v>
      </c>
      <c r="AJ23" s="455">
        <v>0</v>
      </c>
      <c r="AK23" s="455">
        <v>0</v>
      </c>
      <c r="AL23" s="455">
        <v>0</v>
      </c>
      <c r="AM23" s="455">
        <v>0</v>
      </c>
      <c r="AN23" s="455">
        <v>0</v>
      </c>
    </row>
    <row r="24" spans="2:40" x14ac:dyDescent="0.35">
      <c r="B24" s="635" t="s">
        <v>378</v>
      </c>
      <c r="C24" s="56" t="s">
        <v>749</v>
      </c>
      <c r="D24" s="469"/>
      <c r="E24" s="56"/>
      <c r="F24" s="74"/>
      <c r="G24" s="647"/>
      <c r="H24" s="74"/>
      <c r="I24" s="74"/>
      <c r="J24" s="74"/>
      <c r="K24" s="74"/>
      <c r="L24" s="74"/>
      <c r="M24" s="74"/>
      <c r="N24" s="74">
        <f>'Haver Pivoted'!GY86</f>
        <v>21.4</v>
      </c>
      <c r="O24" s="74">
        <f>'Haver Pivoted'!GZ86</f>
        <v>57</v>
      </c>
      <c r="P24" s="74">
        <f>'Haver Pivoted'!HA86</f>
        <v>35.5</v>
      </c>
      <c r="Q24" s="74">
        <f>'Haver Pivoted'!HB86</f>
        <v>0</v>
      </c>
      <c r="R24" s="74">
        <f>'Haver Pivoted'!HC86</f>
        <v>0</v>
      </c>
      <c r="S24" s="451">
        <f>'Haver Pivoted'!HD86</f>
        <v>0</v>
      </c>
      <c r="T24" s="451">
        <f>'Haver Pivoted'!HE86</f>
        <v>0</v>
      </c>
      <c r="U24" s="451">
        <f>'Haver Pivoted'!HF86</f>
        <v>0</v>
      </c>
      <c r="V24" s="451">
        <f>'Haver Pivoted'!HG86</f>
        <v>0</v>
      </c>
      <c r="W24" s="656">
        <f>'Haver Pivoted'!HH86</f>
        <v>0</v>
      </c>
      <c r="X24" s="656">
        <f>'Haver Pivoted'!HI86</f>
        <v>0</v>
      </c>
      <c r="Y24" s="656">
        <f>'Haver Pivoted'!HJ86</f>
        <v>0</v>
      </c>
      <c r="Z24" s="656">
        <f>'Haver Pivoted'!HK86</f>
        <v>0</v>
      </c>
      <c r="AA24" s="656">
        <f>'Haver Pivoted'!HL86</f>
        <v>0</v>
      </c>
      <c r="AB24" s="656">
        <f>'Haver Pivoted'!HM86</f>
        <v>0</v>
      </c>
      <c r="AC24" s="656">
        <f>'Haver Pivoted'!HN86</f>
        <v>0</v>
      </c>
      <c r="AD24" s="656">
        <f>'Haver Pivoted'!HO86</f>
        <v>0</v>
      </c>
      <c r="AE24" s="656">
        <f>'Haver Pivoted'!HP86</f>
        <v>0</v>
      </c>
      <c r="AF24" s="656">
        <f>'Haver Pivoted'!HQ86</f>
        <v>0</v>
      </c>
      <c r="AG24" s="455">
        <f t="shared" ref="AG24:AH24" si="34">AF24</f>
        <v>0</v>
      </c>
      <c r="AH24" s="455">
        <f t="shared" si="34"/>
        <v>0</v>
      </c>
      <c r="AI24" s="455">
        <f t="shared" ref="AI24" si="35">AH24</f>
        <v>0</v>
      </c>
      <c r="AJ24" s="455">
        <f t="shared" ref="AJ24" si="36">AI24</f>
        <v>0</v>
      </c>
      <c r="AK24" s="455">
        <f t="shared" ref="AK24" si="37">AJ24</f>
        <v>0</v>
      </c>
      <c r="AL24" s="455">
        <f t="shared" ref="AL24" si="38">AK24</f>
        <v>0</v>
      </c>
      <c r="AM24" s="455">
        <f t="shared" ref="AM24" si="39">AL24</f>
        <v>0</v>
      </c>
      <c r="AN24" s="455">
        <f t="shared" ref="AN24" si="40">AM24</f>
        <v>0</v>
      </c>
    </row>
    <row r="25" spans="2:40" x14ac:dyDescent="0.35">
      <c r="B25" s="635" t="s">
        <v>379</v>
      </c>
      <c r="C25" s="56"/>
      <c r="D25" s="469"/>
      <c r="E25" s="56"/>
      <c r="F25" s="74"/>
      <c r="G25" s="74"/>
      <c r="H25" s="74"/>
      <c r="I25" s="74"/>
      <c r="J25" s="74"/>
      <c r="K25" s="74"/>
      <c r="L25" s="74"/>
      <c r="M25" s="74"/>
      <c r="N25" s="74"/>
      <c r="O25" s="57">
        <f>O42+O43</f>
        <v>12.51648</v>
      </c>
      <c r="P25" s="57">
        <f>P42+P43</f>
        <v>11.3</v>
      </c>
      <c r="Q25" s="57">
        <f t="shared" ref="Q25:AC25" si="41">Q42+Q43</f>
        <v>11.3</v>
      </c>
      <c r="R25" s="57">
        <f t="shared" si="41"/>
        <v>11.3</v>
      </c>
      <c r="S25" s="57">
        <f t="shared" si="41"/>
        <v>11.3</v>
      </c>
      <c r="T25" s="57">
        <f t="shared" si="41"/>
        <v>8.4</v>
      </c>
      <c r="U25" s="57">
        <f t="shared" si="41"/>
        <v>8.4</v>
      </c>
      <c r="V25" s="57">
        <f t="shared" si="41"/>
        <v>8.4</v>
      </c>
      <c r="W25" s="508">
        <f t="shared" si="41"/>
        <v>8.4</v>
      </c>
      <c r="X25" s="57">
        <f t="shared" si="41"/>
        <v>0.2</v>
      </c>
      <c r="Y25" s="455">
        <f t="shared" si="41"/>
        <v>0.2</v>
      </c>
      <c r="Z25" s="455">
        <f t="shared" si="41"/>
        <v>0.2</v>
      </c>
      <c r="AA25" s="455">
        <f t="shared" si="41"/>
        <v>0.2</v>
      </c>
      <c r="AB25" s="455">
        <f t="shared" si="41"/>
        <v>0</v>
      </c>
      <c r="AC25" s="455">
        <f t="shared" si="41"/>
        <v>0</v>
      </c>
      <c r="AD25" s="455">
        <f t="shared" ref="AD25:AE25" si="42">AD42+AD43</f>
        <v>0</v>
      </c>
      <c r="AE25" s="455">
        <f t="shared" si="42"/>
        <v>0</v>
      </c>
      <c r="AF25" s="455">
        <f t="shared" ref="AF25:AG25" si="43">AF42+AF43</f>
        <v>0</v>
      </c>
      <c r="AG25" s="455">
        <f t="shared" si="43"/>
        <v>0</v>
      </c>
      <c r="AH25" s="455">
        <f t="shared" ref="AH25:AJ25" si="44">AH42+AH43</f>
        <v>0</v>
      </c>
      <c r="AI25" s="455">
        <f t="shared" si="44"/>
        <v>0</v>
      </c>
      <c r="AJ25" s="455">
        <f t="shared" si="44"/>
        <v>0</v>
      </c>
      <c r="AK25" s="455">
        <f t="shared" ref="AK25:AN25" si="45">AK42+AK43</f>
        <v>0</v>
      </c>
      <c r="AL25" s="455">
        <f t="shared" si="45"/>
        <v>0</v>
      </c>
      <c r="AM25" s="455">
        <f t="shared" si="45"/>
        <v>0</v>
      </c>
      <c r="AN25" s="455">
        <f t="shared" si="45"/>
        <v>0</v>
      </c>
    </row>
    <row r="26" spans="2:40" x14ac:dyDescent="0.35">
      <c r="B26" s="635" t="s">
        <v>380</v>
      </c>
      <c r="C26" s="56"/>
      <c r="D26" s="469"/>
      <c r="E26" s="56"/>
      <c r="F26" s="57"/>
      <c r="G26" s="57"/>
      <c r="H26" s="365"/>
      <c r="I26" s="365"/>
      <c r="J26" s="365"/>
      <c r="K26" s="365"/>
      <c r="L26" s="365"/>
      <c r="M26" s="365"/>
      <c r="N26" s="57"/>
      <c r="O26" s="57">
        <f>O35</f>
        <v>12</v>
      </c>
      <c r="P26" s="57">
        <v>25</v>
      </c>
      <c r="Q26" s="57">
        <v>5</v>
      </c>
      <c r="R26" s="57">
        <v>5</v>
      </c>
      <c r="S26" s="57">
        <v>5</v>
      </c>
      <c r="T26" s="57">
        <f t="shared" ref="T26:AC26" si="46">T35</f>
        <v>0</v>
      </c>
      <c r="U26" s="57">
        <f t="shared" si="46"/>
        <v>0</v>
      </c>
      <c r="V26" s="57">
        <f t="shared" si="46"/>
        <v>0</v>
      </c>
      <c r="W26" s="508">
        <f t="shared" si="46"/>
        <v>0</v>
      </c>
      <c r="X26" s="57">
        <f t="shared" si="46"/>
        <v>0</v>
      </c>
      <c r="Y26" s="455">
        <f t="shared" si="46"/>
        <v>0</v>
      </c>
      <c r="Z26" s="455">
        <f t="shared" si="46"/>
        <v>0</v>
      </c>
      <c r="AA26" s="455">
        <f t="shared" si="46"/>
        <v>0</v>
      </c>
      <c r="AB26" s="455">
        <f t="shared" si="46"/>
        <v>0</v>
      </c>
      <c r="AC26" s="455">
        <f t="shared" si="46"/>
        <v>0</v>
      </c>
      <c r="AD26" s="455">
        <f t="shared" ref="AD26:AE26" si="47">AD35</f>
        <v>0</v>
      </c>
      <c r="AE26" s="455">
        <f t="shared" si="47"/>
        <v>0</v>
      </c>
      <c r="AF26" s="455">
        <f t="shared" ref="AF26:AG26" si="48">AF35</f>
        <v>0</v>
      </c>
      <c r="AG26" s="455">
        <f t="shared" si="48"/>
        <v>0</v>
      </c>
      <c r="AH26" s="455">
        <f t="shared" ref="AH26:AJ26" si="49">AH35</f>
        <v>0</v>
      </c>
      <c r="AI26" s="455">
        <f t="shared" si="49"/>
        <v>0</v>
      </c>
      <c r="AJ26" s="455">
        <f t="shared" si="49"/>
        <v>0</v>
      </c>
      <c r="AK26" s="455">
        <f t="shared" ref="AK26:AN26" si="50">AK35</f>
        <v>0</v>
      </c>
      <c r="AL26" s="455">
        <f t="shared" si="50"/>
        <v>0</v>
      </c>
      <c r="AM26" s="455">
        <f t="shared" si="50"/>
        <v>0</v>
      </c>
      <c r="AN26" s="455">
        <f t="shared" si="50"/>
        <v>0</v>
      </c>
    </row>
    <row r="27" spans="2:40" x14ac:dyDescent="0.35">
      <c r="B27" s="635" t="s">
        <v>1328</v>
      </c>
      <c r="C27" s="56"/>
      <c r="D27" s="469"/>
      <c r="E27" s="56"/>
      <c r="F27" s="57"/>
      <c r="G27" s="57"/>
      <c r="H27" s="365"/>
      <c r="I27" s="365"/>
      <c r="J27" s="365"/>
      <c r="K27" s="365"/>
      <c r="L27" s="365"/>
      <c r="M27" s="365"/>
      <c r="N27" s="57"/>
      <c r="O27" s="57"/>
      <c r="P27" s="57"/>
      <c r="Q27" s="57"/>
      <c r="R27" s="57"/>
      <c r="S27" s="619">
        <f>'IRA and CHIPS'!E198</f>
        <v>0</v>
      </c>
      <c r="T27" s="619">
        <f>'IRA and CHIPS'!F198</f>
        <v>2.3250000000000002</v>
      </c>
      <c r="U27" s="619">
        <f>'IRA and CHIPS'!G198</f>
        <v>2.3250000000000002</v>
      </c>
      <c r="V27" s="619">
        <f>'IRA and CHIPS'!H198</f>
        <v>2.3250000000000002</v>
      </c>
      <c r="W27" s="615">
        <f>'IRA and CHIPS'!I198</f>
        <v>2.3250000000000002</v>
      </c>
      <c r="X27" s="619">
        <f>'IRA and CHIPS'!J198</f>
        <v>5.5830000000000002</v>
      </c>
      <c r="Y27" s="628">
        <f>'IRA and CHIPS'!K198</f>
        <v>5.5830000000000002</v>
      </c>
      <c r="Z27" s="628">
        <f>'IRA and CHIPS'!L198</f>
        <v>5.5830000000000002</v>
      </c>
      <c r="AA27" s="628">
        <f>'IRA and CHIPS'!M198</f>
        <v>5.5830000000000002</v>
      </c>
      <c r="AB27" s="628">
        <f>'IRA and CHIPS'!N198</f>
        <v>8.0220000000000002</v>
      </c>
      <c r="AC27" s="628">
        <f>'IRA and CHIPS'!O198</f>
        <v>8.0220000000000002</v>
      </c>
      <c r="AD27" s="628">
        <f>'IRA and CHIPS'!P198</f>
        <v>0</v>
      </c>
      <c r="AE27" s="628">
        <f>'IRA and CHIPS'!Q198</f>
        <v>0</v>
      </c>
      <c r="AF27" s="628">
        <f>'IRA and CHIPS'!R198</f>
        <v>0</v>
      </c>
      <c r="AG27" s="628">
        <f>'IRA and CHIPS'!S198</f>
        <v>0</v>
      </c>
      <c r="AH27" s="628">
        <f>'IRA and CHIPS'!T198</f>
        <v>0</v>
      </c>
      <c r="AI27" s="628">
        <f>'IRA and CHIPS'!U198</f>
        <v>0</v>
      </c>
      <c r="AJ27" s="628">
        <f>'IRA and CHIPS'!V198</f>
        <v>0</v>
      </c>
      <c r="AK27" s="628">
        <f>'IRA and CHIPS'!W198</f>
        <v>0</v>
      </c>
      <c r="AL27" s="628">
        <f>'IRA and CHIPS'!X198</f>
        <v>0</v>
      </c>
      <c r="AM27" s="628">
        <f>'IRA and CHIPS'!Y198</f>
        <v>0</v>
      </c>
      <c r="AN27" s="628">
        <f>'IRA and CHIPS'!Z198</f>
        <v>0</v>
      </c>
    </row>
    <row r="28" spans="2:40" x14ac:dyDescent="0.35">
      <c r="B28" s="635" t="s">
        <v>1136</v>
      </c>
      <c r="C28" s="496"/>
      <c r="D28" s="494"/>
      <c r="E28" s="496"/>
      <c r="F28" s="501"/>
      <c r="G28" s="501"/>
      <c r="H28" s="605"/>
      <c r="I28" s="605"/>
      <c r="J28" s="605"/>
      <c r="K28" s="605"/>
      <c r="L28" s="605"/>
      <c r="M28" s="605"/>
      <c r="N28" s="501"/>
      <c r="O28" s="501"/>
      <c r="P28" s="501"/>
      <c r="Q28" s="501"/>
      <c r="R28" s="501"/>
      <c r="S28" s="620">
        <f>'IRA and CHIPS'!E187</f>
        <v>0</v>
      </c>
      <c r="T28" s="620">
        <f>'IRA and CHIPS'!F187</f>
        <v>1.2969999999999999</v>
      </c>
      <c r="U28" s="620">
        <f>'IRA and CHIPS'!G187</f>
        <v>1.2969999999999999</v>
      </c>
      <c r="V28" s="620">
        <f>'IRA and CHIPS'!H187</f>
        <v>1.2969999999999999</v>
      </c>
      <c r="W28" s="616">
        <f>'IRA and CHIPS'!I187</f>
        <v>1.2969999999999999</v>
      </c>
      <c r="X28" s="620">
        <f>'IRA and CHIPS'!J187</f>
        <v>3.8479999999999999</v>
      </c>
      <c r="Y28" s="636">
        <f>'IRA and CHIPS'!K187</f>
        <v>3.8479999999999999</v>
      </c>
      <c r="Z28" s="636">
        <f>'IRA and CHIPS'!L187</f>
        <v>3.8479999999999999</v>
      </c>
      <c r="AA28" s="636">
        <f>'IRA and CHIPS'!M187</f>
        <v>3.8479999999999999</v>
      </c>
      <c r="AB28" s="636">
        <f>'IRA and CHIPS'!N187</f>
        <v>6.4420000000000002</v>
      </c>
      <c r="AC28" s="636">
        <f>'IRA and CHIPS'!O187</f>
        <v>6.4420000000000002</v>
      </c>
      <c r="AD28" s="636">
        <f>'IRA and CHIPS'!P187</f>
        <v>6.4420000000000002</v>
      </c>
      <c r="AE28" s="636">
        <f>'IRA and CHIPS'!Q187</f>
        <v>6.4420000000000002</v>
      </c>
      <c r="AF28" s="636">
        <f>'IRA and CHIPS'!R187</f>
        <v>9.532</v>
      </c>
      <c r="AG28" s="636">
        <f>'IRA and CHIPS'!S187</f>
        <v>9.532</v>
      </c>
      <c r="AH28" s="636">
        <f>AG28</f>
        <v>9.532</v>
      </c>
      <c r="AI28" s="636">
        <f t="shared" ref="AI28:AJ28" si="51">AH28</f>
        <v>9.532</v>
      </c>
      <c r="AJ28" s="636">
        <f t="shared" si="51"/>
        <v>9.532</v>
      </c>
      <c r="AK28" s="636">
        <f t="shared" ref="AK28" si="52">AJ28</f>
        <v>9.532</v>
      </c>
      <c r="AL28" s="636">
        <f t="shared" ref="AL28" si="53">AK28</f>
        <v>9.532</v>
      </c>
      <c r="AM28" s="636">
        <f t="shared" ref="AM28" si="54">AL28</f>
        <v>9.532</v>
      </c>
      <c r="AN28" s="636">
        <f t="shared" ref="AN28" si="55">AM28</f>
        <v>9.532</v>
      </c>
    </row>
    <row r="29" spans="2:40" ht="15" customHeight="1" x14ac:dyDescent="0.35">
      <c r="B29" s="1461" t="s">
        <v>381</v>
      </c>
      <c r="C29" s="1462"/>
      <c r="D29" s="637"/>
      <c r="E29" s="613"/>
      <c r="F29" s="613"/>
      <c r="G29" s="613"/>
      <c r="H29" s="57"/>
      <c r="I29" s="57"/>
      <c r="J29" s="57"/>
      <c r="K29" s="57"/>
      <c r="L29" s="57"/>
      <c r="M29" s="57"/>
      <c r="N29" s="57"/>
      <c r="O29" s="57"/>
      <c r="P29" s="536"/>
      <c r="Q29" s="57"/>
      <c r="R29" s="57"/>
      <c r="S29" s="57"/>
      <c r="T29" s="57"/>
      <c r="U29" s="57"/>
      <c r="V29" s="618"/>
      <c r="W29" s="618"/>
      <c r="X29" s="618"/>
      <c r="Y29" s="622"/>
      <c r="Z29" s="622"/>
      <c r="AA29" s="622"/>
      <c r="AB29" s="622"/>
      <c r="AC29" s="622"/>
      <c r="AD29" s="353"/>
      <c r="AE29" s="629"/>
      <c r="AF29" s="629"/>
      <c r="AG29" s="353"/>
      <c r="AH29" s="353"/>
      <c r="AI29" s="353"/>
      <c r="AJ29" s="353"/>
      <c r="AK29" s="353"/>
      <c r="AL29" s="353"/>
      <c r="AM29" s="353"/>
      <c r="AN29" s="353"/>
    </row>
    <row r="30" spans="2:40" x14ac:dyDescent="0.35">
      <c r="B30" s="528" t="s">
        <v>382</v>
      </c>
      <c r="C30" s="399"/>
      <c r="D30" s="592"/>
      <c r="E30" s="399"/>
      <c r="F30" s="365"/>
      <c r="G30" s="365"/>
      <c r="H30" s="57"/>
      <c r="I30" s="57"/>
      <c r="J30" s="57"/>
      <c r="K30" s="57"/>
      <c r="L30" s="57"/>
      <c r="M30" s="57"/>
      <c r="N30" s="57">
        <f>SUM(N31:N35)</f>
        <v>23</v>
      </c>
      <c r="O30" s="57">
        <f>SUM(O31:O35)</f>
        <v>162</v>
      </c>
      <c r="P30" s="57"/>
      <c r="Q30" s="57"/>
      <c r="R30" s="57"/>
      <c r="S30" s="57"/>
      <c r="T30" s="57"/>
      <c r="U30" s="57"/>
      <c r="V30" s="44"/>
      <c r="W30" s="44"/>
      <c r="X30" s="44"/>
      <c r="Y30" s="353"/>
      <c r="Z30" s="353"/>
      <c r="AA30" s="353"/>
      <c r="AB30" s="353"/>
      <c r="AC30" s="353"/>
      <c r="AD30" s="353"/>
      <c r="AE30" s="629"/>
      <c r="AF30" s="629"/>
      <c r="AG30" s="353"/>
      <c r="AH30" s="353"/>
      <c r="AI30" s="353"/>
      <c r="AJ30" s="353"/>
      <c r="AK30" s="353"/>
      <c r="AL30" s="353"/>
      <c r="AM30" s="353"/>
      <c r="AN30" s="353"/>
    </row>
    <row r="31" spans="2:40" x14ac:dyDescent="0.35">
      <c r="B31" s="472" t="s">
        <v>383</v>
      </c>
      <c r="C31" s="399"/>
      <c r="D31" s="592"/>
      <c r="E31" s="399"/>
      <c r="F31" s="365"/>
      <c r="G31" s="365"/>
      <c r="H31" s="57"/>
      <c r="I31" s="57"/>
      <c r="J31" s="57"/>
      <c r="K31" s="57"/>
      <c r="L31" s="641"/>
      <c r="M31" s="57"/>
      <c r="N31" s="57">
        <f>(4*'Response and Relief Act Score'!$F$15-$M$19)/2</f>
        <v>11</v>
      </c>
      <c r="O31" s="57">
        <f>(4*'Response and Relief Act Score'!$F$15-$M$19)/2</f>
        <v>11</v>
      </c>
      <c r="P31" s="57"/>
      <c r="Q31" s="57"/>
      <c r="R31" s="57"/>
      <c r="S31" s="57"/>
      <c r="T31" s="57"/>
      <c r="U31" s="57"/>
      <c r="V31" s="44"/>
      <c r="W31" s="44"/>
      <c r="X31" s="44"/>
      <c r="Y31" s="353"/>
      <c r="Z31" s="353"/>
      <c r="AA31" s="353"/>
      <c r="AB31" s="353"/>
      <c r="AC31" s="353"/>
      <c r="AD31" s="353"/>
      <c r="AE31" s="629"/>
      <c r="AF31" s="629"/>
      <c r="AG31" s="353"/>
      <c r="AH31" s="353"/>
      <c r="AI31" s="353"/>
      <c r="AJ31" s="353"/>
      <c r="AK31" s="353"/>
      <c r="AL31" s="353"/>
      <c r="AM31" s="353"/>
      <c r="AN31" s="353"/>
    </row>
    <row r="32" spans="2:40" x14ac:dyDescent="0.35">
      <c r="B32" s="472" t="s">
        <v>380</v>
      </c>
      <c r="C32" s="399"/>
      <c r="D32" s="592"/>
      <c r="E32" s="399"/>
      <c r="F32" s="365"/>
      <c r="G32" s="365"/>
      <c r="H32" s="57"/>
      <c r="I32" s="57"/>
      <c r="J32" s="57"/>
      <c r="K32" s="57"/>
      <c r="L32" s="641"/>
      <c r="M32" s="57"/>
      <c r="N32" s="57"/>
      <c r="O32" s="57"/>
      <c r="P32" s="57"/>
      <c r="Q32" s="57"/>
      <c r="R32" s="57"/>
      <c r="S32" s="57"/>
      <c r="T32" s="57"/>
      <c r="U32" s="57"/>
      <c r="V32" s="44"/>
      <c r="W32" s="44"/>
      <c r="X32" s="44"/>
      <c r="Y32" s="353"/>
      <c r="Z32" s="353"/>
      <c r="AA32" s="353"/>
      <c r="AB32" s="353"/>
      <c r="AC32" s="353"/>
      <c r="AD32" s="353"/>
      <c r="AE32" s="629"/>
      <c r="AF32" s="629"/>
      <c r="AG32" s="353"/>
      <c r="AH32" s="353"/>
      <c r="AI32" s="353"/>
      <c r="AJ32" s="353"/>
      <c r="AK32" s="353"/>
      <c r="AL32" s="353"/>
      <c r="AM32" s="353"/>
      <c r="AN32" s="353"/>
    </row>
    <row r="33" spans="1:79" x14ac:dyDescent="0.35">
      <c r="B33" s="654" t="s">
        <v>377</v>
      </c>
      <c r="C33" s="399"/>
      <c r="D33" s="592"/>
      <c r="E33" s="399"/>
      <c r="F33" s="365"/>
      <c r="G33" s="365"/>
      <c r="H33" s="57"/>
      <c r="I33" s="57"/>
      <c r="J33" s="57"/>
      <c r="K33" s="57"/>
      <c r="L33" s="57"/>
      <c r="M33" s="57"/>
      <c r="N33" s="57"/>
      <c r="O33" s="57">
        <v>79</v>
      </c>
      <c r="P33" s="57"/>
      <c r="Q33" s="508"/>
      <c r="R33" s="508"/>
      <c r="S33" s="508"/>
      <c r="T33" s="508"/>
      <c r="U33" s="508"/>
      <c r="V33" s="44"/>
      <c r="W33" s="44"/>
      <c r="X33" s="44"/>
      <c r="Y33" s="353"/>
      <c r="Z33" s="353"/>
      <c r="AA33" s="353"/>
      <c r="AB33" s="353"/>
      <c r="AC33" s="353"/>
      <c r="AD33" s="353"/>
      <c r="AE33" s="629"/>
      <c r="AF33" s="629"/>
      <c r="AG33" s="353"/>
      <c r="AH33" s="353"/>
      <c r="AI33" s="353"/>
      <c r="AJ33" s="353"/>
      <c r="AK33" s="353"/>
      <c r="AL33" s="353"/>
      <c r="AM33" s="353"/>
      <c r="AN33" s="353"/>
    </row>
    <row r="34" spans="1:79" x14ac:dyDescent="0.35">
      <c r="B34" s="655" t="s">
        <v>384</v>
      </c>
      <c r="C34" s="399"/>
      <c r="D34" s="592"/>
      <c r="E34" s="399"/>
      <c r="F34" s="365"/>
      <c r="G34" s="365"/>
      <c r="H34" s="57"/>
      <c r="I34" s="57"/>
      <c r="J34" s="57"/>
      <c r="K34" s="57"/>
      <c r="L34" s="57"/>
      <c r="M34" s="57"/>
      <c r="N34" s="57"/>
      <c r="O34" s="57">
        <f>'Response and Relief Act Score'!F13*4</f>
        <v>60</v>
      </c>
      <c r="P34" s="57"/>
      <c r="Q34" s="508"/>
      <c r="R34" s="508"/>
      <c r="S34" s="508"/>
      <c r="T34" s="508"/>
      <c r="U34" s="508"/>
      <c r="V34" s="44"/>
      <c r="W34" s="44"/>
      <c r="X34" s="44"/>
      <c r="Y34" s="353"/>
      <c r="Z34" s="353"/>
      <c r="AA34" s="353"/>
      <c r="AB34" s="353"/>
      <c r="AC34" s="353"/>
      <c r="AD34" s="353"/>
      <c r="AE34" s="629"/>
      <c r="AF34" s="629"/>
      <c r="AG34" s="353"/>
      <c r="AH34" s="353"/>
      <c r="AI34" s="353"/>
      <c r="AJ34" s="353"/>
      <c r="AK34" s="353"/>
      <c r="AL34" s="353"/>
      <c r="AM34" s="353"/>
      <c r="AN34" s="353"/>
    </row>
    <row r="35" spans="1:79" ht="27.65" customHeight="1" x14ac:dyDescent="0.35">
      <c r="B35" s="655" t="s">
        <v>385</v>
      </c>
      <c r="C35" s="399"/>
      <c r="D35" s="639"/>
      <c r="E35" s="640"/>
      <c r="F35" s="605"/>
      <c r="G35" s="605"/>
      <c r="H35" s="501"/>
      <c r="I35" s="501"/>
      <c r="J35" s="501"/>
      <c r="K35" s="501"/>
      <c r="L35" s="645"/>
      <c r="M35" s="501"/>
      <c r="N35" s="501">
        <f>'Response and Relief Act Score'!F14*4/2</f>
        <v>12</v>
      </c>
      <c r="O35" s="501">
        <f>'Response and Relief Act Score'!F14*4/2</f>
        <v>12</v>
      </c>
      <c r="P35" s="501"/>
      <c r="Q35" s="501"/>
      <c r="R35" s="501"/>
      <c r="S35" s="501"/>
      <c r="T35" s="501"/>
      <c r="U35" s="57"/>
      <c r="V35" s="44"/>
      <c r="W35" s="44"/>
      <c r="X35" s="44"/>
      <c r="Y35" s="353"/>
      <c r="Z35" s="353"/>
      <c r="AA35" s="353"/>
      <c r="AB35" s="353"/>
      <c r="AC35" s="353"/>
      <c r="AD35" s="353"/>
      <c r="AE35" s="629"/>
      <c r="AF35" s="629"/>
      <c r="AG35" s="353"/>
      <c r="AH35" s="353"/>
      <c r="AI35" s="353"/>
      <c r="AJ35" s="353"/>
      <c r="AK35" s="353"/>
      <c r="AL35" s="353"/>
      <c r="AM35" s="353"/>
      <c r="AN35" s="353"/>
    </row>
    <row r="36" spans="1:79" ht="15" customHeight="1" x14ac:dyDescent="0.35">
      <c r="B36" s="1459" t="s">
        <v>386</v>
      </c>
      <c r="C36" s="1460"/>
      <c r="D36" s="592"/>
      <c r="E36" s="399"/>
      <c r="F36" s="365"/>
      <c r="G36" s="365"/>
      <c r="H36" s="57"/>
      <c r="I36" s="57"/>
      <c r="J36" s="57"/>
      <c r="K36" s="57"/>
      <c r="L36" s="641"/>
      <c r="M36" s="57"/>
      <c r="N36" s="57"/>
      <c r="O36" s="57"/>
      <c r="P36" s="57"/>
      <c r="Q36" s="57"/>
      <c r="R36" s="57"/>
      <c r="S36" s="57"/>
      <c r="T36" s="614"/>
      <c r="U36" s="624"/>
      <c r="V36" s="618"/>
      <c r="W36" s="618"/>
      <c r="X36" s="618"/>
      <c r="Y36" s="622"/>
      <c r="Z36" s="622"/>
      <c r="AA36" s="622"/>
      <c r="AB36" s="622"/>
      <c r="AC36" s="622"/>
      <c r="AD36" s="353"/>
      <c r="AE36" s="629"/>
      <c r="AF36" s="629"/>
      <c r="AG36" s="353"/>
      <c r="AH36" s="353"/>
      <c r="AI36" s="353"/>
      <c r="AJ36" s="353"/>
      <c r="AK36" s="353"/>
      <c r="AL36" s="353"/>
      <c r="AM36" s="353"/>
      <c r="AN36" s="353"/>
    </row>
    <row r="37" spans="1:79" ht="13.5" customHeight="1" x14ac:dyDescent="0.35">
      <c r="B37" s="655" t="s">
        <v>131</v>
      </c>
      <c r="C37" s="399"/>
      <c r="D37" s="592"/>
      <c r="E37" s="399"/>
      <c r="F37" s="365"/>
      <c r="G37" s="365"/>
      <c r="H37" s="57"/>
      <c r="I37" s="57"/>
      <c r="J37" s="57"/>
      <c r="K37" s="57"/>
      <c r="L37" s="641"/>
      <c r="M37" s="57">
        <f>'ARP Quarterly'!C18</f>
        <v>0</v>
      </c>
      <c r="N37" s="57">
        <f>'ARP Quarterly'!D18</f>
        <v>2.2132800000000001</v>
      </c>
      <c r="O37" s="57">
        <f>'ARP Quarterly'!E18</f>
        <v>10.082720000000002</v>
      </c>
      <c r="P37" s="57">
        <f>'ARP Quarterly'!F18</f>
        <v>7.1439999999999992</v>
      </c>
      <c r="Q37" s="57">
        <f>'ARP Quarterly'!G18</f>
        <v>7.1439999999999992</v>
      </c>
      <c r="R37" s="57">
        <f>'ARP Quarterly'!H18</f>
        <v>7.1439999999999992</v>
      </c>
      <c r="S37" s="57">
        <f>'ARP Quarterly'!I18</f>
        <v>7.1439999999999992</v>
      </c>
      <c r="T37" s="57">
        <f>'ARP Quarterly'!J18</f>
        <v>0</v>
      </c>
      <c r="U37" s="57">
        <f>'ARP Quarterly'!K18</f>
        <v>0</v>
      </c>
      <c r="V37" s="57">
        <f>'ARP Quarterly'!L18</f>
        <v>0</v>
      </c>
      <c r="W37" s="57">
        <f>'ARP Quarterly'!M18</f>
        <v>0</v>
      </c>
      <c r="X37" s="57">
        <f>'ARP Quarterly'!N18</f>
        <v>0</v>
      </c>
      <c r="Y37" s="455">
        <f>'ARP Quarterly'!O18</f>
        <v>0</v>
      </c>
      <c r="Z37" s="455">
        <f>'ARP Quarterly'!P18</f>
        <v>0</v>
      </c>
      <c r="AA37" s="455">
        <f>'ARP Quarterly'!Q18</f>
        <v>0</v>
      </c>
      <c r="AB37" s="455">
        <f>'ARP Quarterly'!R18</f>
        <v>0</v>
      </c>
      <c r="AC37" s="455">
        <f>'ARP Quarterly'!S18</f>
        <v>0</v>
      </c>
      <c r="AD37" s="353"/>
      <c r="AE37" s="629"/>
      <c r="AF37" s="629"/>
      <c r="AG37" s="353"/>
      <c r="AH37" s="353"/>
      <c r="AI37" s="353"/>
      <c r="AJ37" s="353"/>
      <c r="AK37" s="353"/>
      <c r="AL37" s="353"/>
      <c r="AM37" s="353"/>
      <c r="AN37" s="353"/>
    </row>
    <row r="38" spans="1:79" x14ac:dyDescent="0.35">
      <c r="B38" s="655" t="s">
        <v>387</v>
      </c>
      <c r="C38" s="399"/>
      <c r="D38" s="592"/>
      <c r="E38" s="399"/>
      <c r="F38" s="365"/>
      <c r="G38" s="365"/>
      <c r="H38" s="57"/>
      <c r="I38" s="57"/>
      <c r="J38" s="57"/>
      <c r="K38" s="57"/>
      <c r="L38" s="641"/>
      <c r="M38" s="57">
        <f>'ARP Quarterly'!C19</f>
        <v>0</v>
      </c>
      <c r="N38" s="57">
        <f>'ARP Quarterly'!D19</f>
        <v>15.128640000000001</v>
      </c>
      <c r="O38" s="57">
        <f>'ARP Quarterly'!E19</f>
        <v>68.919360000000012</v>
      </c>
      <c r="P38" s="57">
        <f>'ARP Quarterly'!F19</f>
        <v>5.6120000000000001</v>
      </c>
      <c r="Q38" s="57">
        <f>'ARP Quarterly'!G19</f>
        <v>5.6120000000000001</v>
      </c>
      <c r="R38" s="57">
        <f>'ARP Quarterly'!H19</f>
        <v>5.6120000000000001</v>
      </c>
      <c r="S38" s="57">
        <f>'ARP Quarterly'!I19</f>
        <v>5.6120000000000001</v>
      </c>
      <c r="T38" s="57">
        <f>'ARP Quarterly'!J19</f>
        <v>0.48599999999999993</v>
      </c>
      <c r="U38" s="57">
        <f>'ARP Quarterly'!K19</f>
        <v>0.48599999999999993</v>
      </c>
      <c r="V38" s="57">
        <f>'ARP Quarterly'!L19</f>
        <v>0.48599999999999993</v>
      </c>
      <c r="W38" s="57">
        <f>'ARP Quarterly'!M19</f>
        <v>0.48599999999999993</v>
      </c>
      <c r="X38" s="57">
        <f>'ARP Quarterly'!N19</f>
        <v>0</v>
      </c>
      <c r="Y38" s="455">
        <f>'ARP Quarterly'!O19</f>
        <v>0</v>
      </c>
      <c r="Z38" s="455">
        <f>'ARP Quarterly'!P19</f>
        <v>0</v>
      </c>
      <c r="AA38" s="455">
        <f>'ARP Quarterly'!Q19</f>
        <v>0</v>
      </c>
      <c r="AB38" s="455">
        <f>'ARP Quarterly'!R19</f>
        <v>0</v>
      </c>
      <c r="AC38" s="455">
        <f>'ARP Quarterly'!S19</f>
        <v>0</v>
      </c>
      <c r="AD38" s="353"/>
      <c r="AE38" s="629"/>
      <c r="AF38" s="629"/>
      <c r="AG38" s="353"/>
      <c r="AH38" s="353"/>
      <c r="AI38" s="353"/>
      <c r="AJ38" s="353"/>
      <c r="AK38" s="353"/>
      <c r="AL38" s="353"/>
      <c r="AM38" s="353"/>
      <c r="AN38" s="353"/>
    </row>
    <row r="39" spans="1:79" x14ac:dyDescent="0.35">
      <c r="B39" s="655" t="s">
        <v>136</v>
      </c>
      <c r="C39" s="399"/>
      <c r="D39" s="592"/>
      <c r="E39" s="399"/>
      <c r="F39" s="365"/>
      <c r="G39" s="365"/>
      <c r="H39" s="57"/>
      <c r="I39" s="57"/>
      <c r="J39" s="57"/>
      <c r="K39" s="57"/>
      <c r="L39" s="641"/>
      <c r="M39" s="57">
        <f>'ARP Quarterly'!C20</f>
        <v>0</v>
      </c>
      <c r="N39" s="57">
        <f>'ARP Quarterly'!D20</f>
        <v>3.2479199999999997</v>
      </c>
      <c r="O39" s="57">
        <f>'ARP Quarterly'!E20</f>
        <v>14.796080000000002</v>
      </c>
      <c r="P39" s="57">
        <f>'ARP Quarterly'!F20</f>
        <v>1.7329999999999999</v>
      </c>
      <c r="Q39" s="57">
        <f>'ARP Quarterly'!G20</f>
        <v>1.7329999999999999</v>
      </c>
      <c r="R39" s="57">
        <f>'ARP Quarterly'!H20</f>
        <v>1.7329999999999999</v>
      </c>
      <c r="S39" s="57">
        <f>'ARP Quarterly'!I20</f>
        <v>1.7329999999999999</v>
      </c>
      <c r="T39" s="57">
        <f>'ARP Quarterly'!J20</f>
        <v>0</v>
      </c>
      <c r="U39" s="57">
        <f>'ARP Quarterly'!K20</f>
        <v>0</v>
      </c>
      <c r="V39" s="57">
        <f>'ARP Quarterly'!L20</f>
        <v>0</v>
      </c>
      <c r="W39" s="57">
        <f>'ARP Quarterly'!M20</f>
        <v>0</v>
      </c>
      <c r="X39" s="57">
        <f>'ARP Quarterly'!N20</f>
        <v>0</v>
      </c>
      <c r="Y39" s="455">
        <f>'ARP Quarterly'!O20</f>
        <v>0</v>
      </c>
      <c r="Z39" s="455">
        <f>'ARP Quarterly'!P20</f>
        <v>0</v>
      </c>
      <c r="AA39" s="455">
        <f>'ARP Quarterly'!Q20</f>
        <v>0</v>
      </c>
      <c r="AB39" s="455">
        <f>'ARP Quarterly'!R20</f>
        <v>0</v>
      </c>
      <c r="AC39" s="455">
        <f>'ARP Quarterly'!S20</f>
        <v>0</v>
      </c>
      <c r="AD39" s="353"/>
      <c r="AE39" s="629"/>
      <c r="AF39" s="629"/>
      <c r="AG39" s="353"/>
      <c r="AH39" s="353"/>
      <c r="AI39" s="353"/>
      <c r="AJ39" s="353"/>
      <c r="AK39" s="353"/>
      <c r="AL39" s="353"/>
      <c r="AM39" s="353"/>
      <c r="AN39" s="353"/>
    </row>
    <row r="40" spans="1:79" x14ac:dyDescent="0.35">
      <c r="B40" s="655" t="s">
        <v>377</v>
      </c>
      <c r="C40" s="399"/>
      <c r="D40" s="592"/>
      <c r="E40" s="399"/>
      <c r="F40" s="365"/>
      <c r="G40" s="365"/>
      <c r="H40" s="57"/>
      <c r="I40" s="57"/>
      <c r="J40" s="57"/>
      <c r="K40" s="57"/>
      <c r="L40" s="641"/>
      <c r="M40" s="57">
        <f>'ARP Quarterly'!C21</f>
        <v>0</v>
      </c>
      <c r="N40" s="57">
        <f>'ARP Quarterly'!D21</f>
        <v>13.2921</v>
      </c>
      <c r="O40" s="57">
        <f>'ARP Quarterly'!E21</f>
        <v>60.552900000000008</v>
      </c>
      <c r="P40" s="57">
        <f>'ARP Quarterly'!F21</f>
        <v>1.0687500000000001</v>
      </c>
      <c r="Q40" s="57">
        <f>'ARP Quarterly'!G21</f>
        <v>1.0687500000000001</v>
      </c>
      <c r="R40" s="57">
        <f>'ARP Quarterly'!H21</f>
        <v>1.0687500000000001</v>
      </c>
      <c r="S40" s="57">
        <f>'ARP Quarterly'!I21</f>
        <v>1.0687500000000001</v>
      </c>
      <c r="T40" s="57">
        <f>'ARP Quarterly'!J21</f>
        <v>0.78750000000000009</v>
      </c>
      <c r="U40" s="57">
        <f>'ARP Quarterly'!K21</f>
        <v>0.78750000000000009</v>
      </c>
      <c r="V40" s="57">
        <f>'ARP Quarterly'!L21</f>
        <v>0.78750000000000009</v>
      </c>
      <c r="W40" s="57">
        <f>'ARP Quarterly'!M21</f>
        <v>0.78750000000000009</v>
      </c>
      <c r="X40" s="57">
        <f>'ARP Quarterly'!N21</f>
        <v>0</v>
      </c>
      <c r="Y40" s="455">
        <f>'ARP Quarterly'!O21</f>
        <v>0</v>
      </c>
      <c r="Z40" s="455">
        <f>'ARP Quarterly'!P21</f>
        <v>0</v>
      </c>
      <c r="AA40" s="455">
        <f>'ARP Quarterly'!Q21</f>
        <v>0</v>
      </c>
      <c r="AB40" s="455">
        <f>'ARP Quarterly'!R21</f>
        <v>0</v>
      </c>
      <c r="AC40" s="455">
        <f>'ARP Quarterly'!S21</f>
        <v>0</v>
      </c>
      <c r="AD40" s="353"/>
      <c r="AE40" s="629"/>
      <c r="AF40" s="629"/>
      <c r="AG40" s="353"/>
      <c r="AH40" s="353"/>
      <c r="AI40" s="353"/>
      <c r="AJ40" s="353"/>
      <c r="AK40" s="353"/>
      <c r="AL40" s="353"/>
      <c r="AM40" s="353"/>
      <c r="AN40" s="353"/>
    </row>
    <row r="41" spans="1:79" ht="30" customHeight="1" x14ac:dyDescent="0.35">
      <c r="B41" s="655" t="s">
        <v>388</v>
      </c>
      <c r="C41" s="399"/>
      <c r="D41" s="592"/>
      <c r="E41" s="399"/>
      <c r="F41" s="365"/>
      <c r="G41" s="365"/>
      <c r="H41" s="57"/>
      <c r="I41" s="57"/>
      <c r="J41" s="57"/>
      <c r="K41" s="57"/>
      <c r="L41" s="641"/>
      <c r="M41" s="57">
        <f>'ARP Quarterly'!C22</f>
        <v>0</v>
      </c>
      <c r="N41" s="57">
        <f>'ARP Quarterly'!D22</f>
        <v>22.153499999999998</v>
      </c>
      <c r="O41" s="57">
        <f>'ARP Quarterly'!E22</f>
        <v>100.92150000000002</v>
      </c>
      <c r="P41" s="57">
        <f>'ARP Quarterly'!F22</f>
        <v>1.7812500000000002</v>
      </c>
      <c r="Q41" s="57">
        <f>'ARP Quarterly'!G22</f>
        <v>1.7812500000000002</v>
      </c>
      <c r="R41" s="57">
        <f>'ARP Quarterly'!H22</f>
        <v>1.7812500000000002</v>
      </c>
      <c r="S41" s="57">
        <f>'ARP Quarterly'!I22</f>
        <v>1.7812500000000002</v>
      </c>
      <c r="T41" s="57">
        <f>'ARP Quarterly'!J22</f>
        <v>1.3125000000000002</v>
      </c>
      <c r="U41" s="57">
        <f>'ARP Quarterly'!K22</f>
        <v>1.3125000000000002</v>
      </c>
      <c r="V41" s="57">
        <f>'ARP Quarterly'!L22</f>
        <v>1.3125000000000002</v>
      </c>
      <c r="W41" s="57">
        <f>'ARP Quarterly'!M22</f>
        <v>1.3125000000000002</v>
      </c>
      <c r="X41" s="57">
        <f>'ARP Quarterly'!N22</f>
        <v>0</v>
      </c>
      <c r="Y41" s="455">
        <f>'ARP Quarterly'!O22</f>
        <v>0</v>
      </c>
      <c r="Z41" s="455">
        <f>'ARP Quarterly'!P22</f>
        <v>0</v>
      </c>
      <c r="AA41" s="455">
        <f>'ARP Quarterly'!Q22</f>
        <v>0</v>
      </c>
      <c r="AB41" s="455">
        <f>'ARP Quarterly'!R22</f>
        <v>0</v>
      </c>
      <c r="AC41" s="455">
        <f>'ARP Quarterly'!S22</f>
        <v>0</v>
      </c>
      <c r="AD41" s="353"/>
      <c r="AE41" s="629"/>
      <c r="AF41" s="629"/>
      <c r="AG41" s="353"/>
      <c r="AH41" s="353"/>
      <c r="AI41" s="353"/>
      <c r="AJ41" s="353"/>
      <c r="AK41" s="353"/>
      <c r="AL41" s="353"/>
      <c r="AM41" s="353"/>
      <c r="AN41" s="353"/>
    </row>
    <row r="42" spans="1:79" x14ac:dyDescent="0.35">
      <c r="B42" s="655" t="s">
        <v>389</v>
      </c>
      <c r="C42" s="399"/>
      <c r="D42" s="592"/>
      <c r="E42" s="399"/>
      <c r="F42" s="365"/>
      <c r="G42" s="365"/>
      <c r="H42" s="57"/>
      <c r="I42" s="57"/>
      <c r="J42" s="57"/>
      <c r="K42" s="57"/>
      <c r="L42" s="641"/>
      <c r="M42" s="57">
        <f>'ARP Quarterly'!C23</f>
        <v>0</v>
      </c>
      <c r="N42" s="57">
        <f>'ARP Quarterly'!D23</f>
        <v>2.9519999999999995</v>
      </c>
      <c r="O42" s="57">
        <f>'ARP Quarterly'!E23</f>
        <v>13.448</v>
      </c>
      <c r="P42" s="57">
        <f>'ARP Quarterly'!F23</f>
        <v>11.3</v>
      </c>
      <c r="Q42" s="57">
        <f>'ARP Quarterly'!G23</f>
        <v>11.3</v>
      </c>
      <c r="R42" s="57">
        <f>'ARP Quarterly'!H23</f>
        <v>11.3</v>
      </c>
      <c r="S42" s="57">
        <f>'ARP Quarterly'!I23</f>
        <v>11.3</v>
      </c>
      <c r="T42" s="57">
        <f>'ARP Quarterly'!J23</f>
        <v>8.4</v>
      </c>
      <c r="U42" s="57">
        <f>'ARP Quarterly'!K23</f>
        <v>8.4</v>
      </c>
      <c r="V42" s="57">
        <f>'ARP Quarterly'!L23</f>
        <v>8.4</v>
      </c>
      <c r="W42" s="57">
        <f>'ARP Quarterly'!M23</f>
        <v>8.4</v>
      </c>
      <c r="X42" s="57">
        <f>'ARP Quarterly'!N23</f>
        <v>0.2</v>
      </c>
      <c r="Y42" s="455">
        <f>'ARP Quarterly'!O23</f>
        <v>0.2</v>
      </c>
      <c r="Z42" s="455">
        <f>'ARP Quarterly'!P23</f>
        <v>0.2</v>
      </c>
      <c r="AA42" s="455">
        <f>'ARP Quarterly'!Q23</f>
        <v>0.2</v>
      </c>
      <c r="AB42" s="455">
        <f>'ARP Quarterly'!R23</f>
        <v>0</v>
      </c>
      <c r="AC42" s="455">
        <f>'ARP Quarterly'!S23</f>
        <v>0</v>
      </c>
      <c r="AD42" s="353"/>
      <c r="AE42" s="629"/>
      <c r="AF42" s="629"/>
      <c r="AG42" s="353"/>
      <c r="AH42" s="353"/>
      <c r="AI42" s="353"/>
      <c r="AJ42" s="353"/>
      <c r="AK42" s="353"/>
      <c r="AL42" s="353"/>
      <c r="AM42" s="353"/>
      <c r="AN42" s="353"/>
    </row>
    <row r="43" spans="1:79" x14ac:dyDescent="0.35">
      <c r="B43" s="655" t="s">
        <v>390</v>
      </c>
      <c r="C43" s="399"/>
      <c r="D43" s="592"/>
      <c r="E43" s="399"/>
      <c r="F43" s="365"/>
      <c r="G43" s="365"/>
      <c r="H43" s="57"/>
      <c r="I43" s="57"/>
      <c r="J43" s="57"/>
      <c r="K43" s="57"/>
      <c r="L43" s="641"/>
      <c r="M43" s="57">
        <f>'ARP Quarterly'!C24</f>
        <v>0</v>
      </c>
      <c r="N43" s="57">
        <f>'ARP Quarterly'!D24</f>
        <v>-0.20447999999999997</v>
      </c>
      <c r="O43" s="57">
        <f>'ARP Quarterly'!E24</f>
        <v>-0.93152000000000001</v>
      </c>
      <c r="P43" s="57">
        <v>0</v>
      </c>
      <c r="Q43" s="57">
        <v>0</v>
      </c>
      <c r="R43" s="57">
        <v>0</v>
      </c>
      <c r="S43" s="57">
        <v>0</v>
      </c>
      <c r="T43" s="57">
        <v>0</v>
      </c>
      <c r="U43" s="57">
        <v>0</v>
      </c>
      <c r="V43" s="57">
        <v>0</v>
      </c>
      <c r="W43" s="57">
        <v>0</v>
      </c>
      <c r="X43" s="57">
        <v>0</v>
      </c>
      <c r="Y43" s="455">
        <v>0</v>
      </c>
      <c r="Z43" s="455">
        <v>0</v>
      </c>
      <c r="AA43" s="455">
        <v>0</v>
      </c>
      <c r="AB43" s="455">
        <v>0</v>
      </c>
      <c r="AC43" s="455">
        <v>0</v>
      </c>
      <c r="AD43" s="353"/>
      <c r="AE43" s="629"/>
      <c r="AF43" s="629"/>
      <c r="AG43" s="353"/>
      <c r="AH43" s="353"/>
      <c r="AI43" s="353"/>
      <c r="AJ43" s="353"/>
      <c r="AK43" s="353"/>
      <c r="AL43" s="353"/>
      <c r="AM43" s="353"/>
      <c r="AN43" s="353"/>
    </row>
    <row r="44" spans="1:79" x14ac:dyDescent="0.35">
      <c r="B44" s="655" t="s">
        <v>278</v>
      </c>
      <c r="C44" s="399"/>
      <c r="D44" s="639"/>
      <c r="E44" s="640"/>
      <c r="F44" s="605"/>
      <c r="G44" s="605"/>
      <c r="H44" s="501"/>
      <c r="I44" s="501"/>
      <c r="J44" s="501"/>
      <c r="K44" s="501"/>
      <c r="L44" s="645"/>
      <c r="M44" s="501">
        <f>'ARP Quarterly'!C25</f>
        <v>0</v>
      </c>
      <c r="N44" s="501">
        <f>'ARP Quarterly'!D25</f>
        <v>58.782959999999996</v>
      </c>
      <c r="O44" s="501">
        <f>'ARP Quarterly'!E25</f>
        <v>267.78904000000006</v>
      </c>
      <c r="P44" s="501">
        <f>'ARP Quarterly'!F25</f>
        <v>110.24799999999999</v>
      </c>
      <c r="Q44" s="501">
        <f>'ARP Quarterly'!G25</f>
        <v>110.24799999999999</v>
      </c>
      <c r="R44" s="501">
        <f>'ARP Quarterly'!H25</f>
        <v>110.24799999999999</v>
      </c>
      <c r="S44" s="501">
        <f>'ARP Quarterly'!I25</f>
        <v>110.24799999999999</v>
      </c>
      <c r="T44" s="501">
        <f>'ARP Quarterly'!J25</f>
        <v>12.362</v>
      </c>
      <c r="U44" s="57">
        <f>'ARP Quarterly'!K25</f>
        <v>12.362</v>
      </c>
      <c r="V44" s="57">
        <f>'ARP Quarterly'!L25</f>
        <v>12.362</v>
      </c>
      <c r="W44" s="57">
        <f>'ARP Quarterly'!M25</f>
        <v>12.362</v>
      </c>
      <c r="X44" s="57">
        <f>'ARP Quarterly'!N25</f>
        <v>-0.67500000000000004</v>
      </c>
      <c r="Y44" s="455">
        <f>'ARP Quarterly'!O25</f>
        <v>-0.67500000000000004</v>
      </c>
      <c r="Z44" s="455">
        <f>'ARP Quarterly'!P25</f>
        <v>-0.67500000000000004</v>
      </c>
      <c r="AA44" s="455">
        <f>'ARP Quarterly'!Q25</f>
        <v>-0.67500000000000004</v>
      </c>
      <c r="AB44" s="455">
        <f>'ARP Quarterly'!R25</f>
        <v>0</v>
      </c>
      <c r="AC44" s="455">
        <f>'ARP Quarterly'!S25</f>
        <v>0</v>
      </c>
      <c r="AD44" s="353"/>
      <c r="AE44" s="629"/>
      <c r="AF44" s="629"/>
      <c r="AG44" s="353"/>
      <c r="AH44" s="353"/>
      <c r="AI44" s="353"/>
      <c r="AJ44" s="353"/>
      <c r="AK44" s="353"/>
      <c r="AL44" s="353"/>
      <c r="AM44" s="353"/>
      <c r="AN44" s="353"/>
    </row>
    <row r="45" spans="1:79" ht="15" customHeight="1" x14ac:dyDescent="0.35">
      <c r="B45" s="1459" t="s">
        <v>391</v>
      </c>
      <c r="C45" s="1460"/>
      <c r="D45" s="638"/>
      <c r="E45" s="75"/>
      <c r="F45" s="365"/>
      <c r="G45" s="365"/>
      <c r="H45" s="57"/>
      <c r="I45" s="57"/>
      <c r="J45" s="57"/>
      <c r="K45" s="57"/>
      <c r="L45" s="641"/>
      <c r="M45" s="57"/>
      <c r="N45" s="57"/>
      <c r="O45" s="57"/>
      <c r="P45" s="57"/>
      <c r="Q45" s="57"/>
      <c r="R45" s="57"/>
      <c r="S45" s="57"/>
      <c r="T45" s="57"/>
      <c r="U45" s="624"/>
      <c r="V45" s="618"/>
      <c r="W45" s="618"/>
      <c r="X45" s="618"/>
      <c r="Y45" s="622"/>
      <c r="Z45" s="622"/>
      <c r="AA45" s="622"/>
      <c r="AB45" s="622"/>
      <c r="AC45" s="622"/>
      <c r="AD45" s="353"/>
      <c r="AE45" s="629"/>
      <c r="AF45" s="629"/>
      <c r="AG45" s="353"/>
      <c r="AH45" s="353"/>
      <c r="AI45" s="353"/>
      <c r="AJ45" s="353"/>
      <c r="AK45" s="353"/>
      <c r="AL45" s="353"/>
      <c r="AM45" s="353"/>
      <c r="AN45" s="353"/>
    </row>
    <row r="46" spans="1:79" ht="21" customHeight="1" x14ac:dyDescent="0.35">
      <c r="B46" s="532" t="s">
        <v>392</v>
      </c>
      <c r="C46" s="642"/>
      <c r="D46" s="532"/>
      <c r="E46" s="642"/>
      <c r="F46" s="604"/>
      <c r="G46" s="604"/>
      <c r="H46" s="625"/>
      <c r="I46" s="625"/>
      <c r="J46" s="625"/>
      <c r="K46" s="625"/>
      <c r="L46" s="643"/>
      <c r="M46" s="625">
        <f>'ARP Quarterly'!C6</f>
        <v>0</v>
      </c>
      <c r="N46" s="625">
        <f>'ARP Quarterly'!D6</f>
        <v>58.782959999999989</v>
      </c>
      <c r="O46" s="625">
        <f>'ARP Quarterly'!E6</f>
        <v>267.78904</v>
      </c>
      <c r="P46" s="625">
        <f>'ARP Quarterly'!F6</f>
        <v>110.24799999999999</v>
      </c>
      <c r="Q46" s="625">
        <f>'ARP Quarterly'!G6</f>
        <v>110.24799999999999</v>
      </c>
      <c r="R46" s="625">
        <f>'ARP Quarterly'!H6</f>
        <v>110.24799999999999</v>
      </c>
      <c r="S46" s="625">
        <f>'ARP Quarterly'!I6</f>
        <v>110.24799999999999</v>
      </c>
      <c r="T46" s="625">
        <f>'ARP Quarterly'!J6</f>
        <v>12.726000000000001</v>
      </c>
      <c r="U46" s="625">
        <f>'ARP Quarterly'!K6</f>
        <v>12.726000000000001</v>
      </c>
      <c r="V46" s="625">
        <f>'ARP Quarterly'!L6</f>
        <v>12.726000000000001</v>
      </c>
      <c r="W46" s="625">
        <f>'ARP Quarterly'!M6</f>
        <v>12.726000000000001</v>
      </c>
      <c r="X46" s="625">
        <f>'ARP Quarterly'!N6</f>
        <v>1.365</v>
      </c>
      <c r="Y46" s="623">
        <f>'ARP Quarterly'!O6</f>
        <v>1.365</v>
      </c>
      <c r="Z46" s="623">
        <f>'ARP Quarterly'!P6</f>
        <v>1.365</v>
      </c>
      <c r="AA46" s="623">
        <f>'ARP Quarterly'!Q6</f>
        <v>1.365</v>
      </c>
      <c r="AB46" s="623">
        <f>'ARP Quarterly'!R6</f>
        <v>-0.90100000000000025</v>
      </c>
      <c r="AC46" s="623">
        <f>'ARP Quarterly'!S6</f>
        <v>-0.90100000000000025</v>
      </c>
      <c r="AD46" s="623">
        <f>'ARP Quarterly'!T6</f>
        <v>-0.90100000000000025</v>
      </c>
      <c r="AE46" s="623">
        <f>'ARP Quarterly'!U6</f>
        <v>-0.90100000000000025</v>
      </c>
      <c r="AF46" s="623">
        <f>'ARP Quarterly'!V6</f>
        <v>-2.1500000000000004</v>
      </c>
      <c r="AG46" s="621">
        <v>0</v>
      </c>
      <c r="AH46" s="621">
        <v>0</v>
      </c>
      <c r="AI46" s="621">
        <v>0</v>
      </c>
      <c r="AJ46" s="621">
        <v>0</v>
      </c>
      <c r="AK46" s="621">
        <v>0</v>
      </c>
      <c r="AL46" s="621">
        <v>0</v>
      </c>
      <c r="AM46" s="621">
        <v>0</v>
      </c>
      <c r="AN46" s="621">
        <v>0</v>
      </c>
    </row>
    <row r="47" spans="1:79" ht="19.5" customHeight="1" x14ac:dyDescent="0.35">
      <c r="A47" s="617"/>
      <c r="B47" s="650" t="s">
        <v>187</v>
      </c>
      <c r="C47" s="651"/>
      <c r="D47" s="650"/>
      <c r="E47" s="651"/>
      <c r="F47" s="626">
        <f>F11-F46</f>
        <v>60.5</v>
      </c>
      <c r="G47" s="626">
        <f>G11-G46</f>
        <v>81.400000000000006</v>
      </c>
      <c r="H47" s="626">
        <f t="shared" ref="H47:AE47" si="56">H11-H46</f>
        <v>82.1</v>
      </c>
      <c r="I47" s="626">
        <f>I11-I46</f>
        <v>80</v>
      </c>
      <c r="J47" s="626">
        <f t="shared" si="56"/>
        <v>1031.8</v>
      </c>
      <c r="K47" s="626">
        <f t="shared" si="56"/>
        <v>1163.3</v>
      </c>
      <c r="L47" s="626">
        <f>L11-L46</f>
        <v>516.4</v>
      </c>
      <c r="M47" s="626">
        <f>M11-M46</f>
        <v>534.29999999999995</v>
      </c>
      <c r="N47" s="626">
        <f t="shared" si="56"/>
        <v>779.41704000000004</v>
      </c>
      <c r="O47" s="626">
        <f>O11-O46</f>
        <v>421.91096000000005</v>
      </c>
      <c r="P47" s="626">
        <f>P11-P46</f>
        <v>319.452</v>
      </c>
      <c r="Q47" s="626">
        <f t="shared" si="56"/>
        <v>40.75200000000001</v>
      </c>
      <c r="R47" s="626">
        <f t="shared" si="56"/>
        <v>19.152000000000015</v>
      </c>
      <c r="S47" s="626">
        <f t="shared" si="56"/>
        <v>8.1520000000000152</v>
      </c>
      <c r="T47" s="626">
        <f t="shared" si="56"/>
        <v>97.774000000000001</v>
      </c>
      <c r="U47" s="626">
        <f t="shared" si="56"/>
        <v>90.674000000000007</v>
      </c>
      <c r="V47" s="626">
        <f>V11-V46</f>
        <v>88.573999999999998</v>
      </c>
      <c r="W47" s="626">
        <f t="shared" si="56"/>
        <v>90.774000000000001</v>
      </c>
      <c r="X47" s="626">
        <f>X11-X46</f>
        <v>96.635000000000005</v>
      </c>
      <c r="Y47" s="653">
        <f t="shared" si="56"/>
        <v>93.635000000000005</v>
      </c>
      <c r="Z47" s="653">
        <f t="shared" si="56"/>
        <v>91.635000000000005</v>
      </c>
      <c r="AA47" s="653">
        <f t="shared" si="56"/>
        <v>90.734999999999999</v>
      </c>
      <c r="AB47" s="653">
        <f t="shared" si="56"/>
        <v>94.900999999999996</v>
      </c>
      <c r="AC47" s="653">
        <f>AC11-AC46</f>
        <v>107.901</v>
      </c>
      <c r="AD47" s="653">
        <f>AD11-AD46</f>
        <v>120.101</v>
      </c>
      <c r="AE47" s="653">
        <f t="shared" si="56"/>
        <v>124.301</v>
      </c>
      <c r="AF47" s="653">
        <f>AF11-AF46</f>
        <v>99.45</v>
      </c>
      <c r="AG47" s="653">
        <f>AG11-AG46</f>
        <v>107.3</v>
      </c>
      <c r="AH47" s="653">
        <f>AH11-AH46</f>
        <v>107.3</v>
      </c>
      <c r="AI47" s="653">
        <f t="shared" ref="AI47:AN47" si="57">AI11-AI46</f>
        <v>107.3</v>
      </c>
      <c r="AJ47" s="653">
        <f t="shared" si="57"/>
        <v>107.3</v>
      </c>
      <c r="AK47" s="653">
        <f t="shared" si="57"/>
        <v>107.3</v>
      </c>
      <c r="AL47" s="653">
        <f t="shared" si="57"/>
        <v>107.3</v>
      </c>
      <c r="AM47" s="653">
        <f t="shared" si="57"/>
        <v>107.3</v>
      </c>
      <c r="AN47" s="653">
        <f t="shared" si="57"/>
        <v>107.3</v>
      </c>
      <c r="AO47" s="617"/>
      <c r="AP47" s="617"/>
      <c r="AQ47" s="617"/>
      <c r="AR47" s="617"/>
      <c r="AS47" s="617"/>
      <c r="AT47" s="617"/>
      <c r="AU47" s="617"/>
      <c r="AV47" s="617"/>
      <c r="AW47" s="617"/>
      <c r="AX47" s="617"/>
      <c r="AY47" s="617"/>
      <c r="AZ47" s="617"/>
      <c r="BA47" s="617"/>
      <c r="BB47" s="617"/>
      <c r="BC47" s="617"/>
      <c r="BD47" s="617"/>
      <c r="BE47" s="617"/>
      <c r="BF47" s="617"/>
      <c r="BG47" s="617"/>
      <c r="BH47" s="617"/>
      <c r="BI47" s="617"/>
      <c r="BJ47" s="617"/>
      <c r="BK47" s="617"/>
      <c r="BL47" s="617"/>
      <c r="BM47" s="617"/>
      <c r="BN47" s="617"/>
      <c r="BO47" s="617"/>
      <c r="BP47" s="617"/>
      <c r="BQ47" s="617"/>
      <c r="BR47" s="617"/>
      <c r="BS47" s="617"/>
      <c r="BT47" s="617"/>
      <c r="BU47" s="617"/>
      <c r="BV47" s="617"/>
      <c r="BW47" s="617"/>
      <c r="BX47" s="617"/>
      <c r="BY47" s="617"/>
      <c r="BZ47" s="617"/>
      <c r="CA47" s="617"/>
    </row>
    <row r="48" spans="1:79" ht="19.5" customHeight="1" x14ac:dyDescent="0.35">
      <c r="A48" s="617"/>
      <c r="B48" s="385"/>
      <c r="C48" s="385"/>
      <c r="D48" s="385"/>
      <c r="E48" s="385"/>
      <c r="F48" s="652"/>
      <c r="G48" s="652"/>
      <c r="H48" s="652"/>
      <c r="I48" s="652"/>
      <c r="J48" s="652"/>
      <c r="K48" s="652"/>
      <c r="L48" s="652"/>
      <c r="M48" s="652"/>
      <c r="N48" s="652"/>
      <c r="O48" s="652"/>
      <c r="P48" s="652"/>
      <c r="Q48" s="652"/>
      <c r="R48" s="652"/>
      <c r="S48" s="652"/>
      <c r="T48" s="652"/>
      <c r="U48" s="652"/>
      <c r="V48" s="652"/>
      <c r="W48" s="652"/>
      <c r="X48" s="652"/>
      <c r="Y48" s="652"/>
      <c r="Z48" s="652"/>
      <c r="AA48" s="652"/>
      <c r="AB48" s="652"/>
      <c r="AC48" s="652"/>
      <c r="AG48" s="617"/>
      <c r="AH48" s="617"/>
      <c r="AI48" s="617"/>
      <c r="AJ48" s="617"/>
      <c r="AK48" s="617"/>
      <c r="AL48" s="617"/>
      <c r="AM48" s="617"/>
      <c r="AN48" s="617"/>
      <c r="AO48" s="617"/>
      <c r="AP48" s="617"/>
      <c r="AQ48" s="617"/>
      <c r="AR48" s="617"/>
      <c r="AS48" s="617"/>
      <c r="AT48" s="617"/>
      <c r="AU48" s="617"/>
      <c r="AV48" s="617"/>
      <c r="AW48" s="617"/>
      <c r="AX48" s="617"/>
      <c r="AY48" s="617"/>
      <c r="AZ48" s="617"/>
      <c r="BA48" s="617"/>
      <c r="BB48" s="617"/>
      <c r="BC48" s="617"/>
      <c r="BD48" s="617"/>
      <c r="BE48" s="617"/>
      <c r="BF48" s="617"/>
      <c r="BG48" s="617"/>
      <c r="BH48" s="617"/>
      <c r="BI48" s="617"/>
      <c r="BJ48" s="617"/>
      <c r="BK48" s="617"/>
      <c r="BL48" s="617"/>
      <c r="BM48" s="617"/>
      <c r="BN48" s="617"/>
      <c r="BO48" s="617"/>
      <c r="BP48" s="617"/>
      <c r="BQ48" s="617"/>
      <c r="BR48" s="617"/>
      <c r="BS48" s="617"/>
      <c r="BT48" s="617"/>
      <c r="BU48" s="617"/>
      <c r="BV48" s="617"/>
      <c r="BW48" s="617"/>
      <c r="BX48" s="617"/>
      <c r="BY48" s="617"/>
      <c r="BZ48" s="617"/>
      <c r="CA48" s="617"/>
    </row>
    <row r="49" spans="1:79" ht="19.5" customHeight="1" x14ac:dyDescent="0.35">
      <c r="A49" s="617"/>
      <c r="B49" s="385" t="s">
        <v>820</v>
      </c>
      <c r="C49" s="385"/>
      <c r="D49" s="385"/>
      <c r="E49" s="385"/>
      <c r="F49" s="652"/>
      <c r="G49" s="652"/>
      <c r="H49" s="652"/>
      <c r="I49" s="652"/>
      <c r="J49" s="652"/>
      <c r="K49" s="652"/>
      <c r="L49" s="652"/>
      <c r="M49" s="652"/>
      <c r="N49" s="652"/>
      <c r="O49" s="652"/>
      <c r="P49" s="652"/>
      <c r="Q49" s="652"/>
      <c r="R49" s="652"/>
      <c r="S49" s="652"/>
      <c r="T49" s="652">
        <v>110.8</v>
      </c>
      <c r="U49" s="634">
        <v>96.021999999999991</v>
      </c>
      <c r="V49" s="364">
        <v>88.50800000000001</v>
      </c>
      <c r="W49" s="364">
        <v>88.50800000000001</v>
      </c>
      <c r="X49" s="364">
        <v>85.631</v>
      </c>
      <c r="Y49" s="364">
        <v>85.631</v>
      </c>
      <c r="Z49" s="364">
        <v>85.631</v>
      </c>
      <c r="AA49" s="364">
        <v>85.631</v>
      </c>
      <c r="AB49" s="364">
        <v>90.463999999999999</v>
      </c>
      <c r="AC49" s="364">
        <v>90.463999999999999</v>
      </c>
      <c r="AD49" s="108">
        <f>U11-U49</f>
        <v>7.3780000000000143</v>
      </c>
      <c r="AG49" s="617"/>
      <c r="AH49" s="617"/>
      <c r="AI49" s="617"/>
      <c r="AJ49" s="617"/>
      <c r="AK49" s="617"/>
      <c r="AL49" s="617"/>
      <c r="AM49" s="617"/>
      <c r="AN49" s="617"/>
      <c r="AO49" s="617"/>
      <c r="AP49" s="617"/>
      <c r="AQ49" s="617"/>
      <c r="AR49" s="617"/>
      <c r="AS49" s="617"/>
      <c r="AT49" s="617"/>
      <c r="AU49" s="617"/>
      <c r="AV49" s="617"/>
      <c r="AW49" s="617"/>
      <c r="AX49" s="617"/>
      <c r="AY49" s="617"/>
      <c r="AZ49" s="617"/>
      <c r="BA49" s="617"/>
      <c r="BB49" s="617"/>
      <c r="BC49" s="617"/>
      <c r="BD49" s="617"/>
      <c r="BE49" s="617"/>
      <c r="BF49" s="617"/>
      <c r="BG49" s="617"/>
      <c r="BH49" s="617"/>
      <c r="BI49" s="617"/>
      <c r="BJ49" s="617"/>
      <c r="BK49" s="617"/>
      <c r="BL49" s="617"/>
      <c r="BM49" s="617"/>
      <c r="BN49" s="617"/>
      <c r="BO49" s="617"/>
      <c r="BP49" s="617"/>
      <c r="BQ49" s="617"/>
      <c r="BR49" s="617"/>
      <c r="BS49" s="617"/>
      <c r="BT49" s="617"/>
      <c r="BU49" s="617"/>
      <c r="BV49" s="617"/>
      <c r="BW49" s="617"/>
      <c r="BX49" s="617"/>
      <c r="BY49" s="617"/>
      <c r="BZ49" s="617"/>
      <c r="CA49" s="617"/>
    </row>
    <row r="50" spans="1:79" x14ac:dyDescent="0.35">
      <c r="B50" s="630" t="s">
        <v>368</v>
      </c>
      <c r="C50" s="268"/>
      <c r="D50" s="268"/>
      <c r="E50" s="268"/>
      <c r="F50" s="268"/>
      <c r="G50" s="268"/>
      <c r="H50" s="268"/>
      <c r="I50" s="268"/>
      <c r="J50" s="268"/>
      <c r="K50" s="268"/>
      <c r="L50" s="268"/>
      <c r="M50" s="268"/>
      <c r="N50" s="268"/>
      <c r="O50" s="268"/>
      <c r="P50" s="597"/>
      <c r="Q50" s="597"/>
      <c r="R50" s="597"/>
      <c r="S50" s="597"/>
      <c r="T50" s="631">
        <v>78.977999999999994</v>
      </c>
      <c r="U50" s="632">
        <v>76</v>
      </c>
      <c r="V50" s="632">
        <v>76</v>
      </c>
      <c r="W50" s="632">
        <v>76</v>
      </c>
      <c r="X50" s="632">
        <v>76</v>
      </c>
      <c r="Y50" s="632">
        <v>76</v>
      </c>
      <c r="Z50" s="632">
        <v>76</v>
      </c>
      <c r="AA50" s="632">
        <v>76</v>
      </c>
      <c r="AB50" s="632">
        <v>76</v>
      </c>
      <c r="AC50" s="632">
        <v>76</v>
      </c>
      <c r="AD50" s="108">
        <f>U12-U50</f>
        <v>14.891999999999996</v>
      </c>
    </row>
    <row r="51" spans="1:79" x14ac:dyDescent="0.35">
      <c r="B51" t="s">
        <v>369</v>
      </c>
      <c r="T51" s="81">
        <v>31.822000000000003</v>
      </c>
      <c r="U51" s="81">
        <v>20.021999999999998</v>
      </c>
      <c r="V51" s="81">
        <v>12.508000000000003</v>
      </c>
      <c r="W51" s="81">
        <v>12.508000000000003</v>
      </c>
      <c r="X51" s="81">
        <v>9.6310000000000002</v>
      </c>
      <c r="Y51" s="81">
        <v>9.6310000000000002</v>
      </c>
      <c r="Z51" s="81">
        <v>9.6310000000000002</v>
      </c>
      <c r="AA51" s="81">
        <v>9.6310000000000002</v>
      </c>
      <c r="AB51" s="81">
        <v>14.464</v>
      </c>
      <c r="AC51" s="81">
        <v>14.464</v>
      </c>
      <c r="AD51" s="108">
        <f t="shared" ref="AD51:AD84" si="58">U14-U51</f>
        <v>-7.5139999999999958</v>
      </c>
    </row>
    <row r="52" spans="1:79" x14ac:dyDescent="0.35">
      <c r="B52" t="s">
        <v>41</v>
      </c>
      <c r="S52" s="44"/>
      <c r="T52" s="82">
        <v>0</v>
      </c>
      <c r="U52" s="81"/>
      <c r="V52" s="81"/>
      <c r="W52" s="81"/>
      <c r="X52" s="81"/>
      <c r="Y52" s="81"/>
      <c r="AD52" s="108">
        <f t="shared" si="58"/>
        <v>0</v>
      </c>
    </row>
    <row r="53" spans="1:79" x14ac:dyDescent="0.35">
      <c r="B53" t="s">
        <v>370</v>
      </c>
      <c r="T53" s="82">
        <v>28.200000000000003</v>
      </c>
      <c r="U53" s="82">
        <v>16.399999999999999</v>
      </c>
      <c r="V53" s="82">
        <v>8.886000000000001</v>
      </c>
      <c r="W53" s="82">
        <v>8.886000000000001</v>
      </c>
      <c r="X53" s="82">
        <v>0.2</v>
      </c>
      <c r="Y53" s="82">
        <v>0.2</v>
      </c>
      <c r="Z53" s="82">
        <v>0.2</v>
      </c>
      <c r="AA53" s="82">
        <v>0.2</v>
      </c>
      <c r="AB53" s="82">
        <v>0</v>
      </c>
      <c r="AC53" s="82">
        <v>0</v>
      </c>
      <c r="AD53" s="108">
        <f t="shared" si="58"/>
        <v>-7.5139999999999976</v>
      </c>
    </row>
    <row r="54" spans="1:79" x14ac:dyDescent="0.35">
      <c r="B54" t="s">
        <v>133</v>
      </c>
      <c r="T54" s="82">
        <v>0</v>
      </c>
      <c r="U54" s="81"/>
      <c r="V54" s="81"/>
      <c r="W54" s="81"/>
      <c r="X54" s="81"/>
      <c r="Y54" s="81"/>
      <c r="AD54" s="108">
        <f t="shared" si="58"/>
        <v>0</v>
      </c>
    </row>
    <row r="55" spans="1:79" x14ac:dyDescent="0.35">
      <c r="B55" t="s">
        <v>131</v>
      </c>
      <c r="T55" s="82">
        <v>0</v>
      </c>
      <c r="U55" s="81">
        <v>0</v>
      </c>
      <c r="V55" s="81">
        <v>0</v>
      </c>
      <c r="W55" s="81">
        <v>0</v>
      </c>
      <c r="X55" s="81">
        <v>0</v>
      </c>
      <c r="Y55" s="81">
        <v>0</v>
      </c>
      <c r="Z55" s="81">
        <v>0</v>
      </c>
      <c r="AA55" s="81">
        <v>0</v>
      </c>
      <c r="AB55" s="81">
        <v>0</v>
      </c>
      <c r="AC55" s="81">
        <v>0</v>
      </c>
      <c r="AD55" s="108">
        <f t="shared" si="58"/>
        <v>0</v>
      </c>
    </row>
    <row r="56" spans="1:79" x14ac:dyDescent="0.35">
      <c r="B56" t="s">
        <v>130</v>
      </c>
      <c r="T56" s="82">
        <v>0.4</v>
      </c>
      <c r="U56" s="81">
        <v>0</v>
      </c>
      <c r="V56" s="81">
        <v>0</v>
      </c>
      <c r="W56" s="81">
        <v>0</v>
      </c>
      <c r="X56" s="81">
        <v>0</v>
      </c>
      <c r="Y56" s="81">
        <v>0</v>
      </c>
      <c r="Z56" s="81">
        <v>0</v>
      </c>
      <c r="AA56" s="81">
        <v>0</v>
      </c>
      <c r="AB56" s="81">
        <v>0</v>
      </c>
      <c r="AC56" s="81">
        <v>0</v>
      </c>
      <c r="AD56" s="108">
        <f t="shared" si="58"/>
        <v>0</v>
      </c>
    </row>
    <row r="57" spans="1:79" x14ac:dyDescent="0.35">
      <c r="B57" t="s">
        <v>374</v>
      </c>
      <c r="T57" s="82">
        <v>3.6</v>
      </c>
      <c r="U57" s="81"/>
      <c r="V57" s="81"/>
      <c r="W57" s="81"/>
      <c r="X57" s="81"/>
      <c r="Y57" s="81"/>
      <c r="AD57" s="108">
        <f t="shared" si="58"/>
        <v>0</v>
      </c>
    </row>
    <row r="58" spans="1:79" x14ac:dyDescent="0.35">
      <c r="B58" t="s">
        <v>132</v>
      </c>
      <c r="T58" s="82">
        <v>15.8</v>
      </c>
      <c r="U58" s="81">
        <v>8</v>
      </c>
      <c r="V58" s="81">
        <v>0.48599999999999993</v>
      </c>
      <c r="W58" s="81">
        <v>0.48599999999999993</v>
      </c>
      <c r="X58" s="81">
        <v>0</v>
      </c>
      <c r="Y58" s="81">
        <v>0</v>
      </c>
      <c r="Z58" s="81">
        <v>0</v>
      </c>
      <c r="AA58" s="81">
        <v>0</v>
      </c>
      <c r="AB58" s="81">
        <v>0</v>
      </c>
      <c r="AC58" s="81">
        <v>0</v>
      </c>
      <c r="AD58" s="108">
        <f t="shared" si="58"/>
        <v>-7.5140000000000002</v>
      </c>
    </row>
    <row r="59" spans="1:79" x14ac:dyDescent="0.35">
      <c r="B59" t="s">
        <v>136</v>
      </c>
      <c r="T59" s="82">
        <v>0</v>
      </c>
      <c r="U59" s="81">
        <v>0</v>
      </c>
      <c r="V59" s="81">
        <v>0</v>
      </c>
      <c r="W59" s="81">
        <v>0</v>
      </c>
      <c r="X59" s="81">
        <v>0</v>
      </c>
      <c r="Y59" s="81">
        <v>0</v>
      </c>
      <c r="Z59" s="81">
        <v>0</v>
      </c>
      <c r="AA59" s="81">
        <v>0</v>
      </c>
      <c r="AB59" s="81">
        <v>0</v>
      </c>
      <c r="AC59" s="81">
        <v>0</v>
      </c>
      <c r="AD59" s="108">
        <f t="shared" si="58"/>
        <v>0</v>
      </c>
    </row>
    <row r="60" spans="1:79" x14ac:dyDescent="0.35">
      <c r="B60" t="s">
        <v>377</v>
      </c>
      <c r="T60" s="82">
        <v>0</v>
      </c>
      <c r="U60" s="81">
        <v>0</v>
      </c>
      <c r="V60" s="81">
        <v>0</v>
      </c>
      <c r="W60" s="81">
        <v>0</v>
      </c>
      <c r="X60" s="81">
        <v>0</v>
      </c>
      <c r="Y60" s="81">
        <v>0</v>
      </c>
      <c r="Z60" s="81">
        <v>0</v>
      </c>
      <c r="AA60" s="81">
        <v>0</v>
      </c>
      <c r="AB60" s="81">
        <v>0</v>
      </c>
      <c r="AC60" s="81">
        <v>0</v>
      </c>
      <c r="AD60" s="108">
        <f t="shared" si="58"/>
        <v>0</v>
      </c>
    </row>
    <row r="61" spans="1:79" x14ac:dyDescent="0.35">
      <c r="B61" t="s">
        <v>378</v>
      </c>
      <c r="T61" s="82">
        <v>0</v>
      </c>
      <c r="U61" s="81">
        <v>0</v>
      </c>
      <c r="V61" s="81">
        <v>0</v>
      </c>
      <c r="W61" s="81">
        <v>0</v>
      </c>
      <c r="X61" s="81">
        <v>0</v>
      </c>
      <c r="Y61" s="81">
        <v>0</v>
      </c>
      <c r="Z61" s="81">
        <v>0</v>
      </c>
      <c r="AA61" s="81">
        <v>0</v>
      </c>
      <c r="AB61" s="81">
        <v>0</v>
      </c>
      <c r="AC61" s="81">
        <v>0</v>
      </c>
      <c r="AD61" s="108">
        <f t="shared" si="58"/>
        <v>0</v>
      </c>
    </row>
    <row r="62" spans="1:79" x14ac:dyDescent="0.35">
      <c r="B62" t="s">
        <v>379</v>
      </c>
      <c r="T62" s="81">
        <v>8.4</v>
      </c>
      <c r="U62" s="81">
        <v>8.4</v>
      </c>
      <c r="V62" s="81">
        <v>8.4</v>
      </c>
      <c r="W62" s="81">
        <v>8.4</v>
      </c>
      <c r="X62" s="81">
        <v>0.2</v>
      </c>
      <c r="Y62" s="81">
        <v>0.2</v>
      </c>
      <c r="Z62" s="81">
        <v>0.2</v>
      </c>
      <c r="AA62" s="81">
        <v>0.2</v>
      </c>
      <c r="AB62" s="81">
        <v>0</v>
      </c>
      <c r="AC62" s="81">
        <v>0</v>
      </c>
      <c r="AD62" s="108">
        <f t="shared" si="58"/>
        <v>0</v>
      </c>
    </row>
    <row r="63" spans="1:79" x14ac:dyDescent="0.35">
      <c r="B63" t="s">
        <v>380</v>
      </c>
      <c r="T63" s="81">
        <v>0</v>
      </c>
      <c r="U63" s="81">
        <v>0</v>
      </c>
      <c r="V63" s="81">
        <v>0</v>
      </c>
      <c r="W63" s="81">
        <v>0</v>
      </c>
      <c r="X63" s="81">
        <v>0</v>
      </c>
      <c r="Y63" s="81">
        <v>0</v>
      </c>
      <c r="Z63" s="81">
        <v>0</v>
      </c>
      <c r="AA63" s="81">
        <v>0</v>
      </c>
      <c r="AB63" s="81">
        <v>0</v>
      </c>
      <c r="AC63" s="81">
        <v>0</v>
      </c>
      <c r="AD63" s="108">
        <f t="shared" si="58"/>
        <v>0</v>
      </c>
    </row>
    <row r="64" spans="1:79" x14ac:dyDescent="0.35">
      <c r="B64" t="s">
        <v>1328</v>
      </c>
      <c r="T64" s="81">
        <v>2.3250000000000002</v>
      </c>
      <c r="U64" s="81">
        <v>2.3250000000000002</v>
      </c>
      <c r="V64" s="81">
        <v>2.3250000000000002</v>
      </c>
      <c r="W64" s="81">
        <v>2.3250000000000002</v>
      </c>
      <c r="X64" s="81">
        <v>5.5830000000000002</v>
      </c>
      <c r="Y64" s="81">
        <v>5.5830000000000002</v>
      </c>
      <c r="Z64" s="81">
        <v>5.5830000000000002</v>
      </c>
      <c r="AA64" s="81">
        <v>5.5830000000000002</v>
      </c>
      <c r="AB64" s="81">
        <v>8.0220000000000002</v>
      </c>
      <c r="AC64" s="81">
        <v>8.0220000000000002</v>
      </c>
      <c r="AD64" s="108">
        <f t="shared" si="58"/>
        <v>0</v>
      </c>
    </row>
    <row r="65" spans="2:30" x14ac:dyDescent="0.35">
      <c r="B65" t="s">
        <v>1136</v>
      </c>
      <c r="T65" s="81">
        <v>1.2969999999999999</v>
      </c>
      <c r="U65" s="81">
        <v>1.2969999999999999</v>
      </c>
      <c r="V65" s="81">
        <v>1.2969999999999999</v>
      </c>
      <c r="W65" s="81">
        <v>1.2969999999999999</v>
      </c>
      <c r="X65" s="81">
        <v>3.8479999999999999</v>
      </c>
      <c r="Y65" s="81">
        <v>3.8479999999999999</v>
      </c>
      <c r="Z65" s="81">
        <v>3.8479999999999999</v>
      </c>
      <c r="AA65" s="81">
        <v>3.8479999999999999</v>
      </c>
      <c r="AB65" s="81">
        <v>6.4420000000000002</v>
      </c>
      <c r="AC65" s="81">
        <v>6.4420000000000002</v>
      </c>
      <c r="AD65" s="108">
        <f t="shared" si="58"/>
        <v>0</v>
      </c>
    </row>
    <row r="66" spans="2:30" x14ac:dyDescent="0.35">
      <c r="B66" t="s">
        <v>381</v>
      </c>
      <c r="T66" s="81"/>
      <c r="U66" s="81"/>
      <c r="AD66" s="108">
        <f t="shared" si="58"/>
        <v>0</v>
      </c>
    </row>
    <row r="67" spans="2:30" x14ac:dyDescent="0.35">
      <c r="B67" t="s">
        <v>382</v>
      </c>
      <c r="T67" s="81"/>
      <c r="U67" s="81"/>
      <c r="AD67" s="108">
        <f t="shared" si="58"/>
        <v>0</v>
      </c>
    </row>
    <row r="68" spans="2:30" x14ac:dyDescent="0.35">
      <c r="B68" t="s">
        <v>383</v>
      </c>
      <c r="T68" s="81"/>
      <c r="U68" s="81"/>
      <c r="AD68" s="108">
        <f t="shared" si="58"/>
        <v>0</v>
      </c>
    </row>
    <row r="69" spans="2:30" x14ac:dyDescent="0.35">
      <c r="B69" t="s">
        <v>380</v>
      </c>
      <c r="T69" s="81"/>
      <c r="U69" s="81"/>
      <c r="AD69" s="108">
        <f t="shared" si="58"/>
        <v>0</v>
      </c>
    </row>
    <row r="70" spans="2:30" x14ac:dyDescent="0.35">
      <c r="B70" t="s">
        <v>377</v>
      </c>
      <c r="T70" s="633"/>
      <c r="U70" s="633"/>
      <c r="AD70" s="108">
        <f t="shared" si="58"/>
        <v>0</v>
      </c>
    </row>
    <row r="71" spans="2:30" x14ac:dyDescent="0.35">
      <c r="B71" t="s">
        <v>384</v>
      </c>
      <c r="T71" s="633"/>
      <c r="U71" s="633"/>
      <c r="AD71" s="108">
        <f t="shared" si="58"/>
        <v>0</v>
      </c>
    </row>
    <row r="72" spans="2:30" x14ac:dyDescent="0.35">
      <c r="B72" t="s">
        <v>385</v>
      </c>
      <c r="T72" s="81"/>
      <c r="U72" s="81"/>
      <c r="AD72" s="108">
        <f t="shared" si="58"/>
        <v>0</v>
      </c>
    </row>
    <row r="73" spans="2:30" x14ac:dyDescent="0.35">
      <c r="B73" t="s">
        <v>386</v>
      </c>
      <c r="T73" s="81"/>
      <c r="U73" s="81"/>
      <c r="AD73" s="108">
        <f t="shared" si="58"/>
        <v>0</v>
      </c>
    </row>
    <row r="74" spans="2:30" x14ac:dyDescent="0.35">
      <c r="B74" t="s">
        <v>131</v>
      </c>
      <c r="T74" s="81">
        <v>0</v>
      </c>
      <c r="U74" s="81">
        <v>0</v>
      </c>
      <c r="V74" s="81">
        <v>0</v>
      </c>
      <c r="W74" s="81">
        <v>0</v>
      </c>
      <c r="X74" s="81">
        <v>0</v>
      </c>
      <c r="Y74" s="81">
        <v>0</v>
      </c>
      <c r="Z74" s="81">
        <v>0</v>
      </c>
      <c r="AA74" s="81">
        <v>0</v>
      </c>
      <c r="AB74" s="81">
        <v>0</v>
      </c>
      <c r="AC74" s="81">
        <v>0</v>
      </c>
      <c r="AD74" s="108">
        <f t="shared" si="58"/>
        <v>0</v>
      </c>
    </row>
    <row r="75" spans="2:30" x14ac:dyDescent="0.35">
      <c r="B75" t="s">
        <v>387</v>
      </c>
      <c r="T75" s="81">
        <v>0.48599999999999993</v>
      </c>
      <c r="U75" s="81">
        <v>0.48599999999999993</v>
      </c>
      <c r="V75" s="81">
        <v>0.48599999999999993</v>
      </c>
      <c r="W75" s="81">
        <v>0.48599999999999993</v>
      </c>
      <c r="X75" s="81">
        <v>0</v>
      </c>
      <c r="Y75" s="81">
        <v>0</v>
      </c>
      <c r="Z75" s="81">
        <v>0</v>
      </c>
      <c r="AA75" s="81">
        <v>0</v>
      </c>
      <c r="AB75" s="81">
        <v>0</v>
      </c>
      <c r="AC75" s="81">
        <v>0</v>
      </c>
      <c r="AD75" s="108">
        <f t="shared" si="58"/>
        <v>0</v>
      </c>
    </row>
    <row r="76" spans="2:30" x14ac:dyDescent="0.35">
      <c r="B76" t="s">
        <v>136</v>
      </c>
      <c r="T76" s="81">
        <v>0</v>
      </c>
      <c r="U76" s="81">
        <v>0</v>
      </c>
      <c r="V76" s="81">
        <v>0</v>
      </c>
      <c r="W76" s="81">
        <v>0</v>
      </c>
      <c r="X76" s="81">
        <v>0</v>
      </c>
      <c r="Y76" s="81">
        <v>0</v>
      </c>
      <c r="Z76" s="81">
        <v>0</v>
      </c>
      <c r="AA76" s="81">
        <v>0</v>
      </c>
      <c r="AB76" s="81">
        <v>0</v>
      </c>
      <c r="AC76" s="81">
        <v>0</v>
      </c>
      <c r="AD76" s="108">
        <f t="shared" si="58"/>
        <v>0</v>
      </c>
    </row>
    <row r="77" spans="2:30" x14ac:dyDescent="0.35">
      <c r="B77" t="s">
        <v>377</v>
      </c>
      <c r="T77" s="81">
        <v>0.78750000000000009</v>
      </c>
      <c r="U77" s="81">
        <v>0.78750000000000009</v>
      </c>
      <c r="V77" s="81">
        <v>0.78750000000000009</v>
      </c>
      <c r="W77" s="81">
        <v>0.78750000000000009</v>
      </c>
      <c r="X77" s="81">
        <v>0</v>
      </c>
      <c r="Y77" s="81">
        <v>0</v>
      </c>
      <c r="Z77" s="81">
        <v>0</v>
      </c>
      <c r="AA77" s="81">
        <v>0</v>
      </c>
      <c r="AB77" s="81">
        <v>0</v>
      </c>
      <c r="AC77" s="81">
        <v>0</v>
      </c>
      <c r="AD77" s="108">
        <f t="shared" si="58"/>
        <v>0</v>
      </c>
    </row>
    <row r="78" spans="2:30" x14ac:dyDescent="0.35">
      <c r="B78" t="s">
        <v>388</v>
      </c>
      <c r="T78" s="81">
        <v>1.3125000000000002</v>
      </c>
      <c r="U78" s="81">
        <v>1.3125000000000002</v>
      </c>
      <c r="V78" s="81">
        <v>1.3125000000000002</v>
      </c>
      <c r="W78" s="81">
        <v>1.3125000000000002</v>
      </c>
      <c r="X78" s="81">
        <v>0</v>
      </c>
      <c r="Y78" s="81">
        <v>0</v>
      </c>
      <c r="Z78" s="81">
        <v>0</v>
      </c>
      <c r="AA78" s="81">
        <v>0</v>
      </c>
      <c r="AB78" s="81">
        <v>0</v>
      </c>
      <c r="AC78" s="81">
        <v>0</v>
      </c>
      <c r="AD78" s="108">
        <f t="shared" si="58"/>
        <v>0</v>
      </c>
    </row>
    <row r="79" spans="2:30" x14ac:dyDescent="0.35">
      <c r="B79" t="s">
        <v>389</v>
      </c>
      <c r="T79" s="81">
        <v>8.4</v>
      </c>
      <c r="U79" s="81">
        <v>8.4</v>
      </c>
      <c r="V79" s="81">
        <v>8.4</v>
      </c>
      <c r="W79" s="81">
        <v>8.4</v>
      </c>
      <c r="X79" s="81">
        <v>0.2</v>
      </c>
      <c r="Y79" s="81">
        <v>0.2</v>
      </c>
      <c r="Z79" s="81">
        <v>0.2</v>
      </c>
      <c r="AA79" s="81">
        <v>0.2</v>
      </c>
      <c r="AB79" s="81">
        <v>0</v>
      </c>
      <c r="AC79" s="81">
        <v>0</v>
      </c>
      <c r="AD79" s="108">
        <f t="shared" si="58"/>
        <v>0</v>
      </c>
    </row>
    <row r="80" spans="2:30" x14ac:dyDescent="0.35">
      <c r="B80" t="s">
        <v>390</v>
      </c>
      <c r="T80" s="81">
        <v>0</v>
      </c>
      <c r="U80" s="81">
        <v>0</v>
      </c>
      <c r="V80" s="81">
        <v>0</v>
      </c>
      <c r="W80" s="81">
        <v>0</v>
      </c>
      <c r="X80" s="81">
        <v>0</v>
      </c>
      <c r="Y80" s="81">
        <v>0</v>
      </c>
      <c r="Z80" s="81">
        <v>0</v>
      </c>
      <c r="AA80" s="81">
        <v>0</v>
      </c>
      <c r="AB80" s="81">
        <v>0</v>
      </c>
      <c r="AC80" s="81">
        <v>0</v>
      </c>
      <c r="AD80" s="108">
        <f t="shared" si="58"/>
        <v>0</v>
      </c>
    </row>
    <row r="81" spans="2:30" x14ac:dyDescent="0.35">
      <c r="B81" t="s">
        <v>278</v>
      </c>
      <c r="T81" s="81">
        <v>12.362</v>
      </c>
      <c r="U81" s="81">
        <v>12.362</v>
      </c>
      <c r="V81" s="81">
        <v>12.362</v>
      </c>
      <c r="W81" s="81">
        <v>12.362</v>
      </c>
      <c r="X81" s="81">
        <v>-0.67500000000000004</v>
      </c>
      <c r="Y81" s="81">
        <v>-0.67500000000000004</v>
      </c>
      <c r="Z81" s="81">
        <v>-0.67500000000000004</v>
      </c>
      <c r="AA81" s="81">
        <v>-0.67500000000000004</v>
      </c>
      <c r="AB81" s="81">
        <v>0</v>
      </c>
      <c r="AC81" s="81">
        <v>0</v>
      </c>
      <c r="AD81" s="108">
        <f t="shared" si="58"/>
        <v>0</v>
      </c>
    </row>
    <row r="82" spans="2:30" x14ac:dyDescent="0.35">
      <c r="B82" t="s">
        <v>391</v>
      </c>
      <c r="T82" s="81"/>
      <c r="U82" s="81"/>
      <c r="AD82" s="108">
        <f t="shared" si="58"/>
        <v>0</v>
      </c>
    </row>
    <row r="83" spans="2:30" x14ac:dyDescent="0.35">
      <c r="B83" t="s">
        <v>392</v>
      </c>
      <c r="T83" s="81">
        <v>12.726000000000001</v>
      </c>
      <c r="U83" s="81">
        <v>12.726000000000001</v>
      </c>
      <c r="V83" s="81">
        <v>12.726000000000001</v>
      </c>
      <c r="W83" s="81">
        <v>12.726000000000001</v>
      </c>
      <c r="X83" s="81">
        <v>1.365</v>
      </c>
      <c r="Y83" s="81">
        <v>1.365</v>
      </c>
      <c r="Z83" s="81">
        <v>1.365</v>
      </c>
      <c r="AA83" s="81">
        <v>1.365</v>
      </c>
      <c r="AB83" s="81">
        <v>-0.90100000000000025</v>
      </c>
      <c r="AC83" s="81">
        <v>-0.90100000000000025</v>
      </c>
      <c r="AD83" s="108">
        <f t="shared" si="58"/>
        <v>0</v>
      </c>
    </row>
    <row r="84" spans="2:30" x14ac:dyDescent="0.35">
      <c r="B84" t="s">
        <v>187</v>
      </c>
      <c r="T84" s="82">
        <v>98.073999999999998</v>
      </c>
      <c r="U84" s="108">
        <v>83.295999999999992</v>
      </c>
      <c r="V84" s="82">
        <v>75.782000000000011</v>
      </c>
      <c r="W84" s="82">
        <v>75.782000000000011</v>
      </c>
      <c r="X84" s="82">
        <v>84.266000000000005</v>
      </c>
      <c r="Y84" s="82">
        <v>84.266000000000005</v>
      </c>
      <c r="Z84" s="82">
        <v>84.266000000000005</v>
      </c>
      <c r="AA84" s="82">
        <v>84.266000000000005</v>
      </c>
      <c r="AB84" s="82">
        <v>91.364999999999995</v>
      </c>
      <c r="AC84" s="82">
        <v>91.364999999999995</v>
      </c>
      <c r="AD84" s="108">
        <f t="shared" si="58"/>
        <v>7.3780000000000143</v>
      </c>
    </row>
    <row r="85" spans="2:30" x14ac:dyDescent="0.35">
      <c r="AD85" s="108"/>
    </row>
  </sheetData>
  <mergeCells count="17">
    <mergeCell ref="AK9:AN9"/>
    <mergeCell ref="U9:X9"/>
    <mergeCell ref="Q9:T9"/>
    <mergeCell ref="B1:AC1"/>
    <mergeCell ref="M9:P9"/>
    <mergeCell ref="B2:AC6"/>
    <mergeCell ref="AC9:AF9"/>
    <mergeCell ref="AG9:AJ9"/>
    <mergeCell ref="AC8:AF8"/>
    <mergeCell ref="AG8:AN8"/>
    <mergeCell ref="B45:C45"/>
    <mergeCell ref="B29:C29"/>
    <mergeCell ref="B8:C10"/>
    <mergeCell ref="I9:L9"/>
    <mergeCell ref="E9:H9"/>
    <mergeCell ref="B36:C36"/>
    <mergeCell ref="D8:AB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O59"/>
  <sheetViews>
    <sheetView zoomScaleNormal="100" workbookViewId="0">
      <pane xSplit="2" ySplit="4" topLeftCell="AA12" activePane="bottomRight" state="frozen"/>
      <selection pane="topRight" activeCell="C1" sqref="C1"/>
      <selection pane="bottomLeft" activeCell="A5" sqref="A5"/>
      <selection pane="bottomRight" activeCell="AM31" sqref="AM31"/>
    </sheetView>
  </sheetViews>
  <sheetFormatPr defaultColWidth="10.90625" defaultRowHeight="14.5" x14ac:dyDescent="0.35"/>
  <cols>
    <col min="2" max="2" width="36.4531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87" t="s">
        <v>45</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c r="AD1" s="241"/>
      <c r="AE1" s="241"/>
      <c r="AF1" s="241"/>
      <c r="AG1" s="241"/>
      <c r="AH1" s="241"/>
    </row>
    <row r="2" spans="2:41" ht="14.25" customHeight="1" x14ac:dyDescent="0.35">
      <c r="B2" s="1477" t="s">
        <v>815</v>
      </c>
      <c r="C2" s="1477"/>
      <c r="D2" s="1477"/>
      <c r="E2" s="1477"/>
      <c r="F2" s="1477"/>
      <c r="G2" s="1477"/>
      <c r="H2" s="1477"/>
      <c r="I2" s="1477"/>
      <c r="J2" s="1477"/>
      <c r="K2" s="1477"/>
      <c r="L2" s="1477"/>
      <c r="M2" s="1477"/>
      <c r="N2" s="1477"/>
      <c r="O2" s="1477"/>
      <c r="P2" s="1477"/>
      <c r="Q2" s="1477"/>
      <c r="R2" s="1477"/>
      <c r="S2" s="1477"/>
      <c r="T2" s="1477"/>
      <c r="U2" s="1477"/>
      <c r="V2" s="1476" t="s">
        <v>862</v>
      </c>
      <c r="W2" s="1476"/>
      <c r="X2" s="1476"/>
      <c r="Y2" s="1476"/>
      <c r="Z2" s="1476"/>
      <c r="AA2" s="1476"/>
      <c r="AB2" s="1476"/>
      <c r="AC2" s="708"/>
      <c r="AD2" s="708"/>
      <c r="AE2" s="708"/>
      <c r="AF2" s="708"/>
      <c r="AG2" s="708"/>
      <c r="AH2" s="708"/>
    </row>
    <row r="3" spans="2:41" ht="59.9" hidden="1" customHeight="1" x14ac:dyDescent="0.35">
      <c r="B3" s="1477"/>
      <c r="C3" s="1477"/>
      <c r="D3" s="1477"/>
      <c r="E3" s="1477"/>
      <c r="F3" s="1477"/>
      <c r="G3" s="1477"/>
      <c r="H3" s="1477"/>
      <c r="I3" s="1477"/>
      <c r="J3" s="1477"/>
      <c r="K3" s="1477"/>
      <c r="L3" s="1477"/>
      <c r="M3" s="1477"/>
      <c r="N3" s="1477"/>
      <c r="O3" s="1477"/>
      <c r="P3" s="1477"/>
      <c r="Q3" s="1477"/>
      <c r="R3" s="1477"/>
      <c r="S3" s="1477"/>
      <c r="T3" s="1477"/>
      <c r="U3" s="1477"/>
      <c r="V3" s="1476"/>
      <c r="W3" s="1476"/>
      <c r="X3" s="1476"/>
      <c r="Y3" s="1476"/>
      <c r="Z3" s="1476"/>
      <c r="AA3" s="1476"/>
      <c r="AB3" s="1476"/>
      <c r="AC3" s="708"/>
      <c r="AD3" s="708"/>
      <c r="AE3" s="708"/>
      <c r="AF3" s="708"/>
      <c r="AG3" s="708"/>
      <c r="AH3" s="708"/>
    </row>
    <row r="4" spans="2:41" ht="88.5" hidden="1" customHeight="1" x14ac:dyDescent="0.35">
      <c r="B4" s="1477"/>
      <c r="C4" s="1477"/>
      <c r="D4" s="1477"/>
      <c r="E4" s="1477"/>
      <c r="F4" s="1477"/>
      <c r="G4" s="1477"/>
      <c r="H4" s="1477"/>
      <c r="I4" s="1477"/>
      <c r="J4" s="1477"/>
      <c r="K4" s="1477"/>
      <c r="L4" s="1477"/>
      <c r="M4" s="1477"/>
      <c r="N4" s="1477"/>
      <c r="O4" s="1477"/>
      <c r="P4" s="1477"/>
      <c r="Q4" s="1477"/>
      <c r="R4" s="1477"/>
      <c r="S4" s="1477"/>
      <c r="T4" s="1477"/>
      <c r="U4" s="1477"/>
      <c r="V4" s="1476"/>
      <c r="W4" s="1476"/>
      <c r="X4" s="1476"/>
      <c r="Y4" s="1476"/>
      <c r="Z4" s="1476"/>
      <c r="AA4" s="1476"/>
      <c r="AB4" s="1476"/>
      <c r="AC4" s="708"/>
      <c r="AD4" s="708"/>
      <c r="AE4" s="708"/>
      <c r="AF4" s="708"/>
      <c r="AG4" s="708"/>
      <c r="AH4" s="708"/>
    </row>
    <row r="5" spans="2:41" ht="33" customHeight="1" x14ac:dyDescent="0.35">
      <c r="D5" s="708"/>
      <c r="E5" s="708"/>
      <c r="F5" s="708"/>
      <c r="G5" s="708"/>
      <c r="H5" s="708"/>
      <c r="I5" s="708"/>
      <c r="J5" s="708"/>
      <c r="K5" s="708"/>
      <c r="L5" s="708"/>
      <c r="M5" s="708"/>
      <c r="N5" s="708"/>
      <c r="O5" s="708"/>
      <c r="P5" s="708"/>
      <c r="Q5" s="708"/>
      <c r="R5" s="708"/>
      <c r="S5" s="708"/>
      <c r="T5" s="708"/>
      <c r="U5" s="708"/>
      <c r="V5" s="708"/>
      <c r="W5" s="708"/>
      <c r="X5" s="708"/>
      <c r="Y5" s="708"/>
      <c r="Z5" s="708"/>
      <c r="AA5" s="708"/>
      <c r="AB5" s="708"/>
      <c r="AC5" s="708"/>
      <c r="AD5" s="708"/>
      <c r="AE5" s="708"/>
      <c r="AF5" s="708"/>
      <c r="AG5" s="708"/>
      <c r="AH5" s="708"/>
    </row>
    <row r="6" spans="2:41" x14ac:dyDescent="0.35">
      <c r="B6" s="1463"/>
      <c r="C6" s="1463"/>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708"/>
      <c r="AE6" s="708"/>
      <c r="AF6" s="708"/>
      <c r="AG6" s="708"/>
      <c r="AH6" s="708"/>
    </row>
    <row r="7" spans="2:41" ht="14.9" customHeight="1" x14ac:dyDescent="0.35">
      <c r="B7" s="1389" t="s">
        <v>367</v>
      </c>
      <c r="C7" s="1390"/>
      <c r="D7" s="1409" t="s">
        <v>246</v>
      </c>
      <c r="E7" s="1410"/>
      <c r="F7" s="1410"/>
      <c r="G7" s="1410"/>
      <c r="H7" s="1410"/>
      <c r="I7" s="1410"/>
      <c r="J7" s="1410"/>
      <c r="K7" s="1410"/>
      <c r="L7" s="1410"/>
      <c r="M7" s="1410"/>
      <c r="N7" s="1410"/>
      <c r="O7" s="1410"/>
      <c r="P7" s="1410"/>
      <c r="Q7" s="1410"/>
      <c r="R7" s="1410"/>
      <c r="S7" s="1410"/>
      <c r="T7" s="1410"/>
      <c r="U7" s="1410"/>
      <c r="V7" s="1410"/>
      <c r="W7" s="1410"/>
      <c r="X7" s="1410"/>
      <c r="Y7" s="1410"/>
      <c r="Z7" s="1410"/>
      <c r="AA7" s="1410"/>
      <c r="AB7" s="1411"/>
      <c r="AC7" s="259"/>
      <c r="AD7" s="260"/>
      <c r="AE7" s="260"/>
      <c r="AF7" s="260"/>
      <c r="AG7" s="1419" t="s">
        <v>247</v>
      </c>
      <c r="AH7" s="1420"/>
      <c r="AI7" s="1420"/>
      <c r="AJ7" s="1420"/>
      <c r="AK7" s="1420"/>
      <c r="AL7" s="1420"/>
      <c r="AM7" s="1420"/>
      <c r="AN7" s="1421"/>
    </row>
    <row r="8" spans="2:41" x14ac:dyDescent="0.35">
      <c r="B8" s="1391"/>
      <c r="C8" s="1392"/>
      <c r="D8" s="249">
        <v>2018</v>
      </c>
      <c r="E8" s="1398">
        <v>2019</v>
      </c>
      <c r="F8" s="1399"/>
      <c r="G8" s="1399"/>
      <c r="H8" s="1400"/>
      <c r="I8" s="1398">
        <v>2020</v>
      </c>
      <c r="J8" s="1399"/>
      <c r="K8" s="1399"/>
      <c r="L8" s="1400"/>
      <c r="M8" s="1398">
        <v>2021</v>
      </c>
      <c r="N8" s="1399"/>
      <c r="O8" s="1399"/>
      <c r="P8" s="1400"/>
      <c r="Q8" s="1398">
        <v>2022</v>
      </c>
      <c r="R8" s="1399"/>
      <c r="S8" s="1399"/>
      <c r="T8" s="1400"/>
      <c r="U8" s="277"/>
      <c r="V8" s="277">
        <v>2023</v>
      </c>
      <c r="W8" s="277"/>
      <c r="X8" s="279"/>
      <c r="Y8" s="283"/>
      <c r="Z8" s="277">
        <v>2024</v>
      </c>
      <c r="AA8" s="277"/>
      <c r="AB8" s="279"/>
      <c r="AC8" s="1398">
        <v>2025</v>
      </c>
      <c r="AD8" s="1399"/>
      <c r="AE8" s="1399"/>
      <c r="AF8" s="1400"/>
      <c r="AG8" s="1412">
        <v>2026</v>
      </c>
      <c r="AH8" s="1424"/>
      <c r="AI8" s="1424"/>
      <c r="AJ8" s="1414"/>
      <c r="AK8" s="1412">
        <v>2027</v>
      </c>
      <c r="AL8" s="1424"/>
      <c r="AM8" s="1424"/>
      <c r="AN8" s="1414"/>
      <c r="AO8" s="268"/>
    </row>
    <row r="9" spans="2:41" x14ac:dyDescent="0.35">
      <c r="B9" s="1393"/>
      <c r="C9" s="1394"/>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6" t="s">
        <v>248</v>
      </c>
      <c r="U9" s="245" t="s">
        <v>249</v>
      </c>
      <c r="V9" s="273" t="s">
        <v>250</v>
      </c>
      <c r="W9" s="273" t="s">
        <v>226</v>
      </c>
      <c r="X9" s="271" t="s">
        <v>248</v>
      </c>
      <c r="Y9" s="272" t="s">
        <v>249</v>
      </c>
      <c r="Z9" s="274" t="s">
        <v>250</v>
      </c>
      <c r="AA9" s="273" t="s">
        <v>226</v>
      </c>
      <c r="AB9" s="273" t="s">
        <v>248</v>
      </c>
      <c r="AC9" s="272" t="s">
        <v>249</v>
      </c>
      <c r="AD9" s="274" t="s">
        <v>250</v>
      </c>
      <c r="AE9" s="273" t="s">
        <v>226</v>
      </c>
      <c r="AF9" s="273" t="s">
        <v>248</v>
      </c>
      <c r="AG9" s="358" t="s">
        <v>249</v>
      </c>
      <c r="AH9" s="269" t="s">
        <v>250</v>
      </c>
      <c r="AI9" s="269" t="s">
        <v>226</v>
      </c>
      <c r="AJ9" s="402" t="s">
        <v>248</v>
      </c>
      <c r="AK9" s="358" t="s">
        <v>249</v>
      </c>
      <c r="AL9" s="269" t="s">
        <v>250</v>
      </c>
      <c r="AM9" s="269" t="s">
        <v>226</v>
      </c>
      <c r="AN9" s="402" t="s">
        <v>248</v>
      </c>
      <c r="AO9" s="265"/>
    </row>
    <row r="10" spans="2:41" x14ac:dyDescent="0.35">
      <c r="B10" s="685" t="s">
        <v>89</v>
      </c>
      <c r="C10" s="710" t="s">
        <v>393</v>
      </c>
      <c r="D10" s="673">
        <f>'Haver Pivoted'!GO13</f>
        <v>589.5</v>
      </c>
      <c r="E10" s="689">
        <f>'Haver Pivoted'!GP13</f>
        <v>598.70000000000005</v>
      </c>
      <c r="F10" s="689">
        <f>'Haver Pivoted'!GQ13</f>
        <v>614.4</v>
      </c>
      <c r="G10" s="673">
        <f>'Haver Pivoted'!GR13</f>
        <v>622.4</v>
      </c>
      <c r="H10" s="673">
        <f>'Haver Pivoted'!GS13</f>
        <v>620.6</v>
      </c>
      <c r="I10" s="689">
        <f>'Haver Pivoted'!GT13</f>
        <v>606.5</v>
      </c>
      <c r="J10" s="689">
        <f>'Haver Pivoted'!GU13</f>
        <v>654.6</v>
      </c>
      <c r="K10" s="673">
        <f>'Haver Pivoted'!GV13</f>
        <v>690.7</v>
      </c>
      <c r="L10" s="673">
        <f>'Haver Pivoted'!GW13</f>
        <v>678.5</v>
      </c>
      <c r="M10" s="689">
        <f>'Haver Pivoted'!GX13</f>
        <v>704.8</v>
      </c>
      <c r="N10" s="689">
        <f>'Haver Pivoted'!GY13</f>
        <v>745.5</v>
      </c>
      <c r="O10" s="673">
        <f>'Haver Pivoted'!GZ13</f>
        <v>749.2</v>
      </c>
      <c r="P10" s="673">
        <f>'Haver Pivoted'!HA13</f>
        <v>746.4</v>
      </c>
      <c r="Q10" s="689">
        <f>'Haver Pivoted'!HB13</f>
        <v>792.1</v>
      </c>
      <c r="R10" s="689">
        <f>'Haver Pivoted'!HC13</f>
        <v>819.3</v>
      </c>
      <c r="S10" s="667">
        <f>'Haver Pivoted'!HD13</f>
        <v>818.9</v>
      </c>
      <c r="T10" s="690">
        <f>'Haver Pivoted'!HE13</f>
        <v>827.1</v>
      </c>
      <c r="U10" s="690">
        <f>'Haver Pivoted'!HF13</f>
        <v>876.8</v>
      </c>
      <c r="V10" s="667">
        <f>'Haver Pivoted'!HG13</f>
        <v>910.9</v>
      </c>
      <c r="W10" s="667">
        <f>'Haver Pivoted'!HH13</f>
        <v>867.3</v>
      </c>
      <c r="X10" s="690">
        <f>'Haver Pivoted'!HI13</f>
        <v>857.7</v>
      </c>
      <c r="Y10" s="690">
        <f>'Haver Pivoted'!HJ13</f>
        <v>909.4</v>
      </c>
      <c r="Z10" s="667">
        <f>'Haver Pivoted'!HK13</f>
        <v>934.7</v>
      </c>
      <c r="AA10" s="667">
        <f>'Haver Pivoted'!HL13</f>
        <v>947.9</v>
      </c>
      <c r="AB10" s="690">
        <f>'Haver Pivoted'!HM13</f>
        <v>960.7</v>
      </c>
      <c r="AC10" s="690">
        <f>'Haver Pivoted'!HN13</f>
        <v>955.2</v>
      </c>
      <c r="AD10" s="667">
        <f>'Haver Pivoted'!HO13</f>
        <v>991.5</v>
      </c>
      <c r="AE10" s="667">
        <f>'Haver Pivoted'!HP13</f>
        <v>1045.5999999999999</v>
      </c>
      <c r="AF10" s="667">
        <f>'Haver Pivoted'!HQ13</f>
        <v>1078.4000000000001</v>
      </c>
      <c r="AG10" s="247"/>
      <c r="AH10" s="247"/>
      <c r="AI10" s="247"/>
      <c r="AJ10" s="247"/>
      <c r="AK10" s="247"/>
      <c r="AL10" s="247"/>
      <c r="AM10" s="247"/>
      <c r="AN10" s="247"/>
    </row>
    <row r="11" spans="2:41" x14ac:dyDescent="0.35">
      <c r="B11" s="679" t="s">
        <v>394</v>
      </c>
      <c r="C11" s="268" t="s">
        <v>305</v>
      </c>
      <c r="D11" s="705">
        <f>'Haver Pivoted'!GO40</f>
        <v>391.92099999999999</v>
      </c>
      <c r="E11" s="705">
        <f>'Haver Pivoted'!GP40</f>
        <v>405.36799999999999</v>
      </c>
      <c r="F11" s="705">
        <f>'Haver Pivoted'!GQ40</f>
        <v>414.19600000000003</v>
      </c>
      <c r="G11" s="705">
        <f>'Haver Pivoted'!GR40</f>
        <v>418.68599999999998</v>
      </c>
      <c r="H11" s="705">
        <f>'Haver Pivoted'!GS40</f>
        <v>416.185</v>
      </c>
      <c r="I11" s="705">
        <f>'Haver Pivoted'!GT40</f>
        <v>422.98899999999998</v>
      </c>
      <c r="J11" s="705">
        <f>'Haver Pivoted'!GU40</f>
        <v>505.16399999999999</v>
      </c>
      <c r="K11" s="705">
        <f>'Haver Pivoted'!GV40</f>
        <v>484.88200000000001</v>
      </c>
      <c r="L11" s="705">
        <f>'Haver Pivoted'!GW40</f>
        <v>507.12599999999998</v>
      </c>
      <c r="M11" s="705">
        <f>'Haver Pivoted'!GX40</f>
        <v>499.71899999999999</v>
      </c>
      <c r="N11" s="705">
        <f>'Haver Pivoted'!GY40</f>
        <v>525.279</v>
      </c>
      <c r="O11" s="705">
        <f>'Haver Pivoted'!GZ40</f>
        <v>543.90499999999997</v>
      </c>
      <c r="P11" s="705">
        <f>'Haver Pivoted'!HA40</f>
        <v>564.25300000000004</v>
      </c>
      <c r="Q11" s="705">
        <f>'Haver Pivoted'!HB40</f>
        <v>590.63800000000003</v>
      </c>
      <c r="R11" s="705">
        <f>'Haver Pivoted'!HC40</f>
        <v>595.07899999999995</v>
      </c>
      <c r="S11" s="668">
        <f>'Haver Pivoted'!HD40</f>
        <v>612.76</v>
      </c>
      <c r="T11" s="668">
        <f>'Haver Pivoted'!HE40</f>
        <v>606.76599999999996</v>
      </c>
      <c r="U11" s="668">
        <f>'Haver Pivoted'!HF40</f>
        <v>633.73099999999999</v>
      </c>
      <c r="V11" s="668">
        <f>'Haver Pivoted'!HG40</f>
        <v>643.79600000000005</v>
      </c>
      <c r="W11" s="668">
        <f>'Haver Pivoted'!HH40</f>
        <v>577.25</v>
      </c>
      <c r="X11" s="668">
        <f>'Haver Pivoted'!HI40</f>
        <v>604.78800000000001</v>
      </c>
      <c r="Y11" s="668">
        <f>'Haver Pivoted'!HJ40</f>
        <v>611.28099999999995</v>
      </c>
      <c r="Z11" s="668">
        <f>'Haver Pivoted'!HK40</f>
        <v>619.77800000000002</v>
      </c>
      <c r="AA11" s="668">
        <f>'Haver Pivoted'!HL40</f>
        <v>632.45899999999995</v>
      </c>
      <c r="AB11" s="668">
        <f>'Haver Pivoted'!HM40</f>
        <v>646.39700000000005</v>
      </c>
      <c r="AC11" s="668">
        <f>'Haver Pivoted'!HN40</f>
        <v>638.73199999999997</v>
      </c>
      <c r="AD11" s="668">
        <f>'Haver Pivoted'!HO40</f>
        <v>672.36</v>
      </c>
      <c r="AE11" s="668">
        <f>'Haver Pivoted'!HP40</f>
        <v>699.33299999999997</v>
      </c>
      <c r="AF11" s="668">
        <f>'Haver Pivoted'!HQ40</f>
        <v>705.51800000000003</v>
      </c>
      <c r="AG11" s="247"/>
      <c r="AH11" s="247"/>
      <c r="AI11" s="247"/>
      <c r="AJ11" s="247"/>
      <c r="AK11" s="247"/>
      <c r="AL11" s="247"/>
      <c r="AM11" s="247"/>
      <c r="AN11" s="247"/>
    </row>
    <row r="12" spans="2:41" ht="25" customHeight="1" x14ac:dyDescent="0.35">
      <c r="B12" s="639" t="s">
        <v>2389</v>
      </c>
      <c r="D12" s="133">
        <f>D11/D10</f>
        <v>0.66483630195080579</v>
      </c>
      <c r="E12" s="133">
        <f t="shared" ref="E12:AF12" si="0">E11/E10</f>
        <v>0.67708034073826617</v>
      </c>
      <c r="F12" s="133">
        <f t="shared" si="0"/>
        <v>0.67414713541666671</v>
      </c>
      <c r="G12" s="133">
        <f t="shared" si="0"/>
        <v>0.67269601542416446</v>
      </c>
      <c r="H12" s="133">
        <f t="shared" si="0"/>
        <v>0.67061714469867872</v>
      </c>
      <c r="I12" s="133">
        <f t="shared" si="0"/>
        <v>0.69742621599340471</v>
      </c>
      <c r="J12" s="133">
        <f t="shared" si="0"/>
        <v>0.77171402383134735</v>
      </c>
      <c r="K12" s="133">
        <f t="shared" si="0"/>
        <v>0.70201534674967425</v>
      </c>
      <c r="L12" s="133">
        <f t="shared" si="0"/>
        <v>0.74742225497420778</v>
      </c>
      <c r="M12" s="133">
        <f t="shared" si="0"/>
        <v>0.70902241770715102</v>
      </c>
      <c r="N12" s="133">
        <f t="shared" si="0"/>
        <v>0.70459959758551305</v>
      </c>
      <c r="O12" s="133">
        <f t="shared" si="0"/>
        <v>0.72598104644954609</v>
      </c>
      <c r="P12" s="133">
        <f t="shared" si="0"/>
        <v>0.75596596998928201</v>
      </c>
      <c r="Q12" s="133">
        <f t="shared" si="0"/>
        <v>0.74566090140133823</v>
      </c>
      <c r="R12" s="133">
        <f t="shared" si="0"/>
        <v>0.72632613206395702</v>
      </c>
      <c r="S12" s="133">
        <f t="shared" si="0"/>
        <v>0.74827207229209913</v>
      </c>
      <c r="T12" s="133">
        <f t="shared" si="0"/>
        <v>0.73360657719743672</v>
      </c>
      <c r="U12" s="133">
        <f t="shared" si="0"/>
        <v>0.72277714416058392</v>
      </c>
      <c r="V12" s="133">
        <f t="shared" si="0"/>
        <v>0.70676912943242953</v>
      </c>
      <c r="W12" s="133">
        <f t="shared" si="0"/>
        <v>0.66557131327107122</v>
      </c>
      <c r="X12" s="133">
        <f t="shared" si="0"/>
        <v>0.70512766701643925</v>
      </c>
      <c r="Y12" s="133">
        <f t="shared" si="0"/>
        <v>0.67218055861007253</v>
      </c>
      <c r="Z12" s="133">
        <f t="shared" si="0"/>
        <v>0.66307692307692312</v>
      </c>
      <c r="AA12" s="133">
        <f t="shared" si="0"/>
        <v>0.66722122586770749</v>
      </c>
      <c r="AB12" s="133">
        <f t="shared" si="0"/>
        <v>0.67283959612782351</v>
      </c>
      <c r="AC12" s="133">
        <f t="shared" si="0"/>
        <v>0.66868927973199321</v>
      </c>
      <c r="AD12" s="133">
        <f t="shared" si="0"/>
        <v>0.678124054462935</v>
      </c>
      <c r="AE12" s="133">
        <f t="shared" si="0"/>
        <v>0.66883416220351954</v>
      </c>
      <c r="AF12" s="133">
        <f t="shared" si="0"/>
        <v>0.65422663204747766</v>
      </c>
      <c r="AG12" s="133">
        <f>AG13+AG14</f>
        <v>0.64871853211148123</v>
      </c>
      <c r="AH12" s="133">
        <f t="shared" ref="AH12:AN12" si="1">AH13+AH14</f>
        <v>0.64997584520635343</v>
      </c>
      <c r="AI12" s="133">
        <f t="shared" si="1"/>
        <v>0.64918879289220799</v>
      </c>
      <c r="AJ12" s="133">
        <f t="shared" si="1"/>
        <v>0.6405274505643801</v>
      </c>
      <c r="AK12" s="133">
        <f t="shared" si="1"/>
        <v>0.63960265519360571</v>
      </c>
      <c r="AL12" s="133">
        <f t="shared" si="1"/>
        <v>0.63982368596413675</v>
      </c>
      <c r="AM12" s="133">
        <f t="shared" si="1"/>
        <v>0.63978564615358269</v>
      </c>
      <c r="AN12" s="133">
        <f t="shared" si="1"/>
        <v>0.63993485946892625</v>
      </c>
    </row>
    <row r="13" spans="2:41" ht="27.65" customHeight="1" x14ac:dyDescent="0.35">
      <c r="B13" s="639" t="s">
        <v>2051</v>
      </c>
      <c r="C13" s="43"/>
      <c r="D13" s="707"/>
      <c r="E13" s="694"/>
      <c r="F13" s="694"/>
      <c r="G13" s="694"/>
      <c r="H13" s="694"/>
      <c r="I13" s="694"/>
      <c r="J13" s="694"/>
      <c r="K13" s="694"/>
      <c r="L13" s="694"/>
      <c r="M13" s="694"/>
      <c r="N13" s="694"/>
      <c r="O13" s="694"/>
      <c r="P13" s="694"/>
      <c r="Q13" s="694"/>
      <c r="R13" s="694"/>
      <c r="S13" s="674"/>
      <c r="T13" s="674"/>
      <c r="U13" s="674"/>
      <c r="V13" s="674"/>
      <c r="W13" s="674"/>
      <c r="X13" s="674"/>
      <c r="Y13" s="674"/>
      <c r="Z13" s="674"/>
      <c r="AA13" s="674"/>
      <c r="AB13" s="674"/>
      <c r="AC13" s="674"/>
      <c r="AD13" s="674"/>
      <c r="AE13" s="674"/>
      <c r="AF13" s="674"/>
      <c r="AG13" s="709">
        <f>AVERAGE(AC12:AF12)</f>
        <v>0.66746853211148127</v>
      </c>
      <c r="AH13" s="709">
        <f t="shared" ref="AH13:AN13" si="2">AVERAGE(AD12:AG12)</f>
        <v>0.66247584520635339</v>
      </c>
      <c r="AI13" s="709">
        <f t="shared" si="2"/>
        <v>0.65543879289220797</v>
      </c>
      <c r="AJ13" s="709">
        <f t="shared" si="2"/>
        <v>0.65052745056438011</v>
      </c>
      <c r="AK13" s="709">
        <f t="shared" si="2"/>
        <v>0.64710265519360566</v>
      </c>
      <c r="AL13" s="709">
        <f t="shared" si="2"/>
        <v>0.64482368596413675</v>
      </c>
      <c r="AM13" s="709">
        <f t="shared" si="2"/>
        <v>0.64228564615358263</v>
      </c>
      <c r="AN13" s="709">
        <f t="shared" si="2"/>
        <v>0.63993485946892625</v>
      </c>
    </row>
    <row r="14" spans="2:41" ht="37.5" customHeight="1" x14ac:dyDescent="0.35">
      <c r="B14" s="399" t="s">
        <v>2390</v>
      </c>
      <c r="C14" s="44"/>
      <c r="D14" s="683"/>
      <c r="E14" s="683"/>
      <c r="F14" s="683"/>
      <c r="G14" s="683"/>
      <c r="H14" s="683"/>
      <c r="I14" s="683"/>
      <c r="J14" s="683"/>
      <c r="K14" s="683"/>
      <c r="L14" s="683"/>
      <c r="M14" s="683"/>
      <c r="N14" s="683"/>
      <c r="O14" s="683"/>
      <c r="P14" s="683"/>
      <c r="Q14" s="683"/>
      <c r="R14" s="683"/>
      <c r="S14" s="658"/>
      <c r="T14" s="658"/>
      <c r="U14" s="658"/>
      <c r="V14" s="658"/>
      <c r="W14" s="658"/>
      <c r="X14" s="658"/>
      <c r="Y14" s="658"/>
      <c r="Z14" s="658"/>
      <c r="AA14" s="658"/>
      <c r="AB14" s="658"/>
      <c r="AC14" s="658"/>
      <c r="AD14" s="658"/>
      <c r="AE14" s="658"/>
      <c r="AF14" s="658">
        <v>0</v>
      </c>
      <c r="AG14" s="659">
        <f>0.75*AG15</f>
        <v>-1.8750000000000003E-2</v>
      </c>
      <c r="AH14" s="659">
        <f>0.5*AH15</f>
        <v>-1.2500000000000001E-2</v>
      </c>
      <c r="AI14" s="659">
        <f>0.25*AI15</f>
        <v>-6.2500000000000003E-3</v>
      </c>
      <c r="AJ14" s="659">
        <f>AJ15-AI15</f>
        <v>-1.0000000000000002E-2</v>
      </c>
      <c r="AK14" s="659">
        <f>AJ14*0.75</f>
        <v>-7.5000000000000015E-3</v>
      </c>
      <c r="AL14" s="659">
        <f>AJ14*0.5</f>
        <v>-5.000000000000001E-3</v>
      </c>
      <c r="AM14" s="659">
        <f>AJ14*0.25</f>
        <v>-2.5000000000000005E-3</v>
      </c>
      <c r="AN14" s="659"/>
    </row>
    <row r="15" spans="2:41" ht="27.65" customHeight="1" x14ac:dyDescent="0.35">
      <c r="B15" s="660" t="s">
        <v>2050</v>
      </c>
      <c r="C15" s="44"/>
      <c r="D15" s="683"/>
      <c r="E15" s="683"/>
      <c r="F15" s="683"/>
      <c r="G15" s="683"/>
      <c r="H15" s="683"/>
      <c r="I15" s="683"/>
      <c r="J15" s="683"/>
      <c r="K15" s="683"/>
      <c r="L15" s="683"/>
      <c r="M15" s="683"/>
      <c r="N15" s="683"/>
      <c r="O15" s="683"/>
      <c r="P15" s="683"/>
      <c r="Q15" s="683"/>
      <c r="R15" s="683"/>
      <c r="S15" s="658"/>
      <c r="T15" s="658"/>
      <c r="U15" s="658"/>
      <c r="V15" s="658"/>
      <c r="W15" s="658"/>
      <c r="X15" s="658"/>
      <c r="Y15" s="658"/>
      <c r="Z15" s="658"/>
      <c r="AA15" s="658"/>
      <c r="AB15" s="658"/>
      <c r="AC15" s="658"/>
      <c r="AD15" s="658"/>
      <c r="AE15" s="658"/>
      <c r="AF15" s="659"/>
      <c r="AG15" s="659">
        <v>-2.5000000000000001E-2</v>
      </c>
      <c r="AH15" s="659">
        <v>-2.5000000000000001E-2</v>
      </c>
      <c r="AI15" s="659">
        <v>-2.5000000000000001E-2</v>
      </c>
      <c r="AJ15" s="659">
        <v>-3.5000000000000003E-2</v>
      </c>
      <c r="AK15" s="659">
        <v>-3.5000000000000003E-2</v>
      </c>
      <c r="AL15" s="659">
        <v>-3.5000000000000003E-2</v>
      </c>
      <c r="AM15" s="659">
        <v>-3.5000000000000003E-2</v>
      </c>
      <c r="AN15" s="659">
        <v>-3.5000000000000003E-2</v>
      </c>
    </row>
    <row r="16" spans="2:41" x14ac:dyDescent="0.35">
      <c r="O16" s="44"/>
      <c r="P16" s="268"/>
      <c r="Q16" s="44"/>
      <c r="R16" s="44"/>
      <c r="S16" s="44"/>
      <c r="T16" s="606"/>
      <c r="Y16" s="265"/>
      <c r="Z16" s="265"/>
      <c r="AA16" s="265"/>
      <c r="AB16" s="265"/>
      <c r="AC16" s="265"/>
      <c r="AD16" s="265"/>
      <c r="AE16" s="265"/>
      <c r="AF16" s="265"/>
      <c r="AG16" s="265"/>
      <c r="AH16" s="265"/>
      <c r="AI16" s="44"/>
    </row>
    <row r="17" spans="2:41" x14ac:dyDescent="0.35">
      <c r="B17" s="630" t="s">
        <v>318</v>
      </c>
      <c r="O17" s="44"/>
      <c r="P17" s="268"/>
      <c r="Q17" s="44"/>
      <c r="R17" s="44"/>
      <c r="S17" s="44"/>
      <c r="T17" s="606"/>
      <c r="Y17" s="265"/>
      <c r="Z17" s="265"/>
      <c r="AA17" s="265"/>
      <c r="AB17" s="265"/>
      <c r="AC17" s="265"/>
      <c r="AD17" s="265"/>
      <c r="AE17" s="265"/>
      <c r="AF17" s="265"/>
      <c r="AG17" s="265"/>
      <c r="AH17" s="265"/>
      <c r="AI17" s="44"/>
    </row>
    <row r="18" spans="2:41" x14ac:dyDescent="0.35">
      <c r="B18" s="670" t="s">
        <v>395</v>
      </c>
      <c r="C18" s="686">
        <v>2020</v>
      </c>
      <c r="D18" s="686">
        <v>2021</v>
      </c>
      <c r="E18" s="686">
        <v>2022</v>
      </c>
      <c r="F18" s="686">
        <v>2023</v>
      </c>
      <c r="G18" s="686">
        <v>2024</v>
      </c>
      <c r="H18" s="686">
        <v>2025</v>
      </c>
      <c r="I18" s="686">
        <v>2026</v>
      </c>
      <c r="J18" s="686">
        <v>2027</v>
      </c>
      <c r="K18" s="687">
        <v>2028</v>
      </c>
      <c r="L18" s="686">
        <v>2029</v>
      </c>
      <c r="M18" s="686">
        <v>2030</v>
      </c>
      <c r="N18" s="686">
        <v>2031</v>
      </c>
      <c r="O18" s="687">
        <v>2032</v>
      </c>
      <c r="P18" s="686">
        <v>2033</v>
      </c>
      <c r="Q18" s="686">
        <v>2034</v>
      </c>
      <c r="R18" s="686">
        <v>2035</v>
      </c>
      <c r="S18" s="686">
        <v>2036</v>
      </c>
      <c r="T18" s="683"/>
      <c r="U18" s="683"/>
      <c r="V18" s="683"/>
      <c r="W18" s="683"/>
      <c r="X18" s="683"/>
      <c r="Y18" s="683"/>
      <c r="Z18" s="683"/>
      <c r="AA18" s="683"/>
      <c r="AB18" s="683"/>
      <c r="AC18" s="683"/>
      <c r="AD18" s="683"/>
      <c r="AE18" s="683"/>
      <c r="AF18" s="683"/>
      <c r="AG18" s="683"/>
      <c r="AH18" s="683"/>
      <c r="AI18" s="44"/>
    </row>
    <row r="19" spans="2:41" ht="26.5" customHeight="1" x14ac:dyDescent="0.35">
      <c r="B19" s="669" t="s">
        <v>2038</v>
      </c>
      <c r="C19" s="377">
        <v>458.46800000000002</v>
      </c>
      <c r="D19" s="388">
        <v>520.58799999999997</v>
      </c>
      <c r="E19" s="388">
        <v>591.94899999999996</v>
      </c>
      <c r="F19" s="388">
        <v>615.77200000000005</v>
      </c>
      <c r="G19" s="388">
        <v>617.51700000000005</v>
      </c>
      <c r="H19" s="388">
        <v>668</v>
      </c>
      <c r="I19" s="388">
        <v>708</v>
      </c>
      <c r="J19" s="388">
        <v>726</v>
      </c>
      <c r="K19" s="388">
        <v>746</v>
      </c>
      <c r="L19" s="388">
        <v>754</v>
      </c>
      <c r="M19" s="388">
        <v>777</v>
      </c>
      <c r="N19" s="388">
        <v>804</v>
      </c>
      <c r="O19" s="388">
        <v>834</v>
      </c>
      <c r="P19" s="388">
        <v>870</v>
      </c>
      <c r="Q19" s="388">
        <v>905</v>
      </c>
      <c r="R19" s="388">
        <v>941</v>
      </c>
      <c r="S19" s="44">
        <v>981</v>
      </c>
      <c r="T19" s="44"/>
      <c r="U19" s="44"/>
      <c r="V19" s="44"/>
      <c r="W19" s="44"/>
      <c r="X19" s="44"/>
      <c r="Y19" s="44"/>
      <c r="Z19" s="44"/>
      <c r="AA19" s="44"/>
      <c r="AB19" s="44"/>
      <c r="AC19" s="44"/>
      <c r="AD19" s="44"/>
      <c r="AE19" s="44"/>
      <c r="AF19" s="44"/>
      <c r="AH19" s="44"/>
      <c r="AI19" s="44"/>
    </row>
    <row r="20" spans="2:41" ht="26.5" customHeight="1" x14ac:dyDescent="0.35">
      <c r="B20" s="669"/>
      <c r="C20" s="377"/>
      <c r="D20" s="119">
        <f t="shared" ref="D20:R20" si="3">D19/C19-1</f>
        <v>0.13549473463796802</v>
      </c>
      <c r="E20" s="119">
        <f t="shared" si="3"/>
        <v>0.13707768907466167</v>
      </c>
      <c r="F20" s="119">
        <f t="shared" si="3"/>
        <v>4.0245021108237466E-2</v>
      </c>
      <c r="G20" s="119">
        <f t="shared" si="3"/>
        <v>2.8338410970294436E-3</v>
      </c>
      <c r="H20" s="119">
        <f t="shared" si="3"/>
        <v>8.1751595502633778E-2</v>
      </c>
      <c r="I20" s="119">
        <f t="shared" si="3"/>
        <v>5.9880239520958112E-2</v>
      </c>
      <c r="J20" s="119">
        <f t="shared" si="3"/>
        <v>2.5423728813559254E-2</v>
      </c>
      <c r="K20" s="119">
        <f t="shared" si="3"/>
        <v>2.7548209366391241E-2</v>
      </c>
      <c r="L20" s="119">
        <f t="shared" si="3"/>
        <v>1.072386058981234E-2</v>
      </c>
      <c r="M20" s="119">
        <f t="shared" si="3"/>
        <v>3.0503978779840901E-2</v>
      </c>
      <c r="N20" s="119">
        <f t="shared" si="3"/>
        <v>3.474903474903468E-2</v>
      </c>
      <c r="O20" s="119">
        <f t="shared" si="3"/>
        <v>3.7313432835820892E-2</v>
      </c>
      <c r="P20" s="119">
        <f t="shared" si="3"/>
        <v>4.3165467625899234E-2</v>
      </c>
      <c r="Q20" s="119">
        <f t="shared" si="3"/>
        <v>4.022988505747116E-2</v>
      </c>
      <c r="R20" s="119">
        <f t="shared" si="3"/>
        <v>3.977900552486191E-2</v>
      </c>
      <c r="S20" s="119">
        <f>S19/R19-1</f>
        <v>4.2507970244420878E-2</v>
      </c>
      <c r="T20" s="44"/>
      <c r="U20" s="44"/>
      <c r="V20" s="44"/>
      <c r="W20" s="44"/>
      <c r="X20" s="44"/>
      <c r="Y20" s="44"/>
      <c r="Z20" s="44"/>
      <c r="AA20" s="44"/>
      <c r="AB20" s="44"/>
      <c r="AC20" s="44"/>
      <c r="AD20" s="44"/>
      <c r="AE20" s="44"/>
      <c r="AF20" s="44"/>
      <c r="AH20" s="44"/>
      <c r="AI20" s="44"/>
    </row>
    <row r="21" spans="2:41" x14ac:dyDescent="0.35">
      <c r="B21" s="679" t="s">
        <v>396</v>
      </c>
      <c r="C21" s="683"/>
      <c r="D21" s="683"/>
      <c r="E21" s="683"/>
      <c r="F21" s="683"/>
      <c r="G21" s="683">
        <f>AVERAGE(X12:AA12)</f>
        <v>0.67690159364278557</v>
      </c>
      <c r="H21" s="683">
        <f>AVERAGE(AB12:AE12)</f>
        <v>0.67212177313156785</v>
      </c>
      <c r="I21" s="683">
        <f>AVERAGE(AF12:AI12)</f>
        <v>0.65052745056438011</v>
      </c>
      <c r="J21" s="683">
        <f>AVERAGE(AJ12:AM12)</f>
        <v>0.63993485946892625</v>
      </c>
      <c r="K21" s="1332">
        <f>0.635</f>
        <v>0.63500000000000001</v>
      </c>
    </row>
    <row r="22" spans="2:41" x14ac:dyDescent="0.35">
      <c r="B22" s="679" t="s">
        <v>397</v>
      </c>
      <c r="C22" s="265" t="e">
        <f t="shared" ref="C22:K22" si="4">C19/C21</f>
        <v>#DIV/0!</v>
      </c>
      <c r="D22" s="265" t="e">
        <f t="shared" si="4"/>
        <v>#DIV/0!</v>
      </c>
      <c r="E22" s="265" t="e">
        <f t="shared" si="4"/>
        <v>#DIV/0!</v>
      </c>
      <c r="F22" s="265" t="e">
        <f t="shared" si="4"/>
        <v>#DIV/0!</v>
      </c>
      <c r="G22" s="265">
        <f t="shared" si="4"/>
        <v>912.26997513301183</v>
      </c>
      <c r="H22" s="265">
        <f t="shared" si="4"/>
        <v>993.86752029715751</v>
      </c>
      <c r="I22" s="265">
        <f t="shared" si="4"/>
        <v>1088.3476160548771</v>
      </c>
      <c r="J22" s="265">
        <f t="shared" si="4"/>
        <v>1134.4904707996343</v>
      </c>
      <c r="K22" s="265">
        <f t="shared" si="4"/>
        <v>1174.8031496062993</v>
      </c>
    </row>
    <row r="23" spans="2:41" ht="32.25" customHeight="1" x14ac:dyDescent="0.35">
      <c r="B23" s="639" t="s">
        <v>398</v>
      </c>
      <c r="C23" s="676"/>
      <c r="D23" s="694" t="e">
        <f>D22/C22-1</f>
        <v>#DIV/0!</v>
      </c>
      <c r="E23" s="694" t="e">
        <f t="shared" ref="E23" si="5">E22/D22-1</f>
        <v>#DIV/0!</v>
      </c>
      <c r="F23" s="694" t="e">
        <f t="shared" ref="F23" si="6">F22/E22-1</f>
        <v>#DIV/0!</v>
      </c>
      <c r="G23" s="694" t="e">
        <f>G22/F22-1</f>
        <v>#DIV/0!</v>
      </c>
      <c r="H23" s="694">
        <f>H22/G22-1</f>
        <v>8.9444514659433372E-2</v>
      </c>
      <c r="I23" s="694">
        <f>I22/H22-1</f>
        <v>9.5063068093291569E-2</v>
      </c>
      <c r="J23" s="694">
        <f>J22/I22-1</f>
        <v>4.2397166184843682E-2</v>
      </c>
      <c r="K23" s="694">
        <f t="shared" ref="K23" si="7">K22/J22-1</f>
        <v>3.5533730643194428E-2</v>
      </c>
      <c r="L23" s="696"/>
      <c r="R23" s="44"/>
      <c r="S23" s="633"/>
      <c r="T23" s="633"/>
      <c r="U23" s="633"/>
    </row>
    <row r="24" spans="2:41" ht="32.25" customHeight="1" x14ac:dyDescent="0.35">
      <c r="B24" s="399"/>
      <c r="C24" s="265"/>
      <c r="D24" s="683"/>
      <c r="E24" s="683"/>
      <c r="F24" s="683"/>
      <c r="G24" s="683"/>
      <c r="H24" s="683"/>
      <c r="I24" s="683"/>
      <c r="J24" s="683"/>
      <c r="K24" s="696"/>
      <c r="L24" s="696"/>
      <c r="R24" s="44"/>
      <c r="S24" s="633"/>
      <c r="T24" s="633"/>
      <c r="U24" s="633"/>
    </row>
    <row r="26" spans="2:41" x14ac:dyDescent="0.35">
      <c r="B26" s="630" t="s">
        <v>331</v>
      </c>
    </row>
    <row r="27" spans="2:41" x14ac:dyDescent="0.35">
      <c r="B27" s="1389" t="s">
        <v>399</v>
      </c>
      <c r="C27" s="1390"/>
      <c r="D27" s="1409" t="s">
        <v>246</v>
      </c>
      <c r="E27" s="1410"/>
      <c r="F27" s="1410"/>
      <c r="G27" s="1410"/>
      <c r="H27" s="1410"/>
      <c r="I27" s="1410"/>
      <c r="J27" s="1410"/>
      <c r="K27" s="1410"/>
      <c r="L27" s="1410"/>
      <c r="M27" s="1410"/>
      <c r="N27" s="1410"/>
      <c r="O27" s="1410"/>
      <c r="P27" s="1410"/>
      <c r="Q27" s="1410"/>
      <c r="R27" s="1410"/>
      <c r="S27" s="1410"/>
      <c r="T27" s="1410"/>
      <c r="U27" s="1410"/>
      <c r="V27" s="1410"/>
      <c r="W27" s="1410"/>
      <c r="X27" s="1410"/>
      <c r="Y27" s="1410"/>
      <c r="Z27" s="1410"/>
      <c r="AA27" s="1410"/>
      <c r="AB27" s="1411"/>
      <c r="AC27" s="259"/>
      <c r="AD27" s="260"/>
      <c r="AE27" s="260"/>
      <c r="AF27" s="260"/>
      <c r="AG27" s="1419" t="s">
        <v>247</v>
      </c>
      <c r="AH27" s="1420"/>
      <c r="AI27" s="1420"/>
      <c r="AJ27" s="1420"/>
      <c r="AK27" s="1420"/>
      <c r="AL27" s="1420"/>
      <c r="AM27" s="1420"/>
      <c r="AN27" s="1421"/>
    </row>
    <row r="28" spans="2:41" x14ac:dyDescent="0.35">
      <c r="B28" s="1391"/>
      <c r="C28" s="1392"/>
      <c r="D28" s="249">
        <v>2018</v>
      </c>
      <c r="E28" s="1398">
        <v>2019</v>
      </c>
      <c r="F28" s="1399"/>
      <c r="G28" s="1399"/>
      <c r="H28" s="1400"/>
      <c r="I28" s="1398">
        <v>2020</v>
      </c>
      <c r="J28" s="1399"/>
      <c r="K28" s="1399"/>
      <c r="L28" s="1400"/>
      <c r="M28" s="1398">
        <v>2021</v>
      </c>
      <c r="N28" s="1399"/>
      <c r="O28" s="1399"/>
      <c r="P28" s="1400"/>
      <c r="Q28" s="1398">
        <v>2022</v>
      </c>
      <c r="R28" s="1399"/>
      <c r="S28" s="1399"/>
      <c r="T28" s="1400"/>
      <c r="U28" s="283"/>
      <c r="V28" s="282">
        <v>2023</v>
      </c>
      <c r="W28" s="282"/>
      <c r="X28" s="279"/>
      <c r="Y28" s="283"/>
      <c r="Z28" s="282">
        <v>2024</v>
      </c>
      <c r="AA28" s="282"/>
      <c r="AB28" s="279"/>
      <c r="AC28" s="1398">
        <v>2025</v>
      </c>
      <c r="AD28" s="1399"/>
      <c r="AE28" s="1399"/>
      <c r="AF28" s="1400"/>
      <c r="AG28" s="1412">
        <v>2026</v>
      </c>
      <c r="AH28" s="1424"/>
      <c r="AI28" s="1424"/>
      <c r="AJ28" s="1414"/>
      <c r="AK28" s="1412">
        <v>2027</v>
      </c>
      <c r="AL28" s="1424"/>
      <c r="AM28" s="1424"/>
      <c r="AN28" s="1414"/>
    </row>
    <row r="29" spans="2:41" x14ac:dyDescent="0.35">
      <c r="B29" s="1393"/>
      <c r="C29" s="1394"/>
      <c r="D29" s="244" t="s">
        <v>248</v>
      </c>
      <c r="E29" s="244" t="s">
        <v>249</v>
      </c>
      <c r="F29" s="245" t="s">
        <v>250</v>
      </c>
      <c r="G29" s="245" t="s">
        <v>226</v>
      </c>
      <c r="H29" s="246" t="s">
        <v>248</v>
      </c>
      <c r="I29" s="245" t="s">
        <v>249</v>
      </c>
      <c r="J29" s="245" t="s">
        <v>250</v>
      </c>
      <c r="K29" s="245" t="s">
        <v>226</v>
      </c>
      <c r="L29" s="245" t="s">
        <v>248</v>
      </c>
      <c r="M29" s="244" t="s">
        <v>249</v>
      </c>
      <c r="N29" s="245" t="s">
        <v>250</v>
      </c>
      <c r="O29" s="245" t="s">
        <v>226</v>
      </c>
      <c r="P29" s="245" t="s">
        <v>248</v>
      </c>
      <c r="Q29" s="244" t="s">
        <v>249</v>
      </c>
      <c r="R29" s="245" t="s">
        <v>250</v>
      </c>
      <c r="S29" s="245" t="s">
        <v>226</v>
      </c>
      <c r="T29" s="246" t="s">
        <v>248</v>
      </c>
      <c r="U29" s="272" t="s">
        <v>249</v>
      </c>
      <c r="V29" s="274" t="s">
        <v>250</v>
      </c>
      <c r="W29" s="273" t="s">
        <v>226</v>
      </c>
      <c r="X29" s="273" t="s">
        <v>248</v>
      </c>
      <c r="Y29" s="272" t="s">
        <v>249</v>
      </c>
      <c r="Z29" s="274" t="s">
        <v>250</v>
      </c>
      <c r="AA29" s="273" t="s">
        <v>226</v>
      </c>
      <c r="AB29" s="273" t="s">
        <v>248</v>
      </c>
      <c r="AC29" s="272" t="s">
        <v>249</v>
      </c>
      <c r="AD29" s="274" t="s">
        <v>250</v>
      </c>
      <c r="AE29" s="273" t="s">
        <v>226</v>
      </c>
      <c r="AF29" s="273" t="s">
        <v>248</v>
      </c>
      <c r="AG29" s="358" t="s">
        <v>249</v>
      </c>
      <c r="AH29" s="269" t="s">
        <v>250</v>
      </c>
      <c r="AI29" s="269" t="s">
        <v>226</v>
      </c>
      <c r="AJ29" s="402" t="s">
        <v>248</v>
      </c>
      <c r="AK29" s="358" t="s">
        <v>249</v>
      </c>
      <c r="AL29" s="269" t="s">
        <v>250</v>
      </c>
      <c r="AM29" s="269" t="s">
        <v>226</v>
      </c>
      <c r="AN29" s="402" t="s">
        <v>248</v>
      </c>
    </row>
    <row r="30" spans="2:41" ht="19.5" customHeight="1" x14ac:dyDescent="0.35">
      <c r="B30" s="665" t="s">
        <v>400</v>
      </c>
      <c r="C30" s="703"/>
      <c r="D30" s="691">
        <f t="shared" ref="D30:AF30" si="8">D10</f>
        <v>589.5</v>
      </c>
      <c r="E30" s="692">
        <f t="shared" si="8"/>
        <v>598.70000000000005</v>
      </c>
      <c r="F30" s="692">
        <f t="shared" si="8"/>
        <v>614.4</v>
      </c>
      <c r="G30" s="692">
        <f t="shared" si="8"/>
        <v>622.4</v>
      </c>
      <c r="H30" s="692">
        <f t="shared" si="8"/>
        <v>620.6</v>
      </c>
      <c r="I30" s="692">
        <f t="shared" si="8"/>
        <v>606.5</v>
      </c>
      <c r="J30" s="692">
        <f t="shared" si="8"/>
        <v>654.6</v>
      </c>
      <c r="K30" s="692">
        <f t="shared" si="8"/>
        <v>690.7</v>
      </c>
      <c r="L30" s="692">
        <f t="shared" si="8"/>
        <v>678.5</v>
      </c>
      <c r="M30" s="692">
        <f t="shared" si="8"/>
        <v>704.8</v>
      </c>
      <c r="N30" s="692">
        <f t="shared" si="8"/>
        <v>745.5</v>
      </c>
      <c r="O30" s="692">
        <f t="shared" si="8"/>
        <v>749.2</v>
      </c>
      <c r="P30" s="692">
        <f t="shared" si="8"/>
        <v>746.4</v>
      </c>
      <c r="Q30" s="692">
        <f t="shared" si="8"/>
        <v>792.1</v>
      </c>
      <c r="R30" s="692">
        <f t="shared" si="8"/>
        <v>819.3</v>
      </c>
      <c r="S30" s="693">
        <f t="shared" si="8"/>
        <v>818.9</v>
      </c>
      <c r="T30" s="684">
        <f t="shared" si="8"/>
        <v>827.1</v>
      </c>
      <c r="U30" s="693">
        <f t="shared" si="8"/>
        <v>876.8</v>
      </c>
      <c r="V30" s="693">
        <f t="shared" si="8"/>
        <v>910.9</v>
      </c>
      <c r="W30" s="693">
        <f t="shared" si="8"/>
        <v>867.3</v>
      </c>
      <c r="X30" s="693">
        <f t="shared" si="8"/>
        <v>857.7</v>
      </c>
      <c r="Y30" s="693">
        <f t="shared" si="8"/>
        <v>909.4</v>
      </c>
      <c r="Z30" s="693">
        <f t="shared" si="8"/>
        <v>934.7</v>
      </c>
      <c r="AA30" s="693">
        <f t="shared" si="8"/>
        <v>947.9</v>
      </c>
      <c r="AB30" s="693">
        <f t="shared" si="8"/>
        <v>960.7</v>
      </c>
      <c r="AC30" s="693">
        <f t="shared" si="8"/>
        <v>955.2</v>
      </c>
      <c r="AD30" s="693">
        <f t="shared" si="8"/>
        <v>991.5</v>
      </c>
      <c r="AE30" s="693">
        <f t="shared" si="8"/>
        <v>1045.5999999999999</v>
      </c>
      <c r="AF30" s="693">
        <f t="shared" si="8"/>
        <v>1078.4000000000001</v>
      </c>
      <c r="AG30" s="682">
        <f>AF30*(1+$I$23)^0.25+AG31+AG32</f>
        <v>1093.1629366212339</v>
      </c>
      <c r="AH30" s="682">
        <f>AG30*(1+$I$23)^0.25+AH31+AH32</f>
        <v>1113.2648695925188</v>
      </c>
      <c r="AI30" s="682">
        <f>AH30*(1+$I$23)^0.25+AI31+AI32</f>
        <v>1136.8283964919679</v>
      </c>
      <c r="AJ30" s="671">
        <f>AI30*(1+$J$23)^0.25+AJ31+AJ32</f>
        <v>1138.6910007857018</v>
      </c>
      <c r="AK30" s="682">
        <f>AJ30*(1+$J$23)^0.25+AK31+AK32</f>
        <v>1145.5730410275178</v>
      </c>
      <c r="AL30" s="682">
        <f>AK30*(1+$J$23)^0.25+AL31+AL32</f>
        <v>1152.5268941483698</v>
      </c>
      <c r="AM30" s="682">
        <f>AL30*(1+$J$23)^0.25+AM31+AM32</f>
        <v>1160.5533095030155</v>
      </c>
      <c r="AN30" s="671">
        <f>AM30*(1+$K$23)^0.25+AN31</f>
        <v>1170.7284082425656</v>
      </c>
      <c r="AO30" s="672" t="s">
        <v>1780</v>
      </c>
    </row>
    <row r="31" spans="2:41" ht="19.5" customHeight="1" x14ac:dyDescent="0.35">
      <c r="B31" s="666" t="s">
        <v>2387</v>
      </c>
      <c r="C31" s="385"/>
      <c r="D31" s="704"/>
      <c r="E31" s="680"/>
      <c r="F31" s="680"/>
      <c r="G31" s="680"/>
      <c r="H31" s="680"/>
      <c r="I31" s="680"/>
      <c r="J31" s="680"/>
      <c r="K31" s="680"/>
      <c r="L31" s="680"/>
      <c r="M31" s="680"/>
      <c r="N31" s="680"/>
      <c r="O31" s="680"/>
      <c r="P31" s="680"/>
      <c r="Q31" s="680"/>
      <c r="R31" s="680"/>
      <c r="S31" s="680"/>
      <c r="T31" s="680"/>
      <c r="U31" s="680"/>
      <c r="V31" s="680"/>
      <c r="W31" s="680"/>
      <c r="X31" s="680"/>
      <c r="Y31" s="682"/>
      <c r="Z31" s="682"/>
      <c r="AA31" s="682"/>
      <c r="AB31" s="682"/>
      <c r="AC31" s="682"/>
      <c r="AD31" s="682"/>
      <c r="AE31" s="682"/>
      <c r="AF31" s="682"/>
      <c r="AG31" s="682">
        <v>-10</v>
      </c>
      <c r="AH31" s="682">
        <v>-5</v>
      </c>
      <c r="AI31" s="682">
        <v>-2</v>
      </c>
      <c r="AJ31" s="682">
        <v>-10</v>
      </c>
      <c r="AK31" s="682">
        <v>-5</v>
      </c>
      <c r="AL31" s="682">
        <v>-5</v>
      </c>
      <c r="AM31" s="682">
        <v>-4</v>
      </c>
      <c r="AN31" s="682"/>
    </row>
    <row r="32" spans="2:41" ht="19.5" customHeight="1" x14ac:dyDescent="0.35">
      <c r="B32" s="675" t="s">
        <v>2013</v>
      </c>
      <c r="C32" s="385"/>
      <c r="D32" s="704"/>
      <c r="E32" s="680"/>
      <c r="F32" s="680"/>
      <c r="G32" s="680"/>
      <c r="H32" s="680"/>
      <c r="I32" s="680"/>
      <c r="J32" s="680"/>
      <c r="K32" s="680"/>
      <c r="L32" s="680"/>
      <c r="M32" s="680"/>
      <c r="N32" s="680"/>
      <c r="O32" s="680"/>
      <c r="P32" s="680"/>
      <c r="Q32" s="680"/>
      <c r="R32" s="680"/>
      <c r="S32" s="680"/>
      <c r="T32" s="680"/>
      <c r="U32" s="680"/>
      <c r="V32" s="680"/>
      <c r="W32" s="680"/>
      <c r="X32" s="680"/>
      <c r="Y32" s="682"/>
      <c r="Z32" s="682"/>
      <c r="AA32" s="682"/>
      <c r="AB32" s="682"/>
      <c r="AC32" s="682"/>
      <c r="AD32" s="682"/>
      <c r="AE32" s="682"/>
      <c r="AF32" s="682"/>
      <c r="AG32" s="682"/>
      <c r="AH32" s="682"/>
      <c r="AI32" s="682"/>
      <c r="AJ32" s="682"/>
      <c r="AK32" s="682"/>
      <c r="AL32" s="682"/>
      <c r="AM32" s="682"/>
      <c r="AN32" s="682"/>
    </row>
    <row r="33" spans="2:40" ht="19.399999999999999" customHeight="1" x14ac:dyDescent="0.35">
      <c r="B33" s="695" t="s">
        <v>195</v>
      </c>
      <c r="C33" s="385"/>
      <c r="D33" s="704">
        <f t="shared" ref="D33:Q33" si="9">D10*D13</f>
        <v>0</v>
      </c>
      <c r="E33" s="680">
        <f t="shared" si="9"/>
        <v>0</v>
      </c>
      <c r="F33" s="680">
        <f t="shared" si="9"/>
        <v>0</v>
      </c>
      <c r="G33" s="680">
        <f t="shared" si="9"/>
        <v>0</v>
      </c>
      <c r="H33" s="680">
        <f t="shared" si="9"/>
        <v>0</v>
      </c>
      <c r="I33" s="680">
        <f t="shared" si="9"/>
        <v>0</v>
      </c>
      <c r="J33" s="680">
        <f t="shared" si="9"/>
        <v>0</v>
      </c>
      <c r="K33" s="680">
        <f t="shared" si="9"/>
        <v>0</v>
      </c>
      <c r="L33" s="680">
        <f t="shared" si="9"/>
        <v>0</v>
      </c>
      <c r="M33" s="680">
        <f t="shared" si="9"/>
        <v>0</v>
      </c>
      <c r="N33" s="680">
        <f t="shared" si="9"/>
        <v>0</v>
      </c>
      <c r="O33" s="680">
        <f t="shared" si="9"/>
        <v>0</v>
      </c>
      <c r="P33" s="680">
        <f t="shared" si="9"/>
        <v>0</v>
      </c>
      <c r="Q33" s="680">
        <f t="shared" si="9"/>
        <v>0</v>
      </c>
      <c r="R33" s="680">
        <f t="shared" ref="R33:Z33" si="10">R30*R13</f>
        <v>0</v>
      </c>
      <c r="S33" s="680">
        <f t="shared" si="10"/>
        <v>0</v>
      </c>
      <c r="T33" s="680">
        <f t="shared" si="10"/>
        <v>0</v>
      </c>
      <c r="U33" s="680">
        <f t="shared" si="10"/>
        <v>0</v>
      </c>
      <c r="V33" s="680">
        <f t="shared" si="10"/>
        <v>0</v>
      </c>
      <c r="W33" s="680">
        <f t="shared" si="10"/>
        <v>0</v>
      </c>
      <c r="X33" s="680">
        <f t="shared" si="10"/>
        <v>0</v>
      </c>
      <c r="Y33" s="682">
        <f t="shared" si="10"/>
        <v>0</v>
      </c>
      <c r="Z33" s="682">
        <f t="shared" si="10"/>
        <v>0</v>
      </c>
      <c r="AA33" s="682">
        <f t="shared" ref="AA33:AD33" si="11">AA30*AA12</f>
        <v>632.45899999999995</v>
      </c>
      <c r="AB33" s="682">
        <f t="shared" si="11"/>
        <v>646.39700000000005</v>
      </c>
      <c r="AC33" s="682">
        <f t="shared" si="11"/>
        <v>638.73199999999997</v>
      </c>
      <c r="AD33" s="682">
        <f t="shared" si="11"/>
        <v>672.36</v>
      </c>
      <c r="AE33" s="682">
        <f t="shared" ref="AE33:AM33" si="12">AE30*AE12</f>
        <v>699.33299999999997</v>
      </c>
      <c r="AF33" s="682">
        <f t="shared" si="12"/>
        <v>705.51799999999992</v>
      </c>
      <c r="AG33" s="682">
        <f t="shared" si="12"/>
        <v>709.15505560360305</v>
      </c>
      <c r="AH33" s="682">
        <f t="shared" si="12"/>
        <v>723.59527455193825</v>
      </c>
      <c r="AI33" s="682">
        <f t="shared" si="12"/>
        <v>738.01625444420506</v>
      </c>
      <c r="AJ33" s="682">
        <f t="shared" si="12"/>
        <v>729.36284371386807</v>
      </c>
      <c r="AK33" s="682">
        <f t="shared" si="12"/>
        <v>732.71155875941372</v>
      </c>
      <c r="AL33" s="682">
        <f t="shared" si="12"/>
        <v>737.41400558680846</v>
      </c>
      <c r="AM33" s="682">
        <f t="shared" si="12"/>
        <v>742.50534901606557</v>
      </c>
      <c r="AN33" s="682">
        <f>AN30*AN13</f>
        <v>749.18991940498597</v>
      </c>
    </row>
    <row r="34" spans="2:40" ht="19.399999999999999" customHeight="1" x14ac:dyDescent="0.35">
      <c r="B34" s="678" t="s">
        <v>401</v>
      </c>
      <c r="C34" s="468"/>
      <c r="D34" s="706">
        <f t="shared" ref="D34:AN34" si="13">D30-D33</f>
        <v>589.5</v>
      </c>
      <c r="E34" s="681">
        <f t="shared" si="13"/>
        <v>598.70000000000005</v>
      </c>
      <c r="F34" s="681">
        <f t="shared" si="13"/>
        <v>614.4</v>
      </c>
      <c r="G34" s="681">
        <f t="shared" si="13"/>
        <v>622.4</v>
      </c>
      <c r="H34" s="681">
        <f t="shared" si="13"/>
        <v>620.6</v>
      </c>
      <c r="I34" s="681">
        <f t="shared" si="13"/>
        <v>606.5</v>
      </c>
      <c r="J34" s="681">
        <f t="shared" si="13"/>
        <v>654.6</v>
      </c>
      <c r="K34" s="681">
        <f t="shared" si="13"/>
        <v>690.7</v>
      </c>
      <c r="L34" s="681">
        <f t="shared" si="13"/>
        <v>678.5</v>
      </c>
      <c r="M34" s="681">
        <f t="shared" si="13"/>
        <v>704.8</v>
      </c>
      <c r="N34" s="681">
        <f t="shared" si="13"/>
        <v>745.5</v>
      </c>
      <c r="O34" s="681">
        <f t="shared" si="13"/>
        <v>749.2</v>
      </c>
      <c r="P34" s="681">
        <f t="shared" si="13"/>
        <v>746.4</v>
      </c>
      <c r="Q34" s="681">
        <f t="shared" si="13"/>
        <v>792.1</v>
      </c>
      <c r="R34" s="681">
        <f t="shared" si="13"/>
        <v>819.3</v>
      </c>
      <c r="S34" s="681">
        <f t="shared" si="13"/>
        <v>818.9</v>
      </c>
      <c r="T34" s="681">
        <f t="shared" si="13"/>
        <v>827.1</v>
      </c>
      <c r="U34" s="681">
        <f t="shared" si="13"/>
        <v>876.8</v>
      </c>
      <c r="V34" s="681">
        <f t="shared" si="13"/>
        <v>910.9</v>
      </c>
      <c r="W34" s="681">
        <f t="shared" si="13"/>
        <v>867.3</v>
      </c>
      <c r="X34" s="681">
        <f t="shared" si="13"/>
        <v>857.7</v>
      </c>
      <c r="Y34" s="702">
        <f t="shared" si="13"/>
        <v>909.4</v>
      </c>
      <c r="Z34" s="702">
        <f t="shared" si="13"/>
        <v>934.7</v>
      </c>
      <c r="AA34" s="702">
        <f t="shared" si="13"/>
        <v>315.44100000000003</v>
      </c>
      <c r="AB34" s="702">
        <f t="shared" si="13"/>
        <v>314.303</v>
      </c>
      <c r="AC34" s="702">
        <f t="shared" si="13"/>
        <v>316.46800000000007</v>
      </c>
      <c r="AD34" s="702">
        <f t="shared" si="13"/>
        <v>319.14</v>
      </c>
      <c r="AE34" s="702">
        <f t="shared" si="13"/>
        <v>346.26699999999994</v>
      </c>
      <c r="AF34" s="702">
        <f t="shared" si="13"/>
        <v>372.88200000000018</v>
      </c>
      <c r="AG34" s="702">
        <f t="shared" si="13"/>
        <v>384.00788101763089</v>
      </c>
      <c r="AH34" s="702">
        <f t="shared" si="13"/>
        <v>389.66959504058059</v>
      </c>
      <c r="AI34" s="702">
        <f t="shared" si="13"/>
        <v>398.81214204776279</v>
      </c>
      <c r="AJ34" s="702">
        <f t="shared" si="13"/>
        <v>409.32815707183374</v>
      </c>
      <c r="AK34" s="702">
        <f t="shared" si="13"/>
        <v>412.86148226810406</v>
      </c>
      <c r="AL34" s="702">
        <f t="shared" si="13"/>
        <v>415.11288856156136</v>
      </c>
      <c r="AM34" s="702">
        <f t="shared" si="13"/>
        <v>418.04796048694993</v>
      </c>
      <c r="AN34" s="702">
        <f t="shared" si="13"/>
        <v>421.53848883757962</v>
      </c>
    </row>
    <row r="35" spans="2:40" ht="19.399999999999999" customHeight="1" x14ac:dyDescent="0.35">
      <c r="B35" s="268" t="s">
        <v>2052</v>
      </c>
      <c r="C35" s="268"/>
      <c r="D35" s="606"/>
      <c r="E35" s="606"/>
      <c r="F35" s="606"/>
      <c r="G35" s="606"/>
      <c r="H35" s="606"/>
      <c r="I35" s="606"/>
      <c r="J35" s="606"/>
      <c r="K35" s="606"/>
      <c r="L35" s="606"/>
      <c r="M35" s="606"/>
      <c r="N35" s="606"/>
      <c r="O35" s="606"/>
      <c r="P35" s="606"/>
      <c r="Q35" s="606"/>
      <c r="R35" s="606"/>
      <c r="S35" s="606"/>
      <c r="T35" s="606"/>
      <c r="U35" s="606"/>
      <c r="V35" s="606"/>
      <c r="W35" s="606"/>
      <c r="X35" s="606"/>
      <c r="Y35" s="711"/>
      <c r="Z35" s="711"/>
      <c r="AA35" s="711"/>
      <c r="AB35" s="657">
        <f>AVERAGE(AB30:AE30)</f>
        <v>988.25</v>
      </c>
      <c r="AC35" s="711"/>
      <c r="AD35" s="711"/>
      <c r="AE35" s="711"/>
      <c r="AF35" s="657">
        <f>AVERAGE(AF30:AI30)</f>
        <v>1105.4140506764302</v>
      </c>
      <c r="AG35" s="711"/>
      <c r="AH35" s="711"/>
      <c r="AI35" s="711"/>
      <c r="AJ35" s="657">
        <f>AVERAGE(AJ30:AM30)</f>
        <v>1149.3360613661512</v>
      </c>
      <c r="AK35" s="711"/>
      <c r="AL35" s="711"/>
      <c r="AM35" s="711"/>
      <c r="AN35" s="711"/>
    </row>
    <row r="36" spans="2:40" ht="19.399999999999999" customHeight="1" x14ac:dyDescent="0.35">
      <c r="B36" s="268" t="s">
        <v>2053</v>
      </c>
      <c r="C36" s="268"/>
      <c r="D36" s="606"/>
      <c r="E36" s="606"/>
      <c r="F36" s="606"/>
      <c r="G36" s="606"/>
      <c r="H36" s="606"/>
      <c r="I36" s="606"/>
      <c r="J36" s="606"/>
      <c r="K36" s="606"/>
      <c r="L36" s="606"/>
      <c r="M36" s="606"/>
      <c r="N36" s="606"/>
      <c r="O36" s="606"/>
      <c r="P36" s="606"/>
      <c r="Q36" s="606"/>
      <c r="R36" s="606"/>
      <c r="S36" s="606"/>
      <c r="T36" s="606"/>
      <c r="U36" s="606"/>
      <c r="V36" s="606"/>
      <c r="W36" s="606"/>
      <c r="X36" s="606"/>
      <c r="Y36" s="711"/>
      <c r="Z36" s="711"/>
      <c r="AA36" s="711"/>
      <c r="AB36" s="657"/>
      <c r="AC36" s="711"/>
      <c r="AD36" s="711"/>
      <c r="AE36" s="711"/>
      <c r="AF36" s="661">
        <f>AF35/AB35-1</f>
        <v>0.11855709656102209</v>
      </c>
      <c r="AG36" s="711"/>
      <c r="AH36" s="711"/>
      <c r="AI36" s="711"/>
      <c r="AJ36" s="661">
        <f>AJ35/AF35-1</f>
        <v>3.9733537548979125E-2</v>
      </c>
      <c r="AK36" s="711"/>
      <c r="AL36" s="711"/>
      <c r="AM36" s="711"/>
      <c r="AN36" s="711"/>
    </row>
    <row r="37" spans="2:40" ht="19.399999999999999" customHeight="1" x14ac:dyDescent="0.35">
      <c r="B37" s="268" t="s">
        <v>2049</v>
      </c>
      <c r="C37" s="268"/>
      <c r="D37" s="606"/>
      <c r="E37" s="606"/>
      <c r="F37" s="606"/>
      <c r="G37" s="606"/>
      <c r="H37" s="606"/>
      <c r="I37" s="606"/>
      <c r="J37" s="606"/>
      <c r="K37" s="606"/>
      <c r="L37" s="606"/>
      <c r="M37" s="606"/>
      <c r="N37" s="606"/>
      <c r="O37" s="606"/>
      <c r="P37" s="606"/>
      <c r="Q37" s="606"/>
      <c r="R37" s="606"/>
      <c r="S37" s="606"/>
      <c r="T37" s="606"/>
      <c r="U37" s="606"/>
      <c r="V37" s="606"/>
      <c r="W37" s="606"/>
      <c r="X37" s="606"/>
      <c r="AB37" s="657">
        <f>AVERAGE(AB33:AE33)</f>
        <v>664.20550000000003</v>
      </c>
      <c r="AF37" s="657">
        <f>AVERAGE(AF33:AI33)</f>
        <v>719.07114614993657</v>
      </c>
      <c r="AJ37" s="657">
        <f>AVERAGE(AJ33:AM33)</f>
        <v>735.49843926903895</v>
      </c>
    </row>
    <row r="38" spans="2:40" ht="19.399999999999999" customHeight="1" x14ac:dyDescent="0.35">
      <c r="B38" s="268" t="s">
        <v>2388</v>
      </c>
      <c r="C38" s="268"/>
      <c r="D38" s="606"/>
      <c r="E38" s="606"/>
      <c r="F38" s="606"/>
      <c r="G38" s="606"/>
      <c r="H38" s="606"/>
      <c r="I38" s="606"/>
      <c r="AF38" s="388">
        <v>708</v>
      </c>
    </row>
    <row r="39" spans="2:40" ht="19.399999999999999" customHeight="1" x14ac:dyDescent="0.35">
      <c r="B39" s="268"/>
      <c r="C39" s="268"/>
      <c r="D39" s="606"/>
      <c r="E39" s="606"/>
      <c r="F39" s="606"/>
      <c r="G39" s="606"/>
      <c r="H39" s="606"/>
      <c r="I39" s="606"/>
      <c r="AA39" s="388"/>
      <c r="AB39" s="388"/>
      <c r="AC39" s="388"/>
    </row>
    <row r="40" spans="2:40" ht="19.399999999999999" customHeight="1" x14ac:dyDescent="0.35">
      <c r="B40" s="268"/>
      <c r="C40" s="268"/>
      <c r="D40" s="606"/>
      <c r="E40" s="606"/>
      <c r="F40" s="606"/>
      <c r="G40" s="606"/>
      <c r="H40" s="606"/>
      <c r="I40" s="606"/>
      <c r="J40" s="606"/>
      <c r="K40" s="606"/>
      <c r="L40" s="606"/>
      <c r="M40" s="606"/>
      <c r="N40" s="606"/>
      <c r="O40" s="606"/>
      <c r="P40" s="606"/>
      <c r="Q40" s="606"/>
      <c r="R40" s="606"/>
      <c r="S40" s="606"/>
      <c r="T40" s="606"/>
      <c r="Y40" s="606"/>
      <c r="Z40" s="606"/>
      <c r="AA40" s="606"/>
      <c r="AB40" s="606"/>
      <c r="AC40" s="606"/>
      <c r="AD40" s="606"/>
      <c r="AE40" s="606"/>
      <c r="AF40" s="606"/>
      <c r="AG40" s="606"/>
      <c r="AH40" s="606"/>
    </row>
    <row r="41" spans="2:40" ht="19.399999999999999" customHeight="1" x14ac:dyDescent="0.35">
      <c r="B41" s="268"/>
      <c r="C41" s="268"/>
      <c r="D41" s="606"/>
      <c r="E41" s="606"/>
      <c r="F41" s="606"/>
      <c r="G41" s="606"/>
      <c r="H41" s="606"/>
      <c r="I41" s="606"/>
      <c r="J41" s="606"/>
      <c r="K41" s="606"/>
      <c r="L41" s="606"/>
      <c r="M41" s="606"/>
      <c r="N41" s="606"/>
      <c r="O41" s="606"/>
      <c r="P41" s="606"/>
      <c r="Q41" s="606"/>
      <c r="R41" s="606"/>
      <c r="S41" s="606"/>
      <c r="T41" s="606"/>
      <c r="Y41" s="606"/>
      <c r="Z41" s="606"/>
      <c r="AA41" s="606"/>
      <c r="AB41" s="606"/>
      <c r="AC41" s="606"/>
      <c r="AD41" s="606"/>
      <c r="AE41" s="606"/>
      <c r="AF41" s="606"/>
      <c r="AG41" s="606"/>
      <c r="AH41" s="606"/>
    </row>
    <row r="42" spans="2:40" ht="19" customHeight="1" x14ac:dyDescent="0.35">
      <c r="B42" s="268"/>
      <c r="C42" s="268"/>
      <c r="D42" s="606"/>
      <c r="E42" s="606"/>
      <c r="F42" s="606"/>
      <c r="G42" s="606"/>
      <c r="H42" s="606"/>
      <c r="I42" s="606"/>
      <c r="J42" s="606"/>
      <c r="K42" s="606"/>
      <c r="L42" s="606"/>
      <c r="M42" s="606"/>
      <c r="N42" s="606"/>
      <c r="O42" s="606"/>
      <c r="AG42" s="606"/>
      <c r="AH42" s="606"/>
    </row>
    <row r="43" spans="2:40" ht="19" customHeight="1" x14ac:dyDescent="0.35">
      <c r="B43" s="268"/>
      <c r="C43" s="268"/>
      <c r="D43" s="606"/>
      <c r="E43" s="606"/>
      <c r="F43" s="606"/>
      <c r="G43" s="606"/>
      <c r="H43" s="606"/>
      <c r="I43" s="606"/>
      <c r="J43" s="606"/>
      <c r="K43" s="606"/>
      <c r="L43" s="606"/>
      <c r="M43" s="606"/>
      <c r="N43" s="606"/>
      <c r="O43" s="606"/>
      <c r="AG43" s="606"/>
      <c r="AH43" s="606"/>
    </row>
    <row r="44" spans="2:40" ht="19.399999999999999" customHeight="1" x14ac:dyDescent="0.35">
      <c r="B44" s="268"/>
      <c r="C44" s="268"/>
      <c r="D44" s="606"/>
      <c r="E44" s="606"/>
      <c r="F44" s="606"/>
      <c r="G44" s="606"/>
      <c r="H44" s="606"/>
      <c r="I44" s="606"/>
      <c r="J44" s="606"/>
      <c r="K44" s="606"/>
      <c r="L44" s="606"/>
      <c r="M44" s="606"/>
      <c r="N44" s="606"/>
      <c r="O44" s="606"/>
      <c r="P44" s="606"/>
      <c r="Q44" s="606"/>
      <c r="R44" s="606"/>
      <c r="S44" s="606"/>
      <c r="T44" s="606"/>
      <c r="Y44" s="606"/>
      <c r="Z44" s="606"/>
      <c r="AA44" s="606"/>
      <c r="AB44" s="606"/>
      <c r="AC44" s="606"/>
      <c r="AD44" s="606"/>
      <c r="AE44" s="606"/>
      <c r="AF44" s="606"/>
      <c r="AG44" s="606"/>
      <c r="AH44" s="606"/>
    </row>
    <row r="45" spans="2:40" ht="14.9" customHeight="1" x14ac:dyDescent="0.35">
      <c r="B45" s="697" t="s">
        <v>402</v>
      </c>
      <c r="C45" s="698"/>
      <c r="D45" s="698"/>
      <c r="E45" s="699"/>
      <c r="F45" s="700">
        <v>2021</v>
      </c>
      <c r="G45" s="700">
        <v>2022</v>
      </c>
      <c r="H45" s="700">
        <v>2023</v>
      </c>
      <c r="I45" s="700">
        <v>2024</v>
      </c>
      <c r="J45" s="700">
        <v>2025</v>
      </c>
      <c r="K45" s="700">
        <v>2025</v>
      </c>
      <c r="L45" s="700">
        <v>2027</v>
      </c>
      <c r="M45" s="700">
        <v>2028</v>
      </c>
      <c r="N45" s="700">
        <v>2029</v>
      </c>
      <c r="O45" s="700">
        <v>2030</v>
      </c>
      <c r="P45" s="701">
        <v>2031</v>
      </c>
    </row>
    <row r="46" spans="2:40" ht="15" customHeight="1" x14ac:dyDescent="0.35">
      <c r="B46" s="1481" t="s">
        <v>403</v>
      </c>
      <c r="C46" s="1482"/>
      <c r="D46" s="1482"/>
      <c r="E46" s="1483"/>
      <c r="F46" s="265">
        <v>287</v>
      </c>
      <c r="G46" s="265">
        <v>534</v>
      </c>
      <c r="H46" s="265">
        <v>247</v>
      </c>
      <c r="I46" s="265">
        <v>63</v>
      </c>
      <c r="J46" s="265"/>
      <c r="K46" s="265"/>
      <c r="L46" s="265"/>
      <c r="M46" s="265"/>
      <c r="N46" s="265"/>
      <c r="O46" s="265"/>
      <c r="P46" s="677"/>
    </row>
    <row r="47" spans="2:40" ht="15" customHeight="1" x14ac:dyDescent="0.35">
      <c r="B47" s="1467" t="s">
        <v>404</v>
      </c>
      <c r="C47" s="1468"/>
      <c r="D47" s="1468"/>
      <c r="E47" s="1469"/>
      <c r="F47" s="265">
        <v>0</v>
      </c>
      <c r="G47" s="265">
        <v>0</v>
      </c>
      <c r="H47" s="265">
        <v>756</v>
      </c>
      <c r="I47" s="265">
        <v>1249</v>
      </c>
      <c r="J47" s="265">
        <v>1417</v>
      </c>
      <c r="K47" s="265">
        <v>1522</v>
      </c>
      <c r="L47" s="265">
        <v>1107</v>
      </c>
      <c r="M47" s="265"/>
      <c r="N47" s="265"/>
      <c r="O47" s="265"/>
      <c r="P47" s="677"/>
    </row>
    <row r="48" spans="2:40" ht="14.5" customHeight="1" x14ac:dyDescent="0.35">
      <c r="B48" s="1467" t="s">
        <v>405</v>
      </c>
      <c r="C48" s="1468"/>
      <c r="D48" s="1468"/>
      <c r="E48" s="1469"/>
      <c r="F48" s="265">
        <v>0</v>
      </c>
      <c r="G48" s="265">
        <v>5</v>
      </c>
      <c r="H48" s="265">
        <v>77</v>
      </c>
      <c r="I48" s="265">
        <v>307</v>
      </c>
      <c r="J48" s="265">
        <v>332</v>
      </c>
      <c r="K48" s="265">
        <v>270</v>
      </c>
      <c r="L48" s="265">
        <v>25</v>
      </c>
      <c r="M48" s="265">
        <v>32</v>
      </c>
      <c r="N48" s="265">
        <v>40</v>
      </c>
      <c r="O48" s="265">
        <v>49</v>
      </c>
      <c r="P48" s="677">
        <v>58</v>
      </c>
    </row>
    <row r="49" spans="2:17" ht="32.9" customHeight="1" x14ac:dyDescent="0.35">
      <c r="B49" s="1473" t="s">
        <v>406</v>
      </c>
      <c r="C49" s="1474"/>
      <c r="D49" s="1474"/>
      <c r="E49" s="1475"/>
      <c r="F49" s="265">
        <v>0</v>
      </c>
      <c r="G49" s="265">
        <v>0</v>
      </c>
      <c r="H49" s="265">
        <v>3768</v>
      </c>
      <c r="I49" s="265">
        <v>3428</v>
      </c>
      <c r="J49" s="265">
        <v>2176</v>
      </c>
      <c r="K49" s="265">
        <v>2304</v>
      </c>
      <c r="L49" s="265">
        <v>2129</v>
      </c>
      <c r="M49" s="265">
        <v>1335</v>
      </c>
      <c r="N49" s="265">
        <v>478</v>
      </c>
      <c r="O49" s="265">
        <v>531</v>
      </c>
      <c r="P49" s="677">
        <v>212</v>
      </c>
    </row>
    <row r="50" spans="2:17" ht="32.9" customHeight="1" x14ac:dyDescent="0.35">
      <c r="B50" s="1473" t="s">
        <v>407</v>
      </c>
      <c r="C50" s="1474"/>
      <c r="D50" s="1474"/>
      <c r="E50" s="1475"/>
      <c r="F50" s="265">
        <v>38</v>
      </c>
      <c r="G50" s="265">
        <v>81</v>
      </c>
      <c r="H50" s="265">
        <v>43</v>
      </c>
      <c r="I50" s="265"/>
      <c r="J50" s="265"/>
      <c r="K50" s="265"/>
      <c r="L50" s="265"/>
      <c r="M50" s="265"/>
      <c r="N50" s="265"/>
      <c r="O50" s="265"/>
      <c r="P50" s="677"/>
    </row>
    <row r="51" spans="2:17" ht="14.5" customHeight="1" x14ac:dyDescent="0.35">
      <c r="B51" s="1467" t="s">
        <v>408</v>
      </c>
      <c r="C51" s="1468"/>
      <c r="D51" s="1468"/>
      <c r="E51" s="1469"/>
      <c r="F51" s="265"/>
      <c r="G51" s="265"/>
      <c r="H51" s="265"/>
      <c r="I51" s="265">
        <v>-184</v>
      </c>
      <c r="J51" s="265">
        <v>-1830</v>
      </c>
      <c r="K51" s="265">
        <v>-2406</v>
      </c>
      <c r="L51" s="265">
        <v>-2419</v>
      </c>
      <c r="M51" s="265">
        <v>-2467</v>
      </c>
      <c r="N51" s="265">
        <v>-2531</v>
      </c>
      <c r="O51" s="265">
        <v>-2667</v>
      </c>
      <c r="P51" s="677">
        <v>-2809</v>
      </c>
    </row>
    <row r="52" spans="2:17" ht="15.75" customHeight="1" x14ac:dyDescent="0.35">
      <c r="B52" s="1464" t="s">
        <v>409</v>
      </c>
      <c r="C52" s="1465"/>
      <c r="D52" s="1465"/>
      <c r="E52" s="1466"/>
      <c r="F52" s="265">
        <v>6524</v>
      </c>
      <c r="G52" s="265">
        <v>6143</v>
      </c>
      <c r="H52" s="265"/>
      <c r="I52" s="265"/>
      <c r="J52" s="265"/>
      <c r="K52" s="265"/>
      <c r="L52" s="265"/>
      <c r="M52" s="265"/>
      <c r="N52" s="265"/>
      <c r="O52" s="265"/>
      <c r="P52" s="677"/>
    </row>
    <row r="53" spans="2:17" ht="14.5" customHeight="1" x14ac:dyDescent="0.35">
      <c r="B53" s="1467" t="s">
        <v>410</v>
      </c>
      <c r="C53" s="1468"/>
      <c r="D53" s="1468"/>
      <c r="E53" s="1469"/>
      <c r="F53" s="265">
        <v>50</v>
      </c>
      <c r="G53" s="265">
        <v>175</v>
      </c>
      <c r="H53" s="265">
        <v>25</v>
      </c>
      <c r="I53" s="265"/>
      <c r="J53" s="265"/>
      <c r="K53" s="265"/>
      <c r="L53" s="265"/>
      <c r="M53" s="265"/>
      <c r="N53" s="265"/>
      <c r="O53" s="265"/>
      <c r="P53" s="677"/>
    </row>
    <row r="54" spans="2:17" ht="14.5" customHeight="1" x14ac:dyDescent="0.35">
      <c r="B54" s="1467" t="s">
        <v>411</v>
      </c>
      <c r="C54" s="1468"/>
      <c r="D54" s="1468"/>
      <c r="E54" s="1469"/>
      <c r="F54" s="265">
        <v>829</v>
      </c>
      <c r="G54" s="265">
        <v>844</v>
      </c>
      <c r="H54" s="265"/>
      <c r="I54" s="265"/>
      <c r="J54" s="265"/>
      <c r="K54" s="265"/>
      <c r="L54" s="265"/>
      <c r="M54" s="265"/>
      <c r="N54" s="265"/>
      <c r="O54" s="265"/>
      <c r="P54" s="677"/>
    </row>
    <row r="55" spans="2:17" x14ac:dyDescent="0.35">
      <c r="B55" s="1470" t="s">
        <v>412</v>
      </c>
      <c r="C55" s="1471"/>
      <c r="D55" s="1471"/>
      <c r="E55" s="1472"/>
      <c r="F55" s="265">
        <f t="shared" ref="F55:P55" si="14">SUM(F46:F54)</f>
        <v>7728</v>
      </c>
      <c r="G55" s="265">
        <f t="shared" si="14"/>
        <v>7782</v>
      </c>
      <c r="H55" s="265">
        <f t="shared" si="14"/>
        <v>4916</v>
      </c>
      <c r="I55" s="265">
        <f t="shared" si="14"/>
        <v>4863</v>
      </c>
      <c r="J55" s="265">
        <f t="shared" si="14"/>
        <v>2095</v>
      </c>
      <c r="K55" s="265">
        <f t="shared" si="14"/>
        <v>1690</v>
      </c>
      <c r="L55" s="265">
        <f t="shared" si="14"/>
        <v>842</v>
      </c>
      <c r="M55" s="265">
        <f t="shared" si="14"/>
        <v>-1100</v>
      </c>
      <c r="N55" s="265">
        <f t="shared" si="14"/>
        <v>-2013</v>
      </c>
      <c r="O55" s="265">
        <f t="shared" si="14"/>
        <v>-2087</v>
      </c>
      <c r="P55" s="677">
        <f t="shared" si="14"/>
        <v>-2539</v>
      </c>
    </row>
    <row r="56" spans="2:17" x14ac:dyDescent="0.35">
      <c r="B56" s="1464" t="s">
        <v>413</v>
      </c>
      <c r="C56" s="1465"/>
      <c r="D56" s="1465"/>
      <c r="E56" s="1466"/>
      <c r="F56" s="265">
        <f t="shared" ref="F56:P56" si="15">F52+F50+F49</f>
        <v>6562</v>
      </c>
      <c r="G56" s="265">
        <f t="shared" si="15"/>
        <v>6224</v>
      </c>
      <c r="H56" s="265">
        <f t="shared" si="15"/>
        <v>3811</v>
      </c>
      <c r="I56" s="265">
        <f t="shared" si="15"/>
        <v>3428</v>
      </c>
      <c r="J56" s="265">
        <f t="shared" si="15"/>
        <v>2176</v>
      </c>
      <c r="K56" s="265">
        <f t="shared" si="15"/>
        <v>2304</v>
      </c>
      <c r="L56" s="265">
        <f t="shared" si="15"/>
        <v>2129</v>
      </c>
      <c r="M56" s="265">
        <f t="shared" si="15"/>
        <v>1335</v>
      </c>
      <c r="N56" s="265">
        <f t="shared" si="15"/>
        <v>478</v>
      </c>
      <c r="O56" s="265">
        <f t="shared" si="15"/>
        <v>531</v>
      </c>
      <c r="P56" s="677">
        <f t="shared" si="15"/>
        <v>212</v>
      </c>
      <c r="Q56" s="268" t="s">
        <v>414</v>
      </c>
    </row>
    <row r="57" spans="2:17" x14ac:dyDescent="0.35">
      <c r="B57" s="1467" t="s">
        <v>415</v>
      </c>
      <c r="C57" s="1468"/>
      <c r="D57" s="1468"/>
      <c r="E57" s="1469"/>
      <c r="F57" s="265">
        <f>(F56/1000)/M30</f>
        <v>9.3104426787741206E-3</v>
      </c>
      <c r="G57" s="265">
        <f>(G56/F56)*F57</f>
        <v>8.8308740068104435E-3</v>
      </c>
      <c r="H57" s="265">
        <f>(H56/G56)*G57+H58</f>
        <v>5.4072077185017024E-3</v>
      </c>
      <c r="I57" s="265">
        <f>(I56/H56)*H57+I58</f>
        <v>4.8637911464245167E-3</v>
      </c>
      <c r="J57" s="265">
        <f>J58</f>
        <v>0</v>
      </c>
      <c r="K57" s="265">
        <f t="shared" ref="K57:L57" si="16">K58</f>
        <v>0</v>
      </c>
      <c r="L57" s="265">
        <f t="shared" si="16"/>
        <v>0</v>
      </c>
      <c r="M57" s="265"/>
      <c r="N57" s="265"/>
      <c r="O57" s="265"/>
      <c r="P57" s="677"/>
      <c r="Q57" s="268" t="s">
        <v>416</v>
      </c>
    </row>
    <row r="58" spans="2:17" ht="29.25" customHeight="1" x14ac:dyDescent="0.35">
      <c r="B58" s="662" t="s">
        <v>847</v>
      </c>
      <c r="C58" s="663"/>
      <c r="D58" s="663"/>
      <c r="E58" s="664"/>
      <c r="F58" s="265"/>
      <c r="G58" s="265"/>
      <c r="H58" s="265"/>
      <c r="I58" s="265"/>
      <c r="J58" s="265"/>
      <c r="K58" s="265"/>
      <c r="L58" s="265"/>
      <c r="M58" s="265"/>
      <c r="N58" s="265"/>
      <c r="O58" s="265"/>
      <c r="P58" s="677"/>
      <c r="Q58" s="268"/>
    </row>
    <row r="59" spans="2:17" x14ac:dyDescent="0.35">
      <c r="B59" s="1478"/>
      <c r="C59" s="1479"/>
      <c r="D59" s="1479"/>
      <c r="E59" s="1480"/>
      <c r="F59" s="676"/>
      <c r="G59" s="676"/>
      <c r="H59" s="676"/>
      <c r="I59" s="676"/>
      <c r="J59" s="676"/>
      <c r="K59" s="676"/>
      <c r="L59" s="676"/>
      <c r="M59" s="676"/>
      <c r="N59" s="676"/>
      <c r="O59" s="676"/>
      <c r="P59" s="688"/>
    </row>
  </sheetData>
  <mergeCells count="37">
    <mergeCell ref="AG7:AN7"/>
    <mergeCell ref="AG27:AN27"/>
    <mergeCell ref="B59:E59"/>
    <mergeCell ref="B49:E49"/>
    <mergeCell ref="B47:E47"/>
    <mergeCell ref="B48:E48"/>
    <mergeCell ref="AG8:AJ8"/>
    <mergeCell ref="AG28:AJ28"/>
    <mergeCell ref="B46:E46"/>
    <mergeCell ref="I28:L28"/>
    <mergeCell ref="B27:C29"/>
    <mergeCell ref="E28:H28"/>
    <mergeCell ref="D27:AB27"/>
    <mergeCell ref="M28:P28"/>
    <mergeCell ref="Q28:T28"/>
    <mergeCell ref="AC28:AF28"/>
    <mergeCell ref="AK28:AN28"/>
    <mergeCell ref="B56:E56"/>
    <mergeCell ref="B57:E57"/>
    <mergeCell ref="B50:E50"/>
    <mergeCell ref="B1:AC1"/>
    <mergeCell ref="V2:AB4"/>
    <mergeCell ref="B2:U4"/>
    <mergeCell ref="M8:P8"/>
    <mergeCell ref="Q8:T8"/>
    <mergeCell ref="AC8:AF8"/>
    <mergeCell ref="E8:H8"/>
    <mergeCell ref="B7:C9"/>
    <mergeCell ref="I8:L8"/>
    <mergeCell ref="D7:AB7"/>
    <mergeCell ref="AK8:AN8"/>
    <mergeCell ref="B51:E51"/>
    <mergeCell ref="B6:C6"/>
    <mergeCell ref="B52:E52"/>
    <mergeCell ref="B53:E53"/>
    <mergeCell ref="B54:E54"/>
    <mergeCell ref="B55:E55"/>
  </mergeCells>
  <pageMargins left="0.7" right="0.7" top="0.75" bottom="0.75" header="0.3" footer="0.3"/>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34"/>
  <sheetViews>
    <sheetView zoomScaleNormal="100" workbookViewId="0">
      <pane xSplit="2" ySplit="4" topLeftCell="Y5" activePane="bottomRight" state="frozen"/>
      <selection pane="topRight" activeCell="C1" sqref="C1"/>
      <selection pane="bottomLeft" activeCell="A5" sqref="A5"/>
      <selection pane="bottomRight" activeCell="AK25" sqref="AK2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87" t="s">
        <v>46</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40" ht="14.25" customHeight="1" x14ac:dyDescent="0.35">
      <c r="B2" s="1477" t="s">
        <v>816</v>
      </c>
      <c r="C2" s="1477"/>
      <c r="D2" s="1477"/>
      <c r="E2" s="1477"/>
      <c r="F2" s="1477"/>
      <c r="G2" s="1477"/>
      <c r="H2" s="1477"/>
      <c r="I2" s="1477"/>
      <c r="J2" s="1477"/>
      <c r="K2" s="1477"/>
      <c r="L2" s="1477"/>
      <c r="M2" s="1477"/>
      <c r="N2" s="1477"/>
      <c r="O2" s="1477"/>
      <c r="P2" s="1477"/>
      <c r="Q2" s="1477"/>
      <c r="R2" s="1477"/>
      <c r="S2" s="708"/>
      <c r="T2" s="1484" t="s">
        <v>863</v>
      </c>
      <c r="U2" s="1484"/>
      <c r="V2" s="1484"/>
      <c r="W2" s="1484"/>
      <c r="X2" s="1484"/>
      <c r="Y2" s="1484"/>
      <c r="Z2" s="1484"/>
      <c r="AA2" s="1484"/>
      <c r="AB2" s="1484"/>
      <c r="AC2" s="1484"/>
    </row>
    <row r="3" spans="2:40" x14ac:dyDescent="0.35">
      <c r="B3" s="1477"/>
      <c r="C3" s="1477"/>
      <c r="D3" s="1477"/>
      <c r="E3" s="1477"/>
      <c r="F3" s="1477"/>
      <c r="G3" s="1477"/>
      <c r="H3" s="1477"/>
      <c r="I3" s="1477"/>
      <c r="J3" s="1477"/>
      <c r="K3" s="1477"/>
      <c r="L3" s="1477"/>
      <c r="M3" s="1477"/>
      <c r="N3" s="1477"/>
      <c r="O3" s="1477"/>
      <c r="P3" s="1477"/>
      <c r="Q3" s="1477"/>
      <c r="R3" s="1477"/>
      <c r="S3" s="708"/>
      <c r="T3" s="1484"/>
      <c r="U3" s="1484"/>
      <c r="V3" s="1484"/>
      <c r="W3" s="1484"/>
      <c r="X3" s="1484"/>
      <c r="Y3" s="1484"/>
      <c r="Z3" s="1484"/>
      <c r="AA3" s="1484"/>
      <c r="AB3" s="1484"/>
      <c r="AC3" s="1484"/>
    </row>
    <row r="4" spans="2:40" ht="21" customHeight="1" x14ac:dyDescent="0.35">
      <c r="B4" s="1477"/>
      <c r="C4" s="1477"/>
      <c r="D4" s="1477"/>
      <c r="E4" s="1477"/>
      <c r="F4" s="1477"/>
      <c r="G4" s="1477"/>
      <c r="H4" s="1477"/>
      <c r="I4" s="1477"/>
      <c r="J4" s="1477"/>
      <c r="K4" s="1477"/>
      <c r="L4" s="1477"/>
      <c r="M4" s="1477"/>
      <c r="N4" s="1477"/>
      <c r="O4" s="1477"/>
      <c r="P4" s="1477"/>
      <c r="Q4" s="1477"/>
      <c r="R4" s="1477"/>
      <c r="S4" s="708"/>
      <c r="T4" s="1484"/>
      <c r="U4" s="1484"/>
      <c r="V4" s="1484"/>
      <c r="W4" s="1484"/>
      <c r="X4" s="1484"/>
      <c r="Y4" s="1484"/>
      <c r="Z4" s="1484"/>
      <c r="AA4" s="1484"/>
      <c r="AB4" s="1484"/>
      <c r="AC4" s="1484"/>
    </row>
    <row r="6" spans="2:40" x14ac:dyDescent="0.35">
      <c r="B6" s="630" t="s">
        <v>299</v>
      </c>
    </row>
    <row r="7" spans="2:40" ht="14.9" customHeight="1" x14ac:dyDescent="0.35">
      <c r="B7" s="1389" t="s">
        <v>367</v>
      </c>
      <c r="C7" s="1390"/>
      <c r="D7" s="1427" t="s">
        <v>246</v>
      </c>
      <c r="E7" s="1427"/>
      <c r="F7" s="1427"/>
      <c r="G7" s="1427"/>
      <c r="H7" s="1427"/>
      <c r="I7" s="1427"/>
      <c r="J7" s="1427"/>
      <c r="K7" s="1427"/>
      <c r="L7" s="1427"/>
      <c r="M7" s="1427"/>
      <c r="N7" s="1427"/>
      <c r="O7" s="1427"/>
      <c r="P7" s="1427"/>
      <c r="Q7" s="1427"/>
      <c r="R7" s="1427"/>
      <c r="S7" s="1427"/>
      <c r="T7" s="1427"/>
      <c r="U7" s="1427"/>
      <c r="V7" s="1427"/>
      <c r="W7" s="1427"/>
      <c r="X7" s="1427"/>
      <c r="Y7" s="1427"/>
      <c r="Z7" s="1427"/>
      <c r="AA7" s="1427"/>
      <c r="AB7" s="715"/>
      <c r="AC7" s="259"/>
      <c r="AD7" s="260"/>
      <c r="AE7" s="260"/>
      <c r="AF7" s="260"/>
      <c r="AG7" s="1419" t="s">
        <v>247</v>
      </c>
      <c r="AH7" s="1420"/>
      <c r="AI7" s="1420"/>
      <c r="AJ7" s="1420"/>
      <c r="AK7" s="1420"/>
      <c r="AL7" s="1420"/>
      <c r="AM7" s="1420"/>
      <c r="AN7" s="1421"/>
    </row>
    <row r="8" spans="2:40" x14ac:dyDescent="0.35">
      <c r="B8" s="1391"/>
      <c r="C8" s="1392"/>
      <c r="D8" s="249">
        <v>2018</v>
      </c>
      <c r="E8" s="1398">
        <v>2019</v>
      </c>
      <c r="F8" s="1415"/>
      <c r="G8" s="1415"/>
      <c r="H8" s="1400"/>
      <c r="I8" s="1398">
        <v>2020</v>
      </c>
      <c r="J8" s="1415"/>
      <c r="K8" s="1415"/>
      <c r="L8" s="1415"/>
      <c r="M8" s="1398">
        <v>2021</v>
      </c>
      <c r="N8" s="1415"/>
      <c r="O8" s="1415"/>
      <c r="P8" s="1399"/>
      <c r="Q8" s="1398">
        <v>2022</v>
      </c>
      <c r="R8" s="1399"/>
      <c r="S8" s="1399"/>
      <c r="T8" s="1399"/>
      <c r="U8" s="1398">
        <v>2023</v>
      </c>
      <c r="V8" s="1399"/>
      <c r="W8" s="1399"/>
      <c r="X8" s="1400"/>
      <c r="Y8" s="277"/>
      <c r="Z8" s="282">
        <v>2024</v>
      </c>
      <c r="AA8" s="282"/>
      <c r="AB8" s="279"/>
      <c r="AC8" s="1398">
        <v>2025</v>
      </c>
      <c r="AD8" s="1415"/>
      <c r="AE8" s="1415"/>
      <c r="AF8" s="1400"/>
      <c r="AG8" s="1412">
        <v>2026</v>
      </c>
      <c r="AH8" s="1413"/>
      <c r="AI8" s="1413"/>
      <c r="AJ8" s="1414"/>
      <c r="AK8" s="1412">
        <v>2027</v>
      </c>
      <c r="AL8" s="1413"/>
      <c r="AM8" s="1413"/>
      <c r="AN8" s="1414"/>
    </row>
    <row r="9" spans="2:40" x14ac:dyDescent="0.35">
      <c r="B9" s="1393"/>
      <c r="C9" s="1394"/>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3" t="s">
        <v>226</v>
      </c>
      <c r="X9" s="271" t="s">
        <v>248</v>
      </c>
      <c r="Y9" s="273" t="s">
        <v>249</v>
      </c>
      <c r="Z9" s="274" t="s">
        <v>250</v>
      </c>
      <c r="AA9" s="273" t="s">
        <v>226</v>
      </c>
      <c r="AB9" s="273" t="s">
        <v>248</v>
      </c>
      <c r="AC9" s="272" t="s">
        <v>249</v>
      </c>
      <c r="AD9" s="274" t="s">
        <v>250</v>
      </c>
      <c r="AE9" s="273" t="s">
        <v>226</v>
      </c>
      <c r="AF9" s="273" t="s">
        <v>248</v>
      </c>
      <c r="AG9" s="275" t="s">
        <v>249</v>
      </c>
      <c r="AH9" s="269" t="s">
        <v>250</v>
      </c>
      <c r="AI9" s="270" t="s">
        <v>226</v>
      </c>
      <c r="AJ9" s="276" t="s">
        <v>248</v>
      </c>
      <c r="AK9" s="275" t="s">
        <v>249</v>
      </c>
      <c r="AL9" s="269" t="s">
        <v>250</v>
      </c>
      <c r="AM9" s="270" t="s">
        <v>226</v>
      </c>
      <c r="AN9" s="276" t="s">
        <v>248</v>
      </c>
    </row>
    <row r="10" spans="2:40" ht="14.9" customHeight="1" x14ac:dyDescent="0.35">
      <c r="B10" s="719" t="s">
        <v>417</v>
      </c>
      <c r="C10" s="44" t="s">
        <v>859</v>
      </c>
      <c r="D10" s="691">
        <f>'Haver Pivoted'!GO12</f>
        <v>755</v>
      </c>
      <c r="E10" s="692">
        <f>'Haver Pivoted'!GP12</f>
        <v>773.5</v>
      </c>
      <c r="F10" s="692">
        <f>'Haver Pivoted'!GQ12</f>
        <v>788.5</v>
      </c>
      <c r="G10" s="692">
        <f>'Haver Pivoted'!GR12</f>
        <v>798</v>
      </c>
      <c r="H10" s="692">
        <f>'Haver Pivoted'!GS12</f>
        <v>802</v>
      </c>
      <c r="I10" s="692">
        <f>'Haver Pivoted'!GT12</f>
        <v>805.1</v>
      </c>
      <c r="J10" s="692">
        <f>'Haver Pivoted'!GU12</f>
        <v>821</v>
      </c>
      <c r="K10" s="692">
        <f>'Haver Pivoted'!GV12</f>
        <v>835.4</v>
      </c>
      <c r="L10" s="692">
        <f>'Haver Pivoted'!GW12</f>
        <v>848.1</v>
      </c>
      <c r="M10" s="692">
        <f>'Haver Pivoted'!GX12</f>
        <v>863.4</v>
      </c>
      <c r="N10" s="692">
        <f>'Haver Pivoted'!GY12</f>
        <v>878.9</v>
      </c>
      <c r="O10" s="692">
        <f>'Haver Pivoted'!GZ12</f>
        <v>894</v>
      </c>
      <c r="P10" s="692">
        <f>'Haver Pivoted'!HA12</f>
        <v>908.8</v>
      </c>
      <c r="Q10" s="692">
        <f>'Haver Pivoted'!HB12</f>
        <v>923.7</v>
      </c>
      <c r="R10" s="692">
        <f>'Haver Pivoted'!HC12</f>
        <v>933</v>
      </c>
      <c r="S10" s="693">
        <f>'Haver Pivoted'!HD12</f>
        <v>945</v>
      </c>
      <c r="T10" s="684">
        <f>'Haver Pivoted'!HE12</f>
        <v>968</v>
      </c>
      <c r="U10" s="718">
        <f>'Haver Pivoted'!HF12</f>
        <v>993.1</v>
      </c>
      <c r="V10" s="693">
        <f>'Haver Pivoted'!HG12</f>
        <v>1016.2</v>
      </c>
      <c r="W10" s="693">
        <f>'Haver Pivoted'!HH12</f>
        <v>1036.4000000000001</v>
      </c>
      <c r="X10" s="693">
        <f>'Haver Pivoted'!HI12</f>
        <v>1053.5999999999999</v>
      </c>
      <c r="Y10" s="693">
        <f>'Haver Pivoted'!HJ12</f>
        <v>1069.0999999999999</v>
      </c>
      <c r="Z10" s="693">
        <f>'Haver Pivoted'!HK12</f>
        <v>1088.2</v>
      </c>
      <c r="AA10" s="693">
        <f>'Haver Pivoted'!HL12</f>
        <v>1111.9000000000001</v>
      </c>
      <c r="AB10" s="693">
        <f>'Haver Pivoted'!HM12</f>
        <v>1140.3</v>
      </c>
      <c r="AC10" s="693">
        <f>'Haver Pivoted'!HN12</f>
        <v>1172.5999999999999</v>
      </c>
      <c r="AD10" s="693">
        <f>'Haver Pivoted'!HO12</f>
        <v>1205.3</v>
      </c>
      <c r="AE10" s="693">
        <f>'Haver Pivoted'!HP12</f>
        <v>1237.5999999999999</v>
      </c>
      <c r="AF10" s="693">
        <f>'Haver Pivoted'!HQ12</f>
        <v>1269.5</v>
      </c>
      <c r="AG10" s="712">
        <f t="shared" ref="AG10:AN10" si="0">AF10*(1+AG13)+AG12</f>
        <v>1304.7202989964987</v>
      </c>
      <c r="AH10" s="712">
        <f t="shared" si="0"/>
        <v>1340.9177302981591</v>
      </c>
      <c r="AI10" s="712">
        <f t="shared" si="0"/>
        <v>1378.1194029179367</v>
      </c>
      <c r="AJ10" s="712">
        <f t="shared" si="0"/>
        <v>1400.841159718721</v>
      </c>
      <c r="AK10" s="712">
        <f t="shared" si="0"/>
        <v>1423.9375417014894</v>
      </c>
      <c r="AL10" s="712">
        <f t="shared" si="0"/>
        <v>1447.4147255025032</v>
      </c>
      <c r="AM10" s="712">
        <f t="shared" si="0"/>
        <v>1471.2789895953731</v>
      </c>
      <c r="AN10" s="712">
        <f t="shared" si="0"/>
        <v>1471.2789895953731</v>
      </c>
    </row>
    <row r="11" spans="2:40" ht="28.5" customHeight="1" x14ac:dyDescent="0.35">
      <c r="B11" s="739" t="s">
        <v>861</v>
      </c>
      <c r="C11" s="731" t="s">
        <v>483</v>
      </c>
      <c r="D11" s="740"/>
      <c r="E11" s="728"/>
      <c r="F11" s="728"/>
      <c r="G11" s="728"/>
      <c r="H11" s="728"/>
      <c r="I11" s="728"/>
      <c r="J11" s="729">
        <f>'Haver Pivoted'!GU46</f>
        <v>9.6</v>
      </c>
      <c r="K11" s="729">
        <f>'Haver Pivoted'!GV46</f>
        <v>14.4</v>
      </c>
      <c r="L11" s="729">
        <f>'Haver Pivoted'!GW46</f>
        <v>14.3</v>
      </c>
      <c r="M11" s="729">
        <f>'Haver Pivoted'!GX46</f>
        <v>15</v>
      </c>
      <c r="N11" s="729">
        <f>'Haver Pivoted'!GY46</f>
        <v>15.3</v>
      </c>
      <c r="O11" s="729">
        <f>'Haver Pivoted'!GZ46</f>
        <v>15.6</v>
      </c>
      <c r="P11" s="729">
        <f>'Haver Pivoted'!HA46</f>
        <v>15.7</v>
      </c>
      <c r="Q11" s="729">
        <f>'Haver Pivoted'!HB46</f>
        <v>15.8</v>
      </c>
      <c r="R11" s="729">
        <f>'Haver Pivoted'!HC46</f>
        <v>7.9</v>
      </c>
      <c r="S11" s="656">
        <f>'Haver Pivoted'!HD46</f>
        <v>0</v>
      </c>
      <c r="T11" s="656">
        <f>'Haver Pivoted'!HE46</f>
        <v>0</v>
      </c>
      <c r="U11" s="656">
        <f>'Haver Pivoted'!HF46</f>
        <v>0</v>
      </c>
      <c r="V11" s="656">
        <f>'Haver Pivoted'!HG46</f>
        <v>0</v>
      </c>
      <c r="W11" s="656">
        <f>'Haver Pivoted'!HH46</f>
        <v>0</v>
      </c>
      <c r="X11" s="656">
        <f>'Haver Pivoted'!HI46</f>
        <v>0</v>
      </c>
      <c r="Y11" s="656">
        <f>'Haver Pivoted'!HJ46</f>
        <v>0</v>
      </c>
      <c r="Z11" s="656">
        <f>'Haver Pivoted'!HK46</f>
        <v>0</v>
      </c>
      <c r="AA11" s="656">
        <f>'Haver Pivoted'!HL46</f>
        <v>0</v>
      </c>
      <c r="AB11" s="656">
        <f>'Haver Pivoted'!HM46</f>
        <v>0</v>
      </c>
      <c r="AC11" s="656">
        <f>'Haver Pivoted'!HN46</f>
        <v>0</v>
      </c>
      <c r="AD11" s="656">
        <f>'Haver Pivoted'!HO46</f>
        <v>0</v>
      </c>
      <c r="AE11" s="656">
        <f>'Haver Pivoted'!HP46</f>
        <v>0</v>
      </c>
      <c r="AF11" s="656">
        <f>'Haver Pivoted'!HQ46</f>
        <v>0</v>
      </c>
      <c r="AG11" s="721"/>
      <c r="AH11" s="721"/>
      <c r="AI11" s="721"/>
      <c r="AJ11" s="721"/>
      <c r="AK11" s="721"/>
      <c r="AL11" s="721"/>
      <c r="AM11" s="721"/>
      <c r="AN11" s="721"/>
    </row>
    <row r="12" spans="2:40" x14ac:dyDescent="0.35">
      <c r="B12" s="739" t="s">
        <v>1784</v>
      </c>
      <c r="C12" s="731"/>
      <c r="D12" s="740"/>
      <c r="E12" s="728"/>
      <c r="F12" s="728"/>
      <c r="G12" s="728"/>
      <c r="H12" s="728"/>
      <c r="I12" s="728"/>
      <c r="J12" s="729"/>
      <c r="K12" s="729"/>
      <c r="L12" s="729"/>
      <c r="M12" s="729"/>
      <c r="N12" s="729"/>
      <c r="O12" s="729"/>
      <c r="P12" s="729"/>
      <c r="Q12" s="729"/>
      <c r="R12" s="729"/>
      <c r="S12" s="656"/>
      <c r="T12" s="656"/>
      <c r="U12" s="656"/>
      <c r="V12" s="656"/>
      <c r="W12" s="508">
        <v>-7</v>
      </c>
      <c r="X12" s="721"/>
      <c r="Y12" s="721">
        <v>-13.3</v>
      </c>
      <c r="Z12" s="721">
        <v>-8</v>
      </c>
      <c r="AA12" s="721">
        <v>-2</v>
      </c>
      <c r="AB12" s="721">
        <v>12</v>
      </c>
      <c r="AC12" s="721">
        <f>16</f>
        <v>16</v>
      </c>
      <c r="AD12" s="721">
        <v>15</v>
      </c>
      <c r="AE12" s="721"/>
      <c r="AF12" s="721"/>
      <c r="AG12" s="721"/>
      <c r="AH12" s="721"/>
      <c r="AI12" s="721"/>
      <c r="AJ12" s="721"/>
      <c r="AK12" s="721"/>
      <c r="AL12" s="721"/>
      <c r="AM12" s="721"/>
      <c r="AN12" s="721"/>
    </row>
    <row r="13" spans="2:40" x14ac:dyDescent="0.35">
      <c r="B13" s="734" t="s">
        <v>418</v>
      </c>
      <c r="C13" s="733"/>
      <c r="D13" s="706"/>
      <c r="E13" s="681"/>
      <c r="F13" s="681"/>
      <c r="G13" s="681"/>
      <c r="H13" s="681"/>
      <c r="I13" s="681"/>
      <c r="J13" s="694"/>
      <c r="K13" s="694"/>
      <c r="L13" s="694"/>
      <c r="M13" s="694"/>
      <c r="N13" s="694">
        <f>(1 + $E$26)^0.25-1</f>
        <v>0</v>
      </c>
      <c r="O13" s="694">
        <f>(1 + $E$26)^0.25-1</f>
        <v>0</v>
      </c>
      <c r="P13" s="694">
        <f>(1 + $F$26)^0.25-1</f>
        <v>3.0584654007782985E-2</v>
      </c>
      <c r="Q13" s="694">
        <f>(1 +$F$26)^0.25-1</f>
        <v>3.0584654007782985E-2</v>
      </c>
      <c r="R13" s="694">
        <f>(1 +$F$26)^0.25-1</f>
        <v>3.0584654007782985E-2</v>
      </c>
      <c r="S13" s="730">
        <f>(1 +$F$26)^0.25-1</f>
        <v>3.0584654007782985E-2</v>
      </c>
      <c r="T13" s="730">
        <f>(1 +$G$26)^0.25-1</f>
        <v>1.0343738735768992E-2</v>
      </c>
      <c r="U13" s="730">
        <f>(1 +$G$26)^0.25-1</f>
        <v>1.0343738735768992E-2</v>
      </c>
      <c r="V13" s="730">
        <f>(1 +$G$26)^0.25-1</f>
        <v>1.0343738735768992E-2</v>
      </c>
      <c r="W13" s="694">
        <f>(1 +$G$26)^0.25-1</f>
        <v>1.0343738735768992E-2</v>
      </c>
      <c r="X13" s="722">
        <f>(1 +$H$26)^0.25-1</f>
        <v>2.4149796973031323E-2</v>
      </c>
      <c r="Y13" s="709">
        <f t="shared" ref="Y13:AA13" si="1">(1 +$H$26)^0.25-1</f>
        <v>2.4149796973031323E-2</v>
      </c>
      <c r="Z13" s="709">
        <f t="shared" si="1"/>
        <v>2.4149796973031323E-2</v>
      </c>
      <c r="AA13" s="709">
        <f t="shared" si="1"/>
        <v>2.4149796973031323E-2</v>
      </c>
      <c r="AB13" s="722">
        <f>(1 +$I$26)^0.25-1</f>
        <v>3.1858340659628004E-2</v>
      </c>
      <c r="AC13" s="709">
        <f>(1 +$I$26)^0.25-1</f>
        <v>3.1858340659628004E-2</v>
      </c>
      <c r="AD13" s="709">
        <f t="shared" ref="AD13:AE13" si="2">(1 +$I$26)^0.25-1</f>
        <v>3.1858340659628004E-2</v>
      </c>
      <c r="AE13" s="709">
        <f t="shared" si="2"/>
        <v>3.1858340659628004E-2</v>
      </c>
      <c r="AF13" s="722">
        <f>(1 +$J$26)^0.25-1</f>
        <v>2.774344150964847E-2</v>
      </c>
      <c r="AG13" s="709">
        <f>(1 +$J$26)^0.25-1</f>
        <v>2.774344150964847E-2</v>
      </c>
      <c r="AH13" s="709">
        <f>(1 +$J$26)^0.25-1</f>
        <v>2.774344150964847E-2</v>
      </c>
      <c r="AI13" s="709">
        <f>(1 +$J$26)^0.25-1</f>
        <v>2.774344150964847E-2</v>
      </c>
      <c r="AJ13" s="722">
        <f>(1 +$K$26)^0.25-1</f>
        <v>1.6487509538487544E-2</v>
      </c>
      <c r="AK13" s="709">
        <f>(1 +$K$26)^0.25-1</f>
        <v>1.6487509538487544E-2</v>
      </c>
      <c r="AL13" s="709">
        <f t="shared" ref="AL13:AM13" si="3">(1 +$K$26)^0.25-1</f>
        <v>1.6487509538487544E-2</v>
      </c>
      <c r="AM13" s="709">
        <f t="shared" si="3"/>
        <v>1.6487509538487544E-2</v>
      </c>
      <c r="AN13" s="722">
        <f>(1 +$L$26)^0.25-1</f>
        <v>0</v>
      </c>
    </row>
    <row r="14" spans="2:40" ht="15.75" customHeight="1" x14ac:dyDescent="0.35">
      <c r="B14" s="732"/>
      <c r="C14" s="720"/>
      <c r="D14" s="606"/>
      <c r="E14" s="633">
        <f t="shared" ref="E14:Z14" si="4">E10-D10</f>
        <v>18.5</v>
      </c>
      <c r="F14" s="633">
        <f t="shared" si="4"/>
        <v>15</v>
      </c>
      <c r="G14" s="633">
        <f t="shared" si="4"/>
        <v>9.5</v>
      </c>
      <c r="H14" s="633">
        <f t="shared" si="4"/>
        <v>4</v>
      </c>
      <c r="I14" s="633">
        <f t="shared" si="4"/>
        <v>3.1000000000000227</v>
      </c>
      <c r="J14" s="633">
        <f t="shared" si="4"/>
        <v>15.899999999999977</v>
      </c>
      <c r="K14" s="633">
        <f t="shared" si="4"/>
        <v>14.399999999999977</v>
      </c>
      <c r="L14" s="633">
        <f t="shared" si="4"/>
        <v>12.700000000000045</v>
      </c>
      <c r="M14" s="633">
        <f t="shared" si="4"/>
        <v>15.299999999999955</v>
      </c>
      <c r="N14" s="633">
        <f t="shared" si="4"/>
        <v>15.5</v>
      </c>
      <c r="O14" s="633">
        <f t="shared" si="4"/>
        <v>15.100000000000023</v>
      </c>
      <c r="P14" s="633">
        <f t="shared" si="4"/>
        <v>14.799999999999955</v>
      </c>
      <c r="Q14" s="633">
        <f t="shared" si="4"/>
        <v>14.900000000000091</v>
      </c>
      <c r="R14" s="633">
        <f t="shared" si="4"/>
        <v>9.2999999999999545</v>
      </c>
      <c r="S14" s="633">
        <f t="shared" si="4"/>
        <v>12</v>
      </c>
      <c r="T14" s="633">
        <f t="shared" si="4"/>
        <v>23</v>
      </c>
      <c r="U14" s="633">
        <f t="shared" si="4"/>
        <v>25.100000000000023</v>
      </c>
      <c r="V14" s="633">
        <f t="shared" si="4"/>
        <v>23.100000000000023</v>
      </c>
      <c r="W14" s="633">
        <f t="shared" si="4"/>
        <v>20.200000000000045</v>
      </c>
      <c r="X14" s="633">
        <f t="shared" si="4"/>
        <v>17.199999999999818</v>
      </c>
      <c r="Y14" s="633">
        <f t="shared" si="4"/>
        <v>15.5</v>
      </c>
      <c r="Z14" s="633">
        <f t="shared" si="4"/>
        <v>19.100000000000136</v>
      </c>
      <c r="AA14" s="633">
        <f t="shared" ref="AA14:AD14" si="5">AA10-Z10</f>
        <v>23.700000000000045</v>
      </c>
      <c r="AB14" s="633">
        <f t="shared" si="5"/>
        <v>28.399999999999864</v>
      </c>
      <c r="AC14" s="633">
        <f t="shared" si="5"/>
        <v>32.299999999999955</v>
      </c>
      <c r="AD14" s="633">
        <f t="shared" si="5"/>
        <v>32.700000000000045</v>
      </c>
      <c r="AE14" s="633">
        <f>AE10-AD10</f>
        <v>32.299999999999955</v>
      </c>
      <c r="AF14" s="633">
        <f>AF10-AE10</f>
        <v>31.900000000000091</v>
      </c>
    </row>
    <row r="15" spans="2:40" ht="15.75" customHeight="1" x14ac:dyDescent="0.35">
      <c r="B15" s="732"/>
      <c r="C15" s="720"/>
      <c r="D15" s="606"/>
    </row>
    <row r="16" spans="2:40" ht="15.75" customHeight="1" x14ac:dyDescent="0.35">
      <c r="B16" s="732"/>
      <c r="C16" s="720"/>
      <c r="D16" s="606"/>
      <c r="E16" s="606"/>
      <c r="F16" s="606"/>
      <c r="G16" s="606"/>
      <c r="H16" s="606"/>
      <c r="I16" s="606"/>
      <c r="J16" s="683"/>
      <c r="K16" s="683"/>
      <c r="L16" s="683"/>
    </row>
    <row r="17" spans="2:32" x14ac:dyDescent="0.35">
      <c r="B17" s="732"/>
      <c r="C17" s="720"/>
      <c r="D17" s="606"/>
      <c r="E17" s="606"/>
      <c r="F17" s="606"/>
      <c r="G17" s="606"/>
      <c r="H17" s="606"/>
      <c r="I17" s="606"/>
      <c r="J17" s="683"/>
      <c r="K17" s="683"/>
      <c r="L17" s="683"/>
      <c r="T17" s="657">
        <f>AVERAGE(X10:AA10)</f>
        <v>1080.6999999999998</v>
      </c>
    </row>
    <row r="18" spans="2:32" x14ac:dyDescent="0.35">
      <c r="B18" s="732"/>
      <c r="C18" s="720"/>
      <c r="D18" s="606"/>
      <c r="E18" s="606"/>
      <c r="F18" s="606"/>
      <c r="G18" s="606"/>
      <c r="H18" s="606"/>
      <c r="I18" s="606"/>
      <c r="J18" s="683"/>
      <c r="K18" s="683"/>
      <c r="L18" s="683"/>
      <c r="N18" s="633"/>
      <c r="R18" s="633"/>
      <c r="V18" s="633"/>
      <c r="Z18" s="633"/>
    </row>
    <row r="19" spans="2:32" ht="14.9" customHeight="1" x14ac:dyDescent="0.35">
      <c r="B19" s="630" t="s">
        <v>318</v>
      </c>
    </row>
    <row r="20" spans="2:32" x14ac:dyDescent="0.35">
      <c r="B20" s="737" t="s">
        <v>395</v>
      </c>
      <c r="C20" s="737">
        <v>2019</v>
      </c>
      <c r="D20" s="738">
        <v>2020</v>
      </c>
      <c r="E20" s="713">
        <v>2021</v>
      </c>
      <c r="F20" s="713">
        <v>2022</v>
      </c>
      <c r="G20" s="713">
        <v>2023</v>
      </c>
      <c r="H20" s="713">
        <v>2024</v>
      </c>
      <c r="I20" s="713">
        <v>2025</v>
      </c>
      <c r="J20" s="713">
        <v>2026</v>
      </c>
      <c r="K20" s="714">
        <v>2027</v>
      </c>
      <c r="L20" s="737">
        <v>2028</v>
      </c>
      <c r="M20" s="738">
        <v>2029</v>
      </c>
      <c r="N20" s="713">
        <v>2030</v>
      </c>
      <c r="O20" s="713">
        <v>2031</v>
      </c>
      <c r="P20" s="713">
        <v>2032</v>
      </c>
      <c r="Q20" s="713">
        <v>2033</v>
      </c>
      <c r="R20" s="713">
        <v>2034</v>
      </c>
      <c r="S20" s="713">
        <v>2035</v>
      </c>
      <c r="T20" s="714">
        <v>2036</v>
      </c>
    </row>
    <row r="21" spans="2:32" ht="21" customHeight="1" x14ac:dyDescent="0.35">
      <c r="B21" s="724" t="s">
        <v>2039</v>
      </c>
      <c r="C21" s="716"/>
      <c r="D21" s="716"/>
      <c r="E21" s="366">
        <v>867.67600000000004</v>
      </c>
      <c r="F21" s="366">
        <v>974.649</v>
      </c>
      <c r="G21" s="366">
        <v>1008.504</v>
      </c>
      <c r="H21" s="366">
        <v>1088.9089999999999</v>
      </c>
      <c r="I21" s="366">
        <v>1180</v>
      </c>
      <c r="J21" s="366">
        <v>1287</v>
      </c>
      <c r="K21" s="743">
        <v>1374</v>
      </c>
      <c r="L21" s="723">
        <v>1452</v>
      </c>
      <c r="M21" s="723">
        <v>1552</v>
      </c>
      <c r="N21" s="723">
        <v>1649</v>
      </c>
      <c r="O21" s="723">
        <v>1753</v>
      </c>
      <c r="P21" s="508">
        <v>1867</v>
      </c>
      <c r="Q21" s="508">
        <v>2006</v>
      </c>
      <c r="R21" s="508">
        <v>2145</v>
      </c>
      <c r="S21" s="508">
        <v>2280</v>
      </c>
      <c r="T21" s="508">
        <v>2421</v>
      </c>
      <c r="U21" s="508"/>
      <c r="V21" s="508"/>
      <c r="W21" s="508"/>
      <c r="X21" s="508"/>
      <c r="Y21" s="508"/>
      <c r="Z21" s="508"/>
      <c r="AA21" s="508"/>
      <c r="AB21" s="508"/>
      <c r="AC21" s="508"/>
    </row>
    <row r="22" spans="2:32" ht="21" customHeight="1" x14ac:dyDescent="0.35">
      <c r="B22" s="725"/>
      <c r="C22" s="742"/>
      <c r="D22" s="742"/>
      <c r="E22" s="366">
        <f>AVERAGE(L10:O10)</f>
        <v>871.1</v>
      </c>
      <c r="F22" s="366">
        <f>AVERAGE(P10:S10)</f>
        <v>927.625</v>
      </c>
      <c r="G22" s="366">
        <f>AVERAGE(T10:W10)</f>
        <v>1003.4250000000001</v>
      </c>
      <c r="H22" s="366">
        <f>AVERAGE(X10:AA10)</f>
        <v>1080.6999999999998</v>
      </c>
      <c r="I22" s="366">
        <f>AVERAGE(AB10:AE10)</f>
        <v>1188.9499999999998</v>
      </c>
      <c r="J22" s="606">
        <f>AVERAGE(AF10:AI10)</f>
        <v>1323.3143580531487</v>
      </c>
      <c r="K22" s="440">
        <f>AVERAGE(AJ10:AM10)</f>
        <v>1435.8681041295215</v>
      </c>
      <c r="L22" s="723"/>
      <c r="M22" s="723"/>
      <c r="N22" s="723"/>
      <c r="O22" s="723"/>
      <c r="P22" s="508"/>
      <c r="Q22" s="508"/>
      <c r="R22" s="508"/>
      <c r="S22" s="508"/>
      <c r="T22" s="508"/>
      <c r="U22" s="508"/>
      <c r="V22" s="508"/>
      <c r="W22" s="508"/>
      <c r="X22" s="508"/>
      <c r="Y22" s="508"/>
      <c r="Z22" s="508"/>
      <c r="AA22" s="508"/>
      <c r="AB22" s="508"/>
      <c r="AC22" s="508"/>
    </row>
    <row r="23" spans="2:32" ht="21" customHeight="1" x14ac:dyDescent="0.35">
      <c r="B23" s="741" t="s">
        <v>419</v>
      </c>
      <c r="C23" s="265"/>
      <c r="D23" s="265">
        <v>47</v>
      </c>
      <c r="E23" s="265">
        <v>48</v>
      </c>
      <c r="F23" s="265">
        <v>-50</v>
      </c>
      <c r="G23" s="265">
        <v>-45</v>
      </c>
      <c r="H23" s="265"/>
      <c r="I23" s="265"/>
      <c r="J23" s="265">
        <f>SUM(D23:G23)</f>
        <v>0</v>
      </c>
      <c r="K23" s="677">
        <v>0</v>
      </c>
      <c r="M23" s="723"/>
      <c r="N23" s="723"/>
      <c r="O23" s="723"/>
      <c r="P23" s="508"/>
      <c r="Q23" s="508"/>
      <c r="R23" s="508"/>
      <c r="S23" s="508"/>
      <c r="T23" s="508"/>
      <c r="U23" s="508"/>
      <c r="V23" s="508"/>
      <c r="W23" s="508"/>
      <c r="X23" s="508"/>
      <c r="Y23" s="508"/>
      <c r="Z23" s="508"/>
      <c r="AA23" s="508"/>
      <c r="AB23" s="508"/>
      <c r="AC23" s="508"/>
    </row>
    <row r="24" spans="2:32" x14ac:dyDescent="0.35">
      <c r="B24" s="741" t="s">
        <v>1329</v>
      </c>
      <c r="C24" s="742"/>
      <c r="D24" s="742"/>
      <c r="E24" s="742">
        <f>E21-E23</f>
        <v>819.67600000000004</v>
      </c>
      <c r="F24" s="742">
        <f>F21+F23</f>
        <v>924.649</v>
      </c>
      <c r="G24" s="742">
        <f>G21+G23</f>
        <v>963.50400000000002</v>
      </c>
      <c r="H24" s="742">
        <f>H21+H23</f>
        <v>1088.9089999999999</v>
      </c>
      <c r="I24" s="742">
        <f>I21+I23</f>
        <v>1180</v>
      </c>
      <c r="J24" s="742">
        <f t="shared" ref="J24:K24" si="6">J21+J23</f>
        <v>1287</v>
      </c>
      <c r="K24" s="717">
        <f t="shared" si="6"/>
        <v>1374</v>
      </c>
      <c r="N24" s="736"/>
      <c r="O24" s="720"/>
      <c r="P24" s="508"/>
      <c r="Q24" s="508"/>
      <c r="R24" s="508"/>
      <c r="S24" s="508"/>
      <c r="T24" s="508"/>
      <c r="U24" s="508"/>
      <c r="V24" s="508"/>
      <c r="W24" s="508"/>
      <c r="X24" s="508"/>
      <c r="Y24" s="508"/>
      <c r="Z24" s="508"/>
      <c r="AA24" s="508"/>
      <c r="AB24" s="508"/>
      <c r="AC24" s="508"/>
    </row>
    <row r="25" spans="2:32" x14ac:dyDescent="0.35">
      <c r="B25" s="741" t="s">
        <v>421</v>
      </c>
      <c r="C25" s="606">
        <f>AVERAGE(D10:G10)</f>
        <v>778.75</v>
      </c>
      <c r="D25" s="606">
        <f>AVERAGE(H10:K10)</f>
        <v>815.875</v>
      </c>
      <c r="E25" s="742">
        <f>AVERAGE(L10:O10)</f>
        <v>871.1</v>
      </c>
      <c r="F25" s="265"/>
      <c r="G25" s="265"/>
      <c r="H25" s="265"/>
      <c r="I25" s="265"/>
      <c r="J25" s="265"/>
      <c r="K25" s="677"/>
      <c r="L25" s="268" t="s">
        <v>420</v>
      </c>
      <c r="P25" s="508"/>
      <c r="Q25" s="508"/>
      <c r="R25" s="508"/>
      <c r="S25" s="508"/>
      <c r="T25" s="508"/>
      <c r="U25" s="508"/>
      <c r="V25" s="508"/>
      <c r="W25" s="508"/>
      <c r="X25" s="508"/>
      <c r="Y25" s="508"/>
      <c r="Z25" s="508"/>
      <c r="AA25" s="508"/>
      <c r="AB25" s="508"/>
      <c r="AC25" s="508"/>
    </row>
    <row r="26" spans="2:32" x14ac:dyDescent="0.35">
      <c r="B26" s="726" t="s">
        <v>872</v>
      </c>
      <c r="C26" s="265"/>
      <c r="D26" s="265"/>
      <c r="E26" s="265"/>
      <c r="F26" s="265">
        <f>F24/E24-1</f>
        <v>0.12806645552632978</v>
      </c>
      <c r="G26" s="265">
        <f>G24/F24-1+G27</f>
        <v>4.2021350804467339E-2</v>
      </c>
      <c r="H26" s="265">
        <f>H24/G24-1+H27-0.03</f>
        <v>0.10015514206479662</v>
      </c>
      <c r="I26" s="265">
        <f>I24/H24-1+I27</f>
        <v>0.13365345497190323</v>
      </c>
      <c r="J26" s="265">
        <f>J24/I24-1+J27</f>
        <v>0.11567796610169498</v>
      </c>
      <c r="K26" s="265">
        <f>K24/J24-1+K27</f>
        <v>6.7599067599067642E-2</v>
      </c>
      <c r="P26" s="268"/>
      <c r="Q26" s="268"/>
      <c r="R26" s="268"/>
      <c r="S26" s="268"/>
      <c r="T26" s="268"/>
      <c r="U26" s="268"/>
      <c r="V26" s="268"/>
      <c r="W26" s="268"/>
      <c r="X26" s="268"/>
      <c r="Y26" s="268"/>
      <c r="Z26" s="268"/>
      <c r="AA26" s="268"/>
      <c r="AB26" s="268"/>
      <c r="AC26" s="268"/>
    </row>
    <row r="27" spans="2:32" x14ac:dyDescent="0.35">
      <c r="B27" s="727" t="s">
        <v>846</v>
      </c>
      <c r="C27" s="676"/>
      <c r="D27" s="676"/>
      <c r="E27" s="676"/>
      <c r="F27" s="676"/>
      <c r="G27" s="676">
        <v>0</v>
      </c>
      <c r="H27" s="676"/>
      <c r="I27" s="676">
        <v>0.05</v>
      </c>
      <c r="J27" s="676">
        <v>2.5000000000000001E-2</v>
      </c>
      <c r="K27" s="688"/>
      <c r="P27" s="268"/>
      <c r="Q27" s="268"/>
      <c r="R27" s="268"/>
      <c r="S27" s="268"/>
      <c r="T27" s="268"/>
      <c r="U27" s="268"/>
      <c r="V27" s="268"/>
      <c r="W27" s="268"/>
      <c r="X27" s="268"/>
      <c r="Y27" s="268"/>
      <c r="Z27" s="268"/>
      <c r="AA27" s="268"/>
      <c r="AB27" s="268"/>
      <c r="AC27" s="268"/>
    </row>
    <row r="28" spans="2:32" x14ac:dyDescent="0.35">
      <c r="C28" s="735"/>
      <c r="D28" s="735"/>
      <c r="E28" s="735"/>
      <c r="F28" s="735"/>
      <c r="G28" s="735"/>
      <c r="H28" s="735"/>
      <c r="I28" s="735"/>
      <c r="J28" s="735"/>
      <c r="P28" s="268"/>
      <c r="Q28" s="268"/>
      <c r="R28" s="268"/>
      <c r="S28" s="268"/>
      <c r="T28" s="268"/>
      <c r="U28" s="268"/>
      <c r="V28" s="268"/>
      <c r="W28" s="268"/>
      <c r="X28" s="268"/>
      <c r="Y28" s="268"/>
      <c r="Z28" s="268"/>
      <c r="AA28" s="268"/>
      <c r="AB28" s="268"/>
      <c r="AC28" s="268"/>
    </row>
    <row r="29" spans="2:32" x14ac:dyDescent="0.35">
      <c r="P29" s="268"/>
      <c r="Q29" s="268"/>
      <c r="R29" s="268"/>
      <c r="S29" s="268"/>
      <c r="T29" s="268"/>
      <c r="U29" s="268"/>
      <c r="V29" s="268"/>
      <c r="W29" s="268"/>
      <c r="X29" s="268"/>
      <c r="Y29" s="268"/>
      <c r="Z29" s="268"/>
      <c r="AA29" s="268"/>
      <c r="AB29" s="268"/>
      <c r="AC29" s="268"/>
    </row>
    <row r="30" spans="2:32" x14ac:dyDescent="0.35">
      <c r="S30" s="268"/>
      <c r="T30" s="268"/>
      <c r="U30" s="268"/>
      <c r="V30" s="268"/>
      <c r="W30" s="268"/>
      <c r="X30" s="268"/>
      <c r="Y30" s="268"/>
      <c r="Z30" s="268"/>
      <c r="AA30" s="268"/>
      <c r="AB30" s="268"/>
      <c r="AC30" s="268"/>
      <c r="AD30" s="268"/>
      <c r="AE30" s="268"/>
      <c r="AF30" s="268"/>
    </row>
    <row r="31" spans="2:32" x14ac:dyDescent="0.35">
      <c r="P31" s="268"/>
      <c r="Q31" s="268"/>
      <c r="R31" s="268"/>
      <c r="S31" s="268"/>
      <c r="T31" s="268"/>
      <c r="U31" s="268"/>
      <c r="V31" s="268"/>
      <c r="W31" s="268"/>
      <c r="X31" s="268"/>
      <c r="Y31" s="268"/>
      <c r="Z31" s="268"/>
      <c r="AA31" s="268"/>
      <c r="AB31" s="268"/>
      <c r="AC31" s="268"/>
    </row>
    <row r="32" spans="2:32" x14ac:dyDescent="0.35">
      <c r="F32" s="44"/>
      <c r="G32" s="44"/>
      <c r="P32" s="268"/>
      <c r="Q32" s="268"/>
      <c r="R32" s="268"/>
      <c r="S32" s="268"/>
      <c r="T32" s="268"/>
      <c r="U32" s="268"/>
      <c r="V32" s="268"/>
      <c r="W32" s="268"/>
      <c r="X32" s="268"/>
      <c r="Y32" s="268"/>
      <c r="Z32" s="268"/>
      <c r="AA32" s="268"/>
      <c r="AB32" s="268"/>
      <c r="AC32" s="268"/>
    </row>
    <row r="33" spans="16:29" x14ac:dyDescent="0.35">
      <c r="P33" s="268"/>
      <c r="Q33" s="268"/>
      <c r="R33" s="268"/>
      <c r="S33" s="268"/>
      <c r="T33" s="268"/>
      <c r="U33" s="268"/>
      <c r="V33" s="268"/>
      <c r="W33" s="268"/>
      <c r="X33" s="268"/>
      <c r="Y33" s="268"/>
      <c r="Z33" s="268"/>
      <c r="AA33" s="268"/>
      <c r="AB33" s="268"/>
      <c r="AC33" s="268"/>
    </row>
    <row r="34" spans="16:29" x14ac:dyDescent="0.35">
      <c r="P34" s="268"/>
      <c r="Q34" s="268"/>
      <c r="R34" s="268"/>
      <c r="S34" s="268"/>
      <c r="T34" s="268"/>
      <c r="U34" s="268"/>
      <c r="V34" s="268"/>
      <c r="W34" s="268"/>
      <c r="X34" s="268"/>
      <c r="Y34" s="268"/>
      <c r="Z34" s="268"/>
      <c r="AA34" s="268"/>
      <c r="AB34" s="268"/>
      <c r="AC34" s="268"/>
    </row>
  </sheetData>
  <mergeCells count="14">
    <mergeCell ref="B1:AC1"/>
    <mergeCell ref="B7:C9"/>
    <mergeCell ref="E8:H8"/>
    <mergeCell ref="I8:L8"/>
    <mergeCell ref="M8:P8"/>
    <mergeCell ref="B2:R4"/>
    <mergeCell ref="T2:AC4"/>
    <mergeCell ref="Q8:T8"/>
    <mergeCell ref="AC8:AF8"/>
    <mergeCell ref="AK8:AN8"/>
    <mergeCell ref="U8:X8"/>
    <mergeCell ref="D7:AA7"/>
    <mergeCell ref="AG8:AJ8"/>
    <mergeCell ref="AG7:AN7"/>
  </mergeCells>
  <pageMargins left="0.7" right="0.7" top="0.75" bottom="0.75" header="0.3" footer="0.3"/>
  <pageSetup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26"/>
  <sheetViews>
    <sheetView zoomScaleNormal="100" workbookViewId="0">
      <pane xSplit="3" ySplit="8" topLeftCell="Q9" activePane="bottomRight" state="frozen"/>
      <selection pane="topRight" activeCell="D1" sqref="D1"/>
      <selection pane="bottomLeft" activeCell="A9" sqref="A9"/>
      <selection pane="bottomRight" activeCell="AD29" sqref="AD29"/>
    </sheetView>
  </sheetViews>
  <sheetFormatPr defaultColWidth="10.90625" defaultRowHeight="14.5" x14ac:dyDescent="0.35"/>
  <cols>
    <col min="1" max="1" width="16.81640625" customWidth="1"/>
  </cols>
  <sheetData>
    <row r="1" spans="2:40" x14ac:dyDescent="0.35">
      <c r="B1" s="1387" t="s">
        <v>1331</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40" x14ac:dyDescent="0.35">
      <c r="B2" s="1426" t="s">
        <v>1334</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2:40"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2:40"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2:40"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2:40" x14ac:dyDescent="0.35">
      <c r="B6" s="1389" t="s">
        <v>1646</v>
      </c>
      <c r="C6" s="1454"/>
      <c r="D6" s="1393" t="s">
        <v>246</v>
      </c>
      <c r="E6" s="1456"/>
      <c r="F6" s="1456"/>
      <c r="G6" s="1456"/>
      <c r="H6" s="1456"/>
      <c r="I6" s="1456"/>
      <c r="J6" s="1456"/>
      <c r="K6" s="1456"/>
      <c r="L6" s="1456"/>
      <c r="M6" s="1456"/>
      <c r="N6" s="1456"/>
      <c r="O6" s="1456"/>
      <c r="P6" s="1456"/>
      <c r="Q6" s="1455"/>
      <c r="R6" s="1455"/>
      <c r="S6" s="1455"/>
      <c r="T6" s="1455"/>
      <c r="U6" s="1455"/>
      <c r="V6" s="1392"/>
      <c r="W6" s="1490" t="s">
        <v>247</v>
      </c>
      <c r="X6" s="1486"/>
      <c r="Y6" s="1486"/>
      <c r="Z6" s="1486"/>
      <c r="AA6" s="1486"/>
      <c r="AB6" s="1486"/>
      <c r="AC6" s="1486"/>
      <c r="AD6" s="1486"/>
      <c r="AE6" s="1486"/>
      <c r="AF6" s="1486"/>
      <c r="AG6" s="1487"/>
      <c r="AH6" s="744"/>
      <c r="AI6" s="744"/>
      <c r="AJ6" s="744"/>
    </row>
    <row r="7" spans="2:40" x14ac:dyDescent="0.35">
      <c r="B7" s="1391"/>
      <c r="C7" s="1392"/>
      <c r="D7" s="244">
        <v>2018</v>
      </c>
      <c r="E7" s="1395">
        <v>2019</v>
      </c>
      <c r="F7" s="1396"/>
      <c r="G7" s="1396"/>
      <c r="H7" s="1397"/>
      <c r="I7" s="1395">
        <v>2020</v>
      </c>
      <c r="J7" s="1396"/>
      <c r="K7" s="1396"/>
      <c r="L7" s="1396"/>
      <c r="M7" s="1395">
        <v>2021</v>
      </c>
      <c r="N7" s="1396"/>
      <c r="O7" s="1396"/>
      <c r="P7" s="1396"/>
      <c r="Q7" s="1417">
        <v>2022</v>
      </c>
      <c r="R7" s="1418"/>
      <c r="S7" s="277"/>
      <c r="T7" s="277"/>
      <c r="U7" s="283"/>
      <c r="V7" s="277">
        <v>2023</v>
      </c>
      <c r="W7" s="437"/>
      <c r="X7" s="431"/>
      <c r="Y7" s="1424">
        <v>2024</v>
      </c>
      <c r="Z7" s="1413"/>
      <c r="AA7" s="1413"/>
      <c r="AB7" s="1414"/>
      <c r="AC7" s="1412">
        <v>2025</v>
      </c>
      <c r="AD7" s="1413"/>
      <c r="AE7" s="1413"/>
      <c r="AF7" s="1414"/>
      <c r="AG7" s="1412">
        <v>2026</v>
      </c>
      <c r="AH7" s="1413"/>
      <c r="AI7" s="1413"/>
      <c r="AJ7" s="1414"/>
      <c r="AK7" s="1412">
        <v>2027</v>
      </c>
      <c r="AL7" s="1413"/>
      <c r="AM7" s="1413"/>
      <c r="AN7" s="1414"/>
    </row>
    <row r="8" spans="2:40" x14ac:dyDescent="0.35">
      <c r="B8" s="1393"/>
      <c r="C8" s="1394"/>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72" t="s">
        <v>249</v>
      </c>
      <c r="R8" s="273" t="s">
        <v>250</v>
      </c>
      <c r="S8" s="273" t="s">
        <v>226</v>
      </c>
      <c r="T8" s="273" t="s">
        <v>248</v>
      </c>
      <c r="U8" s="272" t="s">
        <v>249</v>
      </c>
      <c r="V8" s="273" t="s">
        <v>250</v>
      </c>
      <c r="W8" s="270" t="s">
        <v>226</v>
      </c>
      <c r="X8" s="276" t="s">
        <v>248</v>
      </c>
      <c r="Y8" s="270" t="s">
        <v>249</v>
      </c>
      <c r="Z8" s="269" t="s">
        <v>250</v>
      </c>
      <c r="AA8" s="270" t="s">
        <v>226</v>
      </c>
      <c r="AB8" s="270" t="s">
        <v>248</v>
      </c>
      <c r="AC8" s="275" t="s">
        <v>249</v>
      </c>
      <c r="AD8" s="269" t="s">
        <v>250</v>
      </c>
      <c r="AE8" s="270" t="s">
        <v>226</v>
      </c>
      <c r="AF8" s="270" t="s">
        <v>248</v>
      </c>
      <c r="AG8" s="275" t="s">
        <v>249</v>
      </c>
      <c r="AH8" s="269" t="s">
        <v>250</v>
      </c>
      <c r="AI8" s="270" t="s">
        <v>226</v>
      </c>
      <c r="AJ8" s="270" t="s">
        <v>248</v>
      </c>
      <c r="AK8" s="247" t="s">
        <v>228</v>
      </c>
      <c r="AL8" s="247" t="s">
        <v>250</v>
      </c>
    </row>
    <row r="9" spans="2:40" x14ac:dyDescent="0.35">
      <c r="B9" s="119" t="s">
        <v>1333</v>
      </c>
      <c r="C9" s="768"/>
      <c r="D9" s="769"/>
      <c r="E9" s="768"/>
      <c r="F9" s="768"/>
      <c r="G9" s="768"/>
      <c r="H9" s="768"/>
      <c r="I9" s="768"/>
      <c r="J9" s="770"/>
      <c r="K9" s="770"/>
      <c r="L9" s="770"/>
      <c r="M9" s="770"/>
      <c r="N9" s="770"/>
      <c r="O9" s="770"/>
      <c r="P9" s="770"/>
      <c r="Q9" s="748"/>
      <c r="R9" s="749">
        <v>0</v>
      </c>
      <c r="S9" s="750">
        <v>0</v>
      </c>
      <c r="T9" s="749">
        <v>0</v>
      </c>
      <c r="U9" s="749">
        <v>0</v>
      </c>
      <c r="V9" s="749">
        <v>0</v>
      </c>
      <c r="W9" s="749">
        <v>-7.7999999999999999E-4</v>
      </c>
      <c r="X9" s="749">
        <v>-7.7999999999999999E-4</v>
      </c>
      <c r="Y9" s="749">
        <v>-9.5E-4</v>
      </c>
      <c r="Z9" s="749">
        <v>-9.5E-4</v>
      </c>
      <c r="AA9" s="749">
        <v>-9.5E-4</v>
      </c>
      <c r="AB9" s="749">
        <v>-9.5E-4</v>
      </c>
      <c r="AC9" s="749">
        <v>-9.3999999999999997E-4</v>
      </c>
      <c r="AD9" s="749">
        <v>-9.3999999999999997E-4</v>
      </c>
      <c r="AE9" s="749">
        <v>-9.3999999999999997E-4</v>
      </c>
      <c r="AF9" s="749">
        <v>-9.3999999999999997E-4</v>
      </c>
      <c r="AG9" s="749">
        <v>-9.3999999999999997E-4</v>
      </c>
      <c r="AH9" s="749">
        <v>-9.3999999999999997E-4</v>
      </c>
      <c r="AI9" s="749">
        <v>0</v>
      </c>
      <c r="AJ9" s="749">
        <v>0</v>
      </c>
    </row>
    <row r="10" spans="2:40" x14ac:dyDescent="0.35">
      <c r="B10" s="44" t="s">
        <v>1332</v>
      </c>
      <c r="C10" s="385"/>
      <c r="D10" s="695"/>
      <c r="E10" s="385"/>
      <c r="F10" s="385"/>
      <c r="G10" s="385"/>
      <c r="H10" s="385"/>
      <c r="I10" s="385"/>
      <c r="J10" s="747"/>
      <c r="K10" s="747"/>
      <c r="L10" s="747"/>
      <c r="M10" s="747"/>
      <c r="N10" s="747"/>
      <c r="O10" s="747"/>
      <c r="P10" s="747"/>
      <c r="Q10" s="747"/>
      <c r="R10" s="745"/>
      <c r="S10" s="745"/>
      <c r="T10" s="745"/>
      <c r="U10" s="745">
        <v>26095</v>
      </c>
      <c r="V10" s="745">
        <v>26404</v>
      </c>
      <c r="W10" s="745">
        <v>26686</v>
      </c>
      <c r="X10" s="745">
        <v>26931</v>
      </c>
      <c r="Y10" s="745">
        <v>27174</v>
      </c>
      <c r="Z10" s="745">
        <v>27411</v>
      </c>
      <c r="AA10" s="745">
        <v>27647</v>
      </c>
      <c r="AB10" s="745">
        <v>27893</v>
      </c>
      <c r="AC10" s="745">
        <v>28143</v>
      </c>
      <c r="AD10" s="745">
        <v>28400</v>
      </c>
      <c r="AE10" s="745">
        <v>28649</v>
      </c>
      <c r="AF10" s="745">
        <v>28910</v>
      </c>
      <c r="AG10" s="745">
        <v>28910</v>
      </c>
      <c r="AH10" s="745">
        <v>28910</v>
      </c>
    </row>
    <row r="11" spans="2:40" x14ac:dyDescent="0.35">
      <c r="B11" s="1488" t="s">
        <v>2003</v>
      </c>
      <c r="C11" s="1489"/>
      <c r="D11" s="695"/>
      <c r="E11" s="385"/>
      <c r="F11" s="385"/>
      <c r="G11" s="385"/>
      <c r="H11" s="385"/>
      <c r="I11" s="385"/>
      <c r="J11" s="747"/>
      <c r="K11" s="747"/>
      <c r="L11" s="747"/>
      <c r="M11" s="747"/>
      <c r="N11" s="747"/>
      <c r="O11" s="747"/>
      <c r="P11" s="747"/>
      <c r="Q11" s="747"/>
      <c r="R11" s="745"/>
      <c r="S11" s="745"/>
      <c r="T11" s="745"/>
      <c r="U11" s="745"/>
      <c r="V11" s="745"/>
      <c r="W11" s="745"/>
      <c r="X11" s="745"/>
      <c r="Y11" s="745"/>
      <c r="Z11" s="745"/>
      <c r="AA11" s="745"/>
      <c r="AB11" s="745"/>
      <c r="AC11" s="745"/>
      <c r="AD11" s="745"/>
      <c r="AE11" s="745">
        <v>-11</v>
      </c>
      <c r="AF11" s="745">
        <v>-11</v>
      </c>
      <c r="AG11" s="745">
        <v>-11</v>
      </c>
      <c r="AH11" s="745">
        <v>-11</v>
      </c>
      <c r="AI11" s="745">
        <v>-11</v>
      </c>
      <c r="AJ11" s="745">
        <v>-11</v>
      </c>
      <c r="AK11" s="745">
        <v>-11</v>
      </c>
      <c r="AL11" s="745">
        <v>-11</v>
      </c>
    </row>
    <row r="12" spans="2:40" x14ac:dyDescent="0.35">
      <c r="B12" s="44" t="s">
        <v>278</v>
      </c>
      <c r="C12" s="651"/>
      <c r="D12" s="650"/>
      <c r="E12" s="651"/>
      <c r="F12" s="651"/>
      <c r="G12" s="651"/>
      <c r="H12" s="651"/>
      <c r="I12" s="651"/>
      <c r="J12" s="767">
        <v>45</v>
      </c>
      <c r="K12" s="767">
        <v>45</v>
      </c>
      <c r="L12" s="767">
        <v>45</v>
      </c>
      <c r="M12" s="767">
        <v>45</v>
      </c>
      <c r="N12" s="767">
        <v>45</v>
      </c>
      <c r="O12" s="767">
        <v>45</v>
      </c>
      <c r="P12" s="767">
        <v>45</v>
      </c>
      <c r="Q12" s="767">
        <v>45</v>
      </c>
      <c r="R12" s="766">
        <v>45</v>
      </c>
      <c r="S12" s="766">
        <v>45</v>
      </c>
      <c r="T12" s="766">
        <v>45</v>
      </c>
      <c r="U12" s="771">
        <v>45</v>
      </c>
      <c r="V12" s="771">
        <v>45</v>
      </c>
      <c r="W12" s="771">
        <f>W9*W10*(-1)*0.1</f>
        <v>2.0815079999999999</v>
      </c>
      <c r="X12" s="771">
        <f t="shared" ref="X12:AD12" si="0">X9*X10*(-1)*0.1</f>
        <v>2.1006180000000003</v>
      </c>
      <c r="Y12" s="771">
        <f t="shared" si="0"/>
        <v>2.5815300000000003</v>
      </c>
      <c r="Z12" s="771">
        <f t="shared" si="0"/>
        <v>2.6040450000000002</v>
      </c>
      <c r="AA12" s="771">
        <f t="shared" si="0"/>
        <v>2.626465</v>
      </c>
      <c r="AB12" s="771">
        <f>AB9*AB10*(-1)*0.1</f>
        <v>2.6498349999999999</v>
      </c>
      <c r="AC12" s="771">
        <f>AC9*AC10*(-1)*0.1</f>
        <v>2.6454420000000001</v>
      </c>
      <c r="AD12" s="771">
        <f t="shared" si="0"/>
        <v>2.6696</v>
      </c>
      <c r="AE12" s="771">
        <f>AE9*AE10*(-1)*0.1+AE11</f>
        <v>-8.3069939999999995</v>
      </c>
      <c r="AF12" s="771">
        <f t="shared" ref="AF12:AL12" si="1">AF9*AF10*(-1)*0.1+AF11</f>
        <v>-8.2824600000000004</v>
      </c>
      <c r="AG12" s="771">
        <f t="shared" si="1"/>
        <v>-8.2824600000000004</v>
      </c>
      <c r="AH12" s="771">
        <f t="shared" si="1"/>
        <v>-8.2824600000000004</v>
      </c>
      <c r="AI12" s="771">
        <f t="shared" si="1"/>
        <v>-11</v>
      </c>
      <c r="AJ12" s="771">
        <f t="shared" si="1"/>
        <v>-11</v>
      </c>
      <c r="AK12" s="771">
        <f t="shared" si="1"/>
        <v>-11</v>
      </c>
      <c r="AL12" s="771">
        <f t="shared" si="1"/>
        <v>-11</v>
      </c>
    </row>
    <row r="13" spans="2:40" x14ac:dyDescent="0.35">
      <c r="B13" s="44"/>
      <c r="C13" s="385"/>
      <c r="D13" s="385"/>
      <c r="E13" s="385"/>
      <c r="F13" s="385"/>
      <c r="G13" s="385"/>
      <c r="H13" s="385"/>
      <c r="I13" s="385"/>
      <c r="J13" s="747"/>
      <c r="K13" s="747"/>
      <c r="L13" s="747"/>
      <c r="M13" s="747"/>
      <c r="N13" s="747"/>
      <c r="O13" s="747"/>
      <c r="P13" s="747"/>
      <c r="Q13" s="747"/>
      <c r="R13" s="745"/>
      <c r="S13" s="745"/>
      <c r="T13" s="745"/>
      <c r="U13" s="94"/>
      <c r="V13" s="94"/>
      <c r="W13" s="94"/>
      <c r="X13" s="94"/>
      <c r="Y13" s="94"/>
      <c r="Z13" s="94"/>
      <c r="AA13" s="94"/>
      <c r="AB13" s="94"/>
      <c r="AC13" s="94"/>
      <c r="AD13" s="94"/>
      <c r="AE13" s="94"/>
      <c r="AF13" s="94"/>
      <c r="AG13" s="94"/>
      <c r="AH13" s="94"/>
    </row>
    <row r="14" spans="2:40" x14ac:dyDescent="0.35">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44"/>
      <c r="AA14" s="44"/>
      <c r="AB14" s="44"/>
      <c r="AC14" s="44"/>
    </row>
    <row r="15" spans="2:40" x14ac:dyDescent="0.35">
      <c r="B15" s="1343" t="s">
        <v>1698</v>
      </c>
      <c r="C15" s="1343"/>
      <c r="D15" s="1343"/>
      <c r="E15" s="1343"/>
      <c r="F15" s="1343"/>
      <c r="G15" s="1343"/>
      <c r="H15" s="1343"/>
      <c r="I15" s="1343"/>
      <c r="J15" s="1343"/>
      <c r="K15" s="1343"/>
      <c r="L15" s="1343"/>
      <c r="M15" s="1343"/>
      <c r="N15" s="1343"/>
      <c r="O15" s="1343"/>
      <c r="P15" s="1343"/>
      <c r="Q15" s="1343"/>
      <c r="R15" s="1343"/>
      <c r="S15" s="1343"/>
      <c r="T15" s="1343"/>
      <c r="U15" s="1343"/>
      <c r="V15" s="1343"/>
      <c r="W15" s="1343"/>
      <c r="X15" s="1343"/>
      <c r="Y15" s="1343"/>
      <c r="Z15" s="1343"/>
      <c r="AA15" s="1343"/>
      <c r="AB15" s="1343"/>
      <c r="AC15" s="1343"/>
      <c r="AD15" s="1343"/>
      <c r="AE15" s="1343"/>
      <c r="AF15" s="1343"/>
    </row>
    <row r="16" spans="2:40" x14ac:dyDescent="0.35">
      <c r="B16" s="1389" t="s">
        <v>1645</v>
      </c>
      <c r="C16" s="1454"/>
      <c r="D16" s="1409" t="s">
        <v>246</v>
      </c>
      <c r="E16" s="1410"/>
      <c r="F16" s="1410"/>
      <c r="G16" s="1410"/>
      <c r="H16" s="1410"/>
      <c r="I16" s="1410"/>
      <c r="J16" s="1410"/>
      <c r="K16" s="1410"/>
      <c r="L16" s="1410"/>
      <c r="M16" s="1410"/>
      <c r="N16" s="1410"/>
      <c r="O16" s="1410"/>
      <c r="P16" s="1410"/>
      <c r="Q16" s="1410"/>
      <c r="R16" s="1410"/>
      <c r="S16" s="1410"/>
      <c r="T16" s="1410"/>
      <c r="U16" s="1410"/>
      <c r="V16" s="1410"/>
      <c r="W16" s="1486" t="s">
        <v>247</v>
      </c>
      <c r="X16" s="1486"/>
      <c r="Y16" s="1486"/>
      <c r="Z16" s="1486"/>
      <c r="AA16" s="1486"/>
      <c r="AB16" s="1486"/>
      <c r="AC16" s="1486"/>
      <c r="AD16" s="1486"/>
      <c r="AE16" s="1486"/>
      <c r="AF16" s="1486"/>
      <c r="AG16" s="1487"/>
      <c r="AH16" s="744"/>
    </row>
    <row r="17" spans="2:35" x14ac:dyDescent="0.35">
      <c r="B17" s="1391"/>
      <c r="C17" s="1392"/>
      <c r="D17" s="244">
        <v>2018</v>
      </c>
      <c r="E17" s="1395">
        <v>2019</v>
      </c>
      <c r="F17" s="1396"/>
      <c r="G17" s="1396"/>
      <c r="H17" s="1397"/>
      <c r="I17" s="1395">
        <v>2020</v>
      </c>
      <c r="J17" s="1396"/>
      <c r="K17" s="1396"/>
      <c r="L17" s="1396"/>
      <c r="M17" s="1395">
        <v>2021</v>
      </c>
      <c r="N17" s="1396"/>
      <c r="O17" s="1396"/>
      <c r="P17" s="1396"/>
      <c r="Q17" s="1417">
        <v>2022</v>
      </c>
      <c r="R17" s="1485"/>
      <c r="S17" s="277"/>
      <c r="T17" s="279"/>
      <c r="U17" s="283"/>
      <c r="V17" s="277">
        <v>2023</v>
      </c>
      <c r="W17" s="746"/>
      <c r="X17" s="746"/>
      <c r="Y17" s="1412">
        <v>2024</v>
      </c>
      <c r="Z17" s="1413"/>
      <c r="AA17" s="1413"/>
      <c r="AB17" s="1414"/>
      <c r="AC17" s="1412">
        <v>2025</v>
      </c>
      <c r="AD17" s="1413"/>
      <c r="AE17" s="1413"/>
      <c r="AF17" s="1414"/>
      <c r="AG17" s="1412">
        <v>2026</v>
      </c>
      <c r="AH17" s="1414"/>
    </row>
    <row r="18" spans="2:35" x14ac:dyDescent="0.35">
      <c r="B18" s="1393"/>
      <c r="C18" s="1394"/>
      <c r="D18" s="244" t="s">
        <v>248</v>
      </c>
      <c r="E18" s="244" t="s">
        <v>249</v>
      </c>
      <c r="F18" s="245" t="s">
        <v>250</v>
      </c>
      <c r="G18" s="245" t="s">
        <v>226</v>
      </c>
      <c r="H18" s="246" t="s">
        <v>248</v>
      </c>
      <c r="I18" s="245" t="s">
        <v>249</v>
      </c>
      <c r="J18" s="245" t="s">
        <v>250</v>
      </c>
      <c r="K18" s="245" t="s">
        <v>226</v>
      </c>
      <c r="L18" s="245" t="s">
        <v>248</v>
      </c>
      <c r="M18" s="244" t="s">
        <v>249</v>
      </c>
      <c r="N18" s="245" t="s">
        <v>250</v>
      </c>
      <c r="O18" s="245" t="s">
        <v>226</v>
      </c>
      <c r="P18" s="245" t="s">
        <v>248</v>
      </c>
      <c r="Q18" s="272" t="s">
        <v>249</v>
      </c>
      <c r="R18" s="273" t="s">
        <v>250</v>
      </c>
      <c r="S18" s="273" t="s">
        <v>226</v>
      </c>
      <c r="T18" s="271" t="s">
        <v>248</v>
      </c>
      <c r="U18" s="272" t="s">
        <v>249</v>
      </c>
      <c r="V18" s="273" t="s">
        <v>250</v>
      </c>
      <c r="W18" s="270" t="s">
        <v>226</v>
      </c>
      <c r="X18" s="270" t="s">
        <v>248</v>
      </c>
      <c r="Y18" s="275" t="s">
        <v>249</v>
      </c>
      <c r="Z18" s="269" t="s">
        <v>250</v>
      </c>
      <c r="AA18" s="270" t="s">
        <v>226</v>
      </c>
      <c r="AB18" s="276" t="s">
        <v>248</v>
      </c>
      <c r="AC18" s="275" t="s">
        <v>249</v>
      </c>
      <c r="AD18" s="269" t="s">
        <v>250</v>
      </c>
      <c r="AE18" s="270" t="s">
        <v>226</v>
      </c>
      <c r="AF18" s="270" t="s">
        <v>248</v>
      </c>
      <c r="AG18" s="275" t="s">
        <v>249</v>
      </c>
      <c r="AH18" s="276" t="s">
        <v>250</v>
      </c>
    </row>
    <row r="19" spans="2:35" x14ac:dyDescent="0.35">
      <c r="B19" s="119" t="s">
        <v>1333</v>
      </c>
      <c r="C19" s="754"/>
      <c r="D19" s="755"/>
      <c r="E19" s="754"/>
      <c r="F19" s="754"/>
      <c r="G19" s="754"/>
      <c r="H19" s="754"/>
      <c r="I19" s="754"/>
      <c r="J19" s="756"/>
      <c r="K19" s="756"/>
      <c r="L19" s="756"/>
      <c r="M19" s="756"/>
      <c r="N19" s="756"/>
      <c r="O19" s="756"/>
      <c r="P19" s="756"/>
      <c r="Q19" s="756"/>
      <c r="R19" s="757">
        <v>0</v>
      </c>
      <c r="S19" s="751">
        <v>0</v>
      </c>
      <c r="T19" s="753">
        <v>0</v>
      </c>
      <c r="U19" s="753">
        <v>-7.7999999999999999E-4</v>
      </c>
      <c r="V19" s="753">
        <v>-7.7999999999999999E-4</v>
      </c>
      <c r="W19" s="753">
        <v>-7.7999999999999999E-4</v>
      </c>
      <c r="X19" s="753">
        <v>-7.7999999999999999E-4</v>
      </c>
      <c r="Y19" s="753">
        <v>-9.5E-4</v>
      </c>
      <c r="Z19" s="753">
        <v>-9.5E-4</v>
      </c>
      <c r="AA19" s="753">
        <v>-9.5E-4</v>
      </c>
      <c r="AB19" s="753">
        <v>-9.5E-4</v>
      </c>
      <c r="AC19" s="753">
        <v>-9.3999999999999997E-4</v>
      </c>
      <c r="AD19" s="753">
        <v>-9.3999999999999997E-4</v>
      </c>
      <c r="AE19" s="753">
        <v>-9.3999999999999997E-4</v>
      </c>
      <c r="AF19" s="753">
        <v>-9.3999999999999997E-4</v>
      </c>
      <c r="AG19" s="751">
        <v>-9.3999999999999997E-4</v>
      </c>
      <c r="AH19" s="751">
        <v>-9.3999999999999997E-4</v>
      </c>
    </row>
    <row r="20" spans="2:35" x14ac:dyDescent="0.35">
      <c r="B20" s="44" t="s">
        <v>1332</v>
      </c>
      <c r="C20" s="758"/>
      <c r="D20" s="759"/>
      <c r="E20" s="758"/>
      <c r="F20" s="758"/>
      <c r="G20" s="758"/>
      <c r="H20" s="758"/>
      <c r="I20" s="758"/>
      <c r="J20" s="760"/>
      <c r="K20" s="760"/>
      <c r="L20" s="760"/>
      <c r="M20" s="760"/>
      <c r="N20" s="760"/>
      <c r="O20" s="760"/>
      <c r="P20" s="760"/>
      <c r="Q20" s="760"/>
      <c r="R20" s="752"/>
      <c r="S20" s="752"/>
      <c r="T20" s="752"/>
      <c r="U20" s="752">
        <v>26095</v>
      </c>
      <c r="V20" s="752">
        <v>26404</v>
      </c>
      <c r="W20" s="752">
        <v>26686</v>
      </c>
      <c r="X20" s="752">
        <v>26931</v>
      </c>
      <c r="Y20" s="752">
        <v>27174</v>
      </c>
      <c r="Z20" s="752">
        <v>27411</v>
      </c>
      <c r="AA20" s="752">
        <v>27647</v>
      </c>
      <c r="AB20" s="752">
        <v>27893</v>
      </c>
      <c r="AC20" s="752">
        <v>28143</v>
      </c>
      <c r="AD20" s="752">
        <v>28400</v>
      </c>
      <c r="AE20" s="752">
        <v>28649</v>
      </c>
      <c r="AF20" s="752">
        <v>28910</v>
      </c>
      <c r="AG20" s="752">
        <v>28910</v>
      </c>
      <c r="AH20" s="752">
        <v>28910</v>
      </c>
    </row>
    <row r="21" spans="2:35" x14ac:dyDescent="0.35">
      <c r="B21" s="44" t="s">
        <v>278</v>
      </c>
      <c r="C21" s="761"/>
      <c r="D21" s="762"/>
      <c r="E21" s="761"/>
      <c r="F21" s="761"/>
      <c r="G21" s="761"/>
      <c r="H21" s="761"/>
      <c r="I21" s="761"/>
      <c r="J21" s="763"/>
      <c r="K21" s="763"/>
      <c r="L21" s="763"/>
      <c r="M21" s="763"/>
      <c r="N21" s="763"/>
      <c r="O21" s="763"/>
      <c r="P21" s="763"/>
      <c r="Q21" s="763"/>
      <c r="R21" s="764">
        <f>R19*R20</f>
        <v>0</v>
      </c>
      <c r="S21" s="764">
        <f t="shared" ref="S21:T21" si="2">S19*S20</f>
        <v>0</v>
      </c>
      <c r="T21" s="764">
        <f t="shared" si="2"/>
        <v>0</v>
      </c>
      <c r="U21" s="765">
        <f>U19*U20*-1</f>
        <v>20.354099999999999</v>
      </c>
      <c r="V21" s="765">
        <f t="shared" ref="V21:AF21" si="3">V19*V20*-1</f>
        <v>20.595119999999998</v>
      </c>
      <c r="W21" s="765">
        <f t="shared" si="3"/>
        <v>20.815079999999998</v>
      </c>
      <c r="X21" s="765">
        <f t="shared" si="3"/>
        <v>21.006180000000001</v>
      </c>
      <c r="Y21" s="765">
        <f t="shared" si="3"/>
        <v>25.815300000000001</v>
      </c>
      <c r="Z21" s="765">
        <f t="shared" si="3"/>
        <v>26.04045</v>
      </c>
      <c r="AA21" s="765">
        <f t="shared" si="3"/>
        <v>26.26465</v>
      </c>
      <c r="AB21" s="765">
        <f t="shared" si="3"/>
        <v>26.498349999999999</v>
      </c>
      <c r="AC21" s="765">
        <f t="shared" si="3"/>
        <v>26.454419999999999</v>
      </c>
      <c r="AD21" s="765">
        <f t="shared" si="3"/>
        <v>26.695999999999998</v>
      </c>
      <c r="AE21" s="765">
        <f t="shared" si="3"/>
        <v>26.930059999999997</v>
      </c>
      <c r="AF21" s="765">
        <f t="shared" si="3"/>
        <v>27.1754</v>
      </c>
      <c r="AG21" s="765">
        <f>AG19*AG20*-1</f>
        <v>27.1754</v>
      </c>
      <c r="AH21" s="765">
        <f>AH19*AH20*-1</f>
        <v>27.1754</v>
      </c>
    </row>
    <row r="24" spans="2:35" x14ac:dyDescent="0.35">
      <c r="C24" t="s">
        <v>1786</v>
      </c>
      <c r="F24" s="136" t="s">
        <v>1785</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500-000000000000}"/>
  </hyperlinks>
  <pageMargins left="0.7" right="0.7" top="0.75" bottom="0.75" header="0.3" footer="0.3"/>
  <pageSetup paperSize="9" orientation="portrait" horizontalDpi="300" verticalDpi="30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X99"/>
  <sheetViews>
    <sheetView zoomScaleNormal="100" workbookViewId="0">
      <pane xSplit="3" ySplit="10" topLeftCell="AB11" activePane="bottomRight" state="frozen"/>
      <selection pane="topRight" activeCell="D1" sqref="D1"/>
      <selection pane="bottomLeft" activeCell="A11" sqref="A11"/>
      <selection pane="bottomRight" activeCell="AG64" sqref="AG64"/>
    </sheetView>
  </sheetViews>
  <sheetFormatPr defaultColWidth="10.90625" defaultRowHeight="14.5" outlineLevelRow="1" x14ac:dyDescent="0.35"/>
  <cols>
    <col min="1" max="1" width="20.453125" bestFit="1" customWidth="1"/>
    <col min="2" max="2" width="71.1796875" customWidth="1"/>
    <col min="6" max="6" width="12.1796875" customWidth="1"/>
    <col min="7" max="7" width="10.453125" customWidth="1"/>
    <col min="9" max="9" width="12" customWidth="1"/>
  </cols>
  <sheetData>
    <row r="1" spans="2:40" ht="18" customHeight="1" x14ac:dyDescent="0.35">
      <c r="B1" s="1495" t="s">
        <v>428</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row>
    <row r="2" spans="2:40" ht="34.5" hidden="1" customHeight="1" outlineLevel="1" x14ac:dyDescent="0.35">
      <c r="B2" s="1426" t="s">
        <v>817</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row>
    <row r="3" spans="2:40" ht="3" hidden="1" customHeight="1" outlineLevel="1"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row>
    <row r="4" spans="2:40" ht="10.4" hidden="1" customHeight="1" outlineLevel="1"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row>
    <row r="5" spans="2:40" ht="14.25" hidden="1" customHeight="1" outlineLevel="1" x14ac:dyDescent="0.35">
      <c r="B5" s="1388"/>
      <c r="C5" s="1388"/>
      <c r="D5" s="1388"/>
      <c r="E5" s="1388"/>
      <c r="F5" s="1388"/>
      <c r="G5" s="1388"/>
      <c r="H5" s="1388"/>
      <c r="I5" s="1388"/>
      <c r="J5" s="1388"/>
      <c r="K5" s="1388"/>
      <c r="L5" s="1388"/>
      <c r="M5" s="1388"/>
      <c r="N5" s="1388"/>
      <c r="O5" s="1388"/>
      <c r="P5" s="1388"/>
      <c r="Q5" s="1388"/>
      <c r="R5" s="1388"/>
      <c r="S5" s="1388"/>
      <c r="T5" s="1388"/>
      <c r="U5" s="1388"/>
      <c r="V5" s="1388"/>
      <c r="W5" s="1388"/>
      <c r="X5" s="1388"/>
      <c r="Y5" s="1388"/>
      <c r="Z5" s="1388"/>
      <c r="AA5" s="1388"/>
      <c r="AB5" s="1388"/>
      <c r="AC5" s="1388"/>
    </row>
    <row r="6" spans="2:40" ht="14.25" hidden="1" customHeight="1" outlineLevel="1" x14ac:dyDescent="0.35">
      <c r="B6" s="1388"/>
      <c r="C6" s="1388"/>
      <c r="D6" s="1388"/>
      <c r="E6" s="1388"/>
      <c r="F6" s="1388"/>
      <c r="G6" s="1388"/>
      <c r="H6" s="1388"/>
      <c r="I6" s="1388"/>
      <c r="J6" s="1388"/>
      <c r="K6" s="1388"/>
      <c r="L6" s="1388"/>
      <c r="M6" s="1388"/>
      <c r="N6" s="1388"/>
      <c r="O6" s="1388"/>
      <c r="P6" s="1388"/>
      <c r="Q6" s="1388"/>
      <c r="R6" s="1388"/>
      <c r="S6" s="1388"/>
      <c r="T6" s="1388"/>
      <c r="U6" s="1388"/>
      <c r="V6" s="1388"/>
      <c r="W6" s="1388"/>
      <c r="X6" s="1388"/>
      <c r="Y6" s="1388"/>
      <c r="Z6" s="1388"/>
      <c r="AA6" s="1388"/>
      <c r="AB6" s="1388"/>
      <c r="AC6" s="1388"/>
    </row>
    <row r="7" spans="2:40" collapsed="1"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09" t="s">
        <v>246</v>
      </c>
      <c r="E8" s="1410"/>
      <c r="F8" s="1410"/>
      <c r="G8" s="1410"/>
      <c r="H8" s="1410"/>
      <c r="I8" s="1410"/>
      <c r="J8" s="1410"/>
      <c r="K8" s="1410"/>
      <c r="L8" s="1410"/>
      <c r="M8" s="1410"/>
      <c r="N8" s="1410"/>
      <c r="O8" s="1410"/>
      <c r="P8" s="1410"/>
      <c r="Q8" s="1410"/>
      <c r="R8" s="1410"/>
      <c r="S8" s="1410"/>
      <c r="T8" s="1410"/>
      <c r="U8" s="1410"/>
      <c r="V8" s="1410"/>
      <c r="W8" s="1410"/>
      <c r="X8" s="1410"/>
      <c r="Y8" s="1410"/>
      <c r="Z8" s="1410"/>
      <c r="AA8" s="1410"/>
      <c r="AB8" s="1411"/>
      <c r="AC8" s="1428"/>
      <c r="AD8" s="1429"/>
      <c r="AE8" s="1429"/>
      <c r="AF8" s="1430"/>
      <c r="AG8" s="1419" t="s">
        <v>247</v>
      </c>
      <c r="AH8" s="1420"/>
      <c r="AI8" s="1420"/>
      <c r="AJ8" s="1420"/>
      <c r="AK8" s="1420"/>
      <c r="AL8" s="1420"/>
      <c r="AM8" s="1420"/>
      <c r="AN8" s="1421"/>
    </row>
    <row r="9" spans="2:40" ht="14.9" customHeight="1" x14ac:dyDescent="0.35">
      <c r="B9" s="829"/>
      <c r="C9" s="830"/>
      <c r="D9" s="249">
        <v>2018</v>
      </c>
      <c r="E9" s="1398">
        <v>2019</v>
      </c>
      <c r="F9" s="1399"/>
      <c r="G9" s="1399"/>
      <c r="H9" s="1400"/>
      <c r="I9" s="1398">
        <v>2020</v>
      </c>
      <c r="J9" s="1399"/>
      <c r="K9" s="1399"/>
      <c r="L9" s="1399"/>
      <c r="M9" s="1398">
        <v>2021</v>
      </c>
      <c r="N9" s="1399"/>
      <c r="O9" s="1399"/>
      <c r="P9" s="1399"/>
      <c r="Q9" s="1398">
        <v>2022</v>
      </c>
      <c r="R9" s="1399"/>
      <c r="S9" s="1399"/>
      <c r="T9" s="1400"/>
      <c r="U9" s="1398">
        <v>2023</v>
      </c>
      <c r="V9" s="1399"/>
      <c r="W9" s="1399"/>
      <c r="X9" s="1400"/>
      <c r="Y9" s="80"/>
      <c r="Z9" s="277">
        <v>2024</v>
      </c>
      <c r="AA9" s="277"/>
      <c r="AB9" s="279"/>
      <c r="AC9" s="1398">
        <v>2025</v>
      </c>
      <c r="AD9" s="1399"/>
      <c r="AE9" s="1399"/>
      <c r="AF9" s="1399"/>
      <c r="AG9" s="1412">
        <v>2026</v>
      </c>
      <c r="AH9" s="1424"/>
      <c r="AI9" s="1424"/>
      <c r="AJ9" s="1414"/>
      <c r="AK9" s="1412">
        <v>2027</v>
      </c>
      <c r="AL9" s="1424"/>
      <c r="AM9" s="1424"/>
      <c r="AN9" s="1414"/>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543" t="s">
        <v>226</v>
      </c>
      <c r="AF10" s="273" t="s">
        <v>248</v>
      </c>
      <c r="AG10" s="275" t="s">
        <v>249</v>
      </c>
      <c r="AH10" s="269" t="s">
        <v>250</v>
      </c>
      <c r="AI10" s="270" t="s">
        <v>226</v>
      </c>
      <c r="AJ10" s="276" t="s">
        <v>248</v>
      </c>
      <c r="AK10" s="275" t="s">
        <v>249</v>
      </c>
      <c r="AL10" s="269" t="s">
        <v>250</v>
      </c>
      <c r="AM10" s="270" t="s">
        <v>226</v>
      </c>
      <c r="AN10" s="276" t="s">
        <v>248</v>
      </c>
    </row>
    <row r="11" spans="2:40" x14ac:dyDescent="0.35">
      <c r="B11" s="1496" t="s">
        <v>429</v>
      </c>
      <c r="C11" s="1497"/>
      <c r="D11" s="780"/>
      <c r="E11" s="781"/>
      <c r="F11" s="781"/>
      <c r="G11" s="781"/>
      <c r="H11" s="422"/>
      <c r="I11" s="422"/>
      <c r="J11" s="422"/>
      <c r="K11" s="422"/>
      <c r="L11" s="422"/>
      <c r="M11" s="689"/>
      <c r="N11" s="689"/>
      <c r="O11" s="689"/>
      <c r="P11" s="422"/>
      <c r="Q11" s="422"/>
      <c r="R11" s="422"/>
      <c r="S11" s="422"/>
      <c r="T11" s="422"/>
      <c r="U11" s="422"/>
      <c r="V11" s="422"/>
      <c r="W11" s="422"/>
      <c r="X11" s="422"/>
      <c r="Y11" s="422"/>
      <c r="Z11" s="422"/>
      <c r="AA11" s="422"/>
      <c r="AB11" s="422"/>
      <c r="AC11" s="422"/>
      <c r="AD11" s="422"/>
      <c r="AE11" s="781"/>
      <c r="AF11" s="422"/>
      <c r="AG11" s="422"/>
      <c r="AH11" s="422"/>
      <c r="AI11" s="422"/>
      <c r="AJ11" s="422"/>
      <c r="AK11" s="422"/>
      <c r="AL11" s="422"/>
      <c r="AM11" s="422"/>
      <c r="AN11" s="422"/>
    </row>
    <row r="12" spans="2:40" ht="17.149999999999999" customHeight="1" x14ac:dyDescent="0.35">
      <c r="B12" s="821" t="s">
        <v>430</v>
      </c>
      <c r="C12" s="268" t="s">
        <v>431</v>
      </c>
      <c r="D12" s="668">
        <f>'Haver Pivoted'!GO31</f>
        <v>2223</v>
      </c>
      <c r="E12" s="668">
        <f>'Haver Pivoted'!GP31</f>
        <v>2303.8000000000002</v>
      </c>
      <c r="F12" s="668">
        <f>'Haver Pivoted'!GQ31</f>
        <v>2321.6999999999998</v>
      </c>
      <c r="G12" s="668">
        <f>'Haver Pivoted'!GR31</f>
        <v>2337.1</v>
      </c>
      <c r="H12" s="668">
        <f>'Haver Pivoted'!GS31</f>
        <v>2349.5</v>
      </c>
      <c r="I12" s="668">
        <f>'Haver Pivoted'!GT31</f>
        <v>2417</v>
      </c>
      <c r="J12" s="668">
        <f>'Haver Pivoted'!GU31</f>
        <v>4659.2</v>
      </c>
      <c r="K12" s="668">
        <f>'Haver Pivoted'!GV31</f>
        <v>3514.2</v>
      </c>
      <c r="L12" s="668">
        <f>'Haver Pivoted'!GW31</f>
        <v>2896.7</v>
      </c>
      <c r="M12" s="668">
        <f>'Haver Pivoted'!GX31</f>
        <v>5152.8</v>
      </c>
      <c r="N12" s="668">
        <f>'Haver Pivoted'!GY31</f>
        <v>3403.1</v>
      </c>
      <c r="O12" s="668">
        <f>'Haver Pivoted'!GZ31</f>
        <v>3121.9</v>
      </c>
      <c r="P12" s="668">
        <f>'Haver Pivoted'!HA31</f>
        <v>2958.3</v>
      </c>
      <c r="Q12" s="668">
        <f>'Haver Pivoted'!HB31</f>
        <v>2978.4</v>
      </c>
      <c r="R12" s="668">
        <f>'Haver Pivoted'!HC31</f>
        <v>2983.3</v>
      </c>
      <c r="S12" s="668">
        <f>'Haver Pivoted'!HD31</f>
        <v>2976.9</v>
      </c>
      <c r="T12" s="668">
        <f>'Haver Pivoted'!HE31</f>
        <v>3033.2</v>
      </c>
      <c r="U12" s="668">
        <f>'Haver Pivoted'!HF31</f>
        <v>3055.3</v>
      </c>
      <c r="V12" s="668">
        <f>'Haver Pivoted'!HG31</f>
        <v>3066.9</v>
      </c>
      <c r="W12" s="668">
        <f>'Haver Pivoted'!HH31</f>
        <v>3097.1</v>
      </c>
      <c r="X12" s="668">
        <f>'Haver Pivoted'!HI31</f>
        <v>3119.8</v>
      </c>
      <c r="Y12" s="668">
        <f>'Haver Pivoted'!HJ31</f>
        <v>3242.2</v>
      </c>
      <c r="Z12" s="668">
        <f>'Haver Pivoted'!HK31</f>
        <v>3291</v>
      </c>
      <c r="AA12" s="668">
        <f>'Haver Pivoted'!HL31</f>
        <v>3335.9</v>
      </c>
      <c r="AB12" s="668">
        <f>'Haver Pivoted'!HM31</f>
        <v>3393.7</v>
      </c>
      <c r="AC12" s="668">
        <f>'Haver Pivoted'!HN31</f>
        <v>3526.5</v>
      </c>
      <c r="AD12" s="668">
        <f>'Haver Pivoted'!HO31</f>
        <v>3657</v>
      </c>
      <c r="AE12" s="783">
        <f>'Haver Pivoted'!HP31</f>
        <v>3652</v>
      </c>
      <c r="AF12" s="783">
        <f>'Haver Pivoted'!HQ31</f>
        <v>3682.4</v>
      </c>
      <c r="AG12" s="711">
        <f t="shared" ref="AG12:AN12" si="0">SUM(AG15:AG31)-AG29</f>
        <v>3790.9406048086544</v>
      </c>
      <c r="AH12" s="711">
        <f t="shared" si="0"/>
        <v>3848.5238577265277</v>
      </c>
      <c r="AI12" s="711">
        <f t="shared" si="0"/>
        <v>3908.9511989179364</v>
      </c>
      <c r="AJ12" s="711">
        <f t="shared" si="0"/>
        <v>3946.8568438578286</v>
      </c>
      <c r="AK12" s="711">
        <f t="shared" si="0"/>
        <v>4032.9178493122536</v>
      </c>
      <c r="AL12" s="711">
        <f t="shared" si="0"/>
        <v>4080.9645458102909</v>
      </c>
      <c r="AM12" s="711">
        <f t="shared" si="0"/>
        <v>4129.5157619033744</v>
      </c>
      <c r="AN12" s="711">
        <f t="shared" si="0"/>
        <v>4132.6765944494364</v>
      </c>
    </row>
    <row r="13" spans="2:40" ht="17.149999999999999" customHeight="1" x14ac:dyDescent="0.35">
      <c r="B13" s="821" t="s">
        <v>2056</v>
      </c>
      <c r="C13" s="268"/>
      <c r="D13" s="782"/>
      <c r="E13" s="782"/>
      <c r="F13" s="782"/>
      <c r="G13" s="782"/>
      <c r="H13" s="782"/>
      <c r="I13" s="782"/>
      <c r="J13" s="782"/>
      <c r="K13" s="782"/>
      <c r="L13" s="782"/>
      <c r="M13" s="782"/>
      <c r="N13" s="782"/>
      <c r="O13" s="782"/>
      <c r="P13" s="782"/>
      <c r="Q13" s="782"/>
      <c r="R13" s="782"/>
      <c r="S13" s="782"/>
      <c r="T13" s="782"/>
      <c r="U13" s="799">
        <f t="shared" ref="U13:AN13" si="1">(U12/Q12)-1</f>
        <v>2.581923180231005E-2</v>
      </c>
      <c r="V13" s="799">
        <f t="shared" si="1"/>
        <v>2.8022659471055533E-2</v>
      </c>
      <c r="W13" s="799">
        <f t="shared" si="1"/>
        <v>4.0377573986361659E-2</v>
      </c>
      <c r="X13" s="799">
        <f t="shared" si="1"/>
        <v>2.8550705525517639E-2</v>
      </c>
      <c r="Y13" s="799">
        <f t="shared" si="1"/>
        <v>6.1172388963440349E-2</v>
      </c>
      <c r="Z13" s="799">
        <f t="shared" si="1"/>
        <v>7.30705272424923E-2</v>
      </c>
      <c r="AA13" s="799">
        <f t="shared" si="1"/>
        <v>7.7104387975848399E-2</v>
      </c>
      <c r="AB13" s="799">
        <f t="shared" si="1"/>
        <v>8.7794089364702677E-2</v>
      </c>
      <c r="AC13" s="799">
        <f t="shared" si="1"/>
        <v>8.7687372771575012E-2</v>
      </c>
      <c r="AD13" s="799">
        <f t="shared" si="1"/>
        <v>0.11121239744758427</v>
      </c>
      <c r="AE13" s="784">
        <f t="shared" si="1"/>
        <v>9.4757037081447226E-2</v>
      </c>
      <c r="AF13" s="799">
        <f t="shared" si="1"/>
        <v>8.5069393287562356E-2</v>
      </c>
      <c r="AG13" s="799">
        <f t="shared" si="1"/>
        <v>7.4986702058316812E-2</v>
      </c>
      <c r="AH13" s="799">
        <f t="shared" si="1"/>
        <v>5.2371850622512373E-2</v>
      </c>
      <c r="AI13" s="799">
        <f t="shared" si="1"/>
        <v>7.0359035848284845E-2</v>
      </c>
      <c r="AJ13" s="799">
        <f t="shared" si="1"/>
        <v>7.1816435981378657E-2</v>
      </c>
      <c r="AK13" s="799">
        <f t="shared" si="1"/>
        <v>6.3830397183395782E-2</v>
      </c>
      <c r="AL13" s="799">
        <f t="shared" si="1"/>
        <v>6.0397361865667465E-2</v>
      </c>
      <c r="AM13" s="799">
        <f t="shared" si="1"/>
        <v>5.6425509493823744E-2</v>
      </c>
      <c r="AN13" s="799">
        <f t="shared" si="1"/>
        <v>4.708043842045706E-2</v>
      </c>
    </row>
    <row r="14" spans="2:40" ht="17.149999999999999" customHeight="1" x14ac:dyDescent="0.35">
      <c r="B14" s="821" t="s">
        <v>2057</v>
      </c>
      <c r="C14" s="268"/>
      <c r="D14" s="782"/>
      <c r="E14" s="782"/>
      <c r="F14" s="782"/>
      <c r="G14" s="782"/>
      <c r="H14" s="782"/>
      <c r="I14" s="782"/>
      <c r="J14" s="782"/>
      <c r="K14" s="782"/>
      <c r="L14" s="782"/>
      <c r="M14" s="782"/>
      <c r="N14" s="782"/>
      <c r="O14" s="782"/>
      <c r="P14" s="782"/>
      <c r="Q14" s="782"/>
      <c r="R14" s="782"/>
      <c r="S14" s="782"/>
      <c r="T14" s="782"/>
      <c r="U14" s="782"/>
      <c r="V14" s="782"/>
      <c r="W14" s="782"/>
      <c r="X14" s="782"/>
      <c r="Y14" s="782"/>
      <c r="Z14" s="782"/>
      <c r="AA14" s="782"/>
      <c r="AB14" s="711">
        <f t="shared" ref="AB14:AN14" si="2">AB12-AA12</f>
        <v>57.799999999999727</v>
      </c>
      <c r="AC14" s="711">
        <f t="shared" si="2"/>
        <v>132.80000000000018</v>
      </c>
      <c r="AD14" s="711">
        <f t="shared" si="2"/>
        <v>130.5</v>
      </c>
      <c r="AE14" s="841">
        <f t="shared" si="2"/>
        <v>-5</v>
      </c>
      <c r="AF14" s="711">
        <f t="shared" si="2"/>
        <v>30.400000000000091</v>
      </c>
      <c r="AG14" s="711">
        <f t="shared" si="2"/>
        <v>108.54060480865428</v>
      </c>
      <c r="AH14" s="711">
        <f t="shared" si="2"/>
        <v>57.583252917873324</v>
      </c>
      <c r="AI14" s="711">
        <f t="shared" si="2"/>
        <v>60.427341191408686</v>
      </c>
      <c r="AJ14" s="711">
        <f t="shared" si="2"/>
        <v>37.905644939892227</v>
      </c>
      <c r="AK14" s="711">
        <f t="shared" si="2"/>
        <v>86.061005454424958</v>
      </c>
      <c r="AL14" s="711">
        <f t="shared" si="2"/>
        <v>48.046696498037363</v>
      </c>
      <c r="AM14" s="711">
        <f t="shared" si="2"/>
        <v>48.55121609308344</v>
      </c>
      <c r="AN14" s="711">
        <f t="shared" si="2"/>
        <v>3.1608325460620108</v>
      </c>
    </row>
    <row r="15" spans="2:40" x14ac:dyDescent="0.35">
      <c r="B15" s="777" t="s">
        <v>1787</v>
      </c>
      <c r="C15" s="268"/>
      <c r="D15" s="782">
        <f t="shared" ref="D15:AC15" si="3">D16+D17</f>
        <v>27.1</v>
      </c>
      <c r="E15" s="782">
        <f t="shared" si="3"/>
        <v>29.6</v>
      </c>
      <c r="F15" s="782">
        <f t="shared" si="3"/>
        <v>27.3</v>
      </c>
      <c r="G15" s="782">
        <f t="shared" si="3"/>
        <v>26.4</v>
      </c>
      <c r="H15" s="782">
        <f t="shared" si="3"/>
        <v>26.7</v>
      </c>
      <c r="I15" s="782">
        <f t="shared" si="3"/>
        <v>39.200000000000003</v>
      </c>
      <c r="J15" s="782">
        <f t="shared" si="3"/>
        <v>949.8</v>
      </c>
      <c r="K15" s="782">
        <f t="shared" si="3"/>
        <v>801</v>
      </c>
      <c r="L15" s="782">
        <f t="shared" si="3"/>
        <v>322</v>
      </c>
      <c r="M15" s="782">
        <f t="shared" si="3"/>
        <v>588.5</v>
      </c>
      <c r="N15" s="782">
        <f t="shared" si="3"/>
        <v>437.5</v>
      </c>
      <c r="O15" s="782">
        <f t="shared" si="3"/>
        <v>203</v>
      </c>
      <c r="P15" s="782">
        <f t="shared" si="3"/>
        <v>30.7</v>
      </c>
      <c r="Q15" s="782">
        <f t="shared" si="3"/>
        <v>24.4</v>
      </c>
      <c r="R15" s="782">
        <f t="shared" si="3"/>
        <v>21.8</v>
      </c>
      <c r="S15" s="782">
        <f t="shared" si="3"/>
        <v>23.2</v>
      </c>
      <c r="T15" s="782">
        <f t="shared" si="3"/>
        <v>25.8</v>
      </c>
      <c r="U15" s="782">
        <f t="shared" si="3"/>
        <v>30</v>
      </c>
      <c r="V15" s="782">
        <f t="shared" si="3"/>
        <v>30.857142857142858</v>
      </c>
      <c r="W15" s="782">
        <f t="shared" si="3"/>
        <v>30.857142857142858</v>
      </c>
      <c r="X15" s="782">
        <f t="shared" si="3"/>
        <v>35.5</v>
      </c>
      <c r="Y15" s="782">
        <f t="shared" si="3"/>
        <v>35.5</v>
      </c>
      <c r="Z15" s="782">
        <f t="shared" si="3"/>
        <v>36.1</v>
      </c>
      <c r="AA15" s="782">
        <f t="shared" si="3"/>
        <v>37</v>
      </c>
      <c r="AB15" s="782">
        <f t="shared" si="3"/>
        <v>37.299999999999997</v>
      </c>
      <c r="AC15" s="782">
        <f t="shared" si="3"/>
        <v>37.1</v>
      </c>
      <c r="AD15" s="782">
        <f>AD16+AD17</f>
        <v>38</v>
      </c>
      <c r="AE15" s="785">
        <f>AE16+AE17</f>
        <v>38.5</v>
      </c>
      <c r="AF15" s="785">
        <f>AF16+AF17</f>
        <v>38.299999999999997</v>
      </c>
      <c r="AG15" s="711">
        <f>'Unemployment Insurance'!AG21+'Unemployment Insurance'!AG20</f>
        <v>35.700000000000003</v>
      </c>
      <c r="AH15" s="711">
        <f>'Unemployment Insurance'!AH21+'Unemployment Insurance'!AH20</f>
        <v>35.700000000000003</v>
      </c>
      <c r="AI15" s="711">
        <f>'Unemployment Insurance'!AI21+'Unemployment Insurance'!AI20</f>
        <v>35.700000000000003</v>
      </c>
      <c r="AJ15" s="711">
        <f>'Unemployment Insurance'!AJ21+'Unemployment Insurance'!AJ20</f>
        <v>35.700000000000003</v>
      </c>
      <c r="AK15" s="711">
        <f>'Unemployment Insurance'!AK21+'Unemployment Insurance'!AK20</f>
        <v>36.700000000000003</v>
      </c>
      <c r="AL15" s="711">
        <f>'Unemployment Insurance'!AL21+'Unemployment Insurance'!AL20</f>
        <v>37.700000000000003</v>
      </c>
      <c r="AM15" s="711">
        <f>'Unemployment Insurance'!AM21+'Unemployment Insurance'!AM20</f>
        <v>38.700000000000003</v>
      </c>
      <c r="AN15" s="711">
        <f>'Unemployment Insurance'!AN21+'Unemployment Insurance'!AN20</f>
        <v>39.700000000000003</v>
      </c>
    </row>
    <row r="16" spans="2:40" x14ac:dyDescent="0.35">
      <c r="B16" s="521" t="s">
        <v>191</v>
      </c>
      <c r="C16" s="268"/>
      <c r="D16" s="782">
        <f>'Unemployment Insurance'!D20</f>
        <v>0</v>
      </c>
      <c r="E16" s="782">
        <f>'Unemployment Insurance'!E20</f>
        <v>0</v>
      </c>
      <c r="F16" s="782">
        <f>'Unemployment Insurance'!F20</f>
        <v>0</v>
      </c>
      <c r="G16" s="782">
        <f>'Unemployment Insurance'!G20</f>
        <v>0</v>
      </c>
      <c r="H16" s="782">
        <f>'Unemployment Insurance'!H20</f>
        <v>0</v>
      </c>
      <c r="I16" s="782">
        <f>'Unemployment Insurance'!I20</f>
        <v>0</v>
      </c>
      <c r="J16" s="782">
        <f>'Unemployment Insurance'!J20</f>
        <v>779.80000000000007</v>
      </c>
      <c r="K16" s="782">
        <f>'Unemployment Insurance'!K20</f>
        <v>586.29999999999995</v>
      </c>
      <c r="L16" s="782">
        <f>'Unemployment Insurance'!L20</f>
        <v>229.4</v>
      </c>
      <c r="M16" s="782">
        <f>'Unemployment Insurance'!M20</f>
        <v>523.1</v>
      </c>
      <c r="N16" s="782">
        <f>'Unemployment Insurance'!N20</f>
        <v>405.3</v>
      </c>
      <c r="O16" s="782">
        <f>'Unemployment Insurance'!O20</f>
        <v>209.20000000000002</v>
      </c>
      <c r="P16" s="782">
        <f>'Unemployment Insurance'!P20</f>
        <v>6.1000000000000014</v>
      </c>
      <c r="Q16" s="782">
        <f>'Unemployment Insurance'!Q20</f>
        <v>0.19999999999999929</v>
      </c>
      <c r="R16" s="782">
        <f>'Unemployment Insurance'!R20</f>
        <v>1.1000000000000014</v>
      </c>
      <c r="S16" s="782">
        <f>'Unemployment Insurance'!S20</f>
        <v>0.5</v>
      </c>
      <c r="T16" s="782">
        <f>'Unemployment Insurance'!T20</f>
        <v>0.30000000000000071</v>
      </c>
      <c r="U16" s="782">
        <f>'Unemployment Insurance'!U20</f>
        <v>0</v>
      </c>
      <c r="V16" s="782">
        <f>'Unemployment Insurance'!V20</f>
        <v>0</v>
      </c>
      <c r="W16" s="782">
        <f>'Unemployment Insurance'!W20</f>
        <v>0</v>
      </c>
      <c r="X16" s="782">
        <f>'Unemployment Insurance'!X20</f>
        <v>5.2171428571428606</v>
      </c>
      <c r="Y16" s="782">
        <f>'Unemployment Insurance'!Y20</f>
        <v>4.0771428571428601</v>
      </c>
      <c r="Z16" s="782">
        <f>'Unemployment Insurance'!Z20</f>
        <v>1.2000000000000028</v>
      </c>
      <c r="AA16" s="782">
        <f>'Unemployment Insurance'!AA20</f>
        <v>1.2999999999999972</v>
      </c>
      <c r="AB16" s="782">
        <f>'Unemployment Insurance'!AB20</f>
        <v>1.5999999999999943</v>
      </c>
      <c r="AC16" s="782">
        <f>'Unemployment Insurance'!AC20</f>
        <v>1.3999999999999986</v>
      </c>
      <c r="AD16" s="782">
        <f>'Unemployment Insurance'!AD20</f>
        <v>2.2999999999999972</v>
      </c>
      <c r="AE16" s="785">
        <f>'Unemployment Insurance'!AE20</f>
        <v>2.7999999999999972</v>
      </c>
      <c r="AF16" s="785">
        <f>'Unemployment Insurance'!AF20</f>
        <v>2.5999999999999943</v>
      </c>
      <c r="AG16" s="711"/>
      <c r="AH16" s="711"/>
      <c r="AI16" s="711"/>
      <c r="AJ16" s="711"/>
      <c r="AK16" s="711"/>
      <c r="AL16" s="711"/>
      <c r="AM16" s="711"/>
      <c r="AN16" s="711"/>
    </row>
    <row r="17" spans="2:102" x14ac:dyDescent="0.35">
      <c r="B17" s="521" t="s">
        <v>193</v>
      </c>
      <c r="C17" s="268"/>
      <c r="D17" s="782">
        <f>'Unemployment Insurance'!D21</f>
        <v>27.1</v>
      </c>
      <c r="E17" s="782">
        <f>'Unemployment Insurance'!E21</f>
        <v>29.6</v>
      </c>
      <c r="F17" s="782">
        <f>'Unemployment Insurance'!F21</f>
        <v>27.3</v>
      </c>
      <c r="G17" s="782">
        <f>'Unemployment Insurance'!G21</f>
        <v>26.4</v>
      </c>
      <c r="H17" s="782">
        <f>'Unemployment Insurance'!H21</f>
        <v>26.7</v>
      </c>
      <c r="I17" s="782">
        <f>'Unemployment Insurance'!I21</f>
        <v>39.200000000000003</v>
      </c>
      <c r="J17" s="782">
        <f>'Unemployment Insurance'!J21</f>
        <v>169.99999999999991</v>
      </c>
      <c r="K17" s="782">
        <f>'Unemployment Insurance'!K21</f>
        <v>214.7</v>
      </c>
      <c r="L17" s="782">
        <f>'Unemployment Insurance'!L21</f>
        <v>92.6</v>
      </c>
      <c r="M17" s="782">
        <f>'Unemployment Insurance'!M21</f>
        <v>65.399999999999977</v>
      </c>
      <c r="N17" s="782">
        <f>'Unemployment Insurance'!N21</f>
        <v>32.199999999999989</v>
      </c>
      <c r="O17" s="782">
        <f>'Unemployment Insurance'!O21</f>
        <v>-6.2000000000000171</v>
      </c>
      <c r="P17" s="782">
        <f>'Unemployment Insurance'!P21</f>
        <v>24.599999999999998</v>
      </c>
      <c r="Q17" s="782">
        <f>'Unemployment Insurance'!Q21</f>
        <v>24.2</v>
      </c>
      <c r="R17" s="782">
        <f>'Unemployment Insurance'!R21</f>
        <v>20.7</v>
      </c>
      <c r="S17" s="782">
        <f>'Unemployment Insurance'!S21</f>
        <v>22.7</v>
      </c>
      <c r="T17" s="782">
        <f>'Unemployment Insurance'!T21</f>
        <v>25.5</v>
      </c>
      <c r="U17" s="782">
        <f>'Unemployment Insurance'!U21</f>
        <v>30</v>
      </c>
      <c r="V17" s="782">
        <f>'Unemployment Insurance'!V21</f>
        <v>30.857142857142858</v>
      </c>
      <c r="W17" s="782">
        <f>'Unemployment Insurance'!W21</f>
        <v>30.857142857142858</v>
      </c>
      <c r="X17" s="782">
        <f>'Unemployment Insurance'!X21</f>
        <v>30.282857142857139</v>
      </c>
      <c r="Y17" s="782">
        <f>'Unemployment Insurance'!Y21</f>
        <v>31.42285714285714</v>
      </c>
      <c r="Z17" s="782">
        <f>'Unemployment Insurance'!Z21</f>
        <v>34.9</v>
      </c>
      <c r="AA17" s="782">
        <f>'Unemployment Insurance'!AA21</f>
        <v>35.700000000000003</v>
      </c>
      <c r="AB17" s="782">
        <f>'Unemployment Insurance'!AB21</f>
        <v>35.700000000000003</v>
      </c>
      <c r="AC17" s="782">
        <f>'Unemployment Insurance'!AC21</f>
        <v>35.700000000000003</v>
      </c>
      <c r="AD17" s="782">
        <f>'Unemployment Insurance'!AD21</f>
        <v>35.700000000000003</v>
      </c>
      <c r="AE17" s="785">
        <f>'Unemployment Insurance'!AE21</f>
        <v>35.700000000000003</v>
      </c>
      <c r="AF17" s="785">
        <f>'Unemployment Insurance'!AF21</f>
        <v>35.700000000000003</v>
      </c>
      <c r="AG17" s="711"/>
      <c r="AH17" s="711"/>
      <c r="AI17" s="711"/>
      <c r="AJ17" s="711"/>
      <c r="AK17" s="711"/>
      <c r="AL17" s="711"/>
      <c r="AM17" s="711"/>
      <c r="AN17" s="711"/>
    </row>
    <row r="18" spans="2:102" ht="17.899999999999999" customHeight="1" x14ac:dyDescent="0.35">
      <c r="B18" s="777" t="s">
        <v>46</v>
      </c>
      <c r="C18" s="268"/>
      <c r="D18" s="802">
        <f>Medicare!D10</f>
        <v>755</v>
      </c>
      <c r="E18" s="802">
        <f>Medicare!E10</f>
        <v>773.5</v>
      </c>
      <c r="F18" s="802">
        <f>Medicare!F10</f>
        <v>788.5</v>
      </c>
      <c r="G18" s="802">
        <f>Medicare!G10</f>
        <v>798</v>
      </c>
      <c r="H18" s="802">
        <f>Medicare!H10</f>
        <v>802</v>
      </c>
      <c r="I18" s="802">
        <f>Medicare!I10</f>
        <v>805.1</v>
      </c>
      <c r="J18" s="802">
        <f>Medicare!J10</f>
        <v>821</v>
      </c>
      <c r="K18" s="802">
        <f>Medicare!K10</f>
        <v>835.4</v>
      </c>
      <c r="L18" s="802">
        <f>Medicare!L10</f>
        <v>848.1</v>
      </c>
      <c r="M18" s="802">
        <f>Medicare!M10</f>
        <v>863.4</v>
      </c>
      <c r="N18" s="802">
        <f>Medicare!N10</f>
        <v>878.9</v>
      </c>
      <c r="O18" s="802">
        <f>Medicare!O10</f>
        <v>894</v>
      </c>
      <c r="P18" s="802">
        <f>Medicare!P10</f>
        <v>908.8</v>
      </c>
      <c r="Q18" s="802">
        <f>Medicare!Q10</f>
        <v>923.7</v>
      </c>
      <c r="R18" s="802">
        <f>Medicare!R10</f>
        <v>933</v>
      </c>
      <c r="S18" s="802">
        <f>Medicare!S10</f>
        <v>945</v>
      </c>
      <c r="T18" s="802">
        <f>Medicare!T10</f>
        <v>968</v>
      </c>
      <c r="U18" s="802">
        <f>Medicare!U10</f>
        <v>993.1</v>
      </c>
      <c r="V18" s="802">
        <f>Medicare!V10</f>
        <v>1016.2</v>
      </c>
      <c r="W18" s="802">
        <f>Medicare!W10</f>
        <v>1036.4000000000001</v>
      </c>
      <c r="X18" s="802">
        <f>Medicare!X10</f>
        <v>1053.5999999999999</v>
      </c>
      <c r="Y18" s="802">
        <f>Medicare!Y10</f>
        <v>1069.0999999999999</v>
      </c>
      <c r="Z18" s="802">
        <f>Medicare!Z10</f>
        <v>1088.2</v>
      </c>
      <c r="AA18" s="802">
        <f>Medicare!AA10</f>
        <v>1111.9000000000001</v>
      </c>
      <c r="AB18" s="802">
        <f>Medicare!AB10</f>
        <v>1140.3</v>
      </c>
      <c r="AC18" s="802">
        <f>Medicare!AC10</f>
        <v>1172.5999999999999</v>
      </c>
      <c r="AD18" s="802">
        <f>Medicare!AD10</f>
        <v>1205.3</v>
      </c>
      <c r="AE18" s="798">
        <f>Medicare!AE10</f>
        <v>1237.5999999999999</v>
      </c>
      <c r="AF18" s="802">
        <f>Medicare!AF10</f>
        <v>1269.5</v>
      </c>
      <c r="AG18" s="802">
        <f>Medicare!AG10</f>
        <v>1304.7202989964987</v>
      </c>
      <c r="AH18" s="802">
        <f>Medicare!AH10</f>
        <v>1340.9177302981591</v>
      </c>
      <c r="AI18" s="802">
        <f>Medicare!AI10</f>
        <v>1378.1194029179367</v>
      </c>
      <c r="AJ18" s="802">
        <f>Medicare!AJ10</f>
        <v>1400.841159718721</v>
      </c>
      <c r="AK18" s="802">
        <f>Medicare!AK10</f>
        <v>1423.9375417014894</v>
      </c>
      <c r="AL18" s="802">
        <f>Medicare!AL10</f>
        <v>1447.4147255025032</v>
      </c>
      <c r="AM18" s="802">
        <f>Medicare!AM10</f>
        <v>1471.2789895953731</v>
      </c>
      <c r="AN18" s="802">
        <f>Medicare!AN10</f>
        <v>1471.2789895953731</v>
      </c>
    </row>
    <row r="19" spans="2:102" ht="17.899999999999999" customHeight="1" x14ac:dyDescent="0.35">
      <c r="B19" s="679" t="s">
        <v>438</v>
      </c>
      <c r="C19" s="268" t="s">
        <v>439</v>
      </c>
      <c r="D19" s="802">
        <f>D66</f>
        <v>983.86099999999999</v>
      </c>
      <c r="E19" s="802">
        <f t="shared" ref="E19:AN19" si="4">E66</f>
        <v>1019.19</v>
      </c>
      <c r="F19" s="802">
        <f t="shared" si="4"/>
        <v>1026.704</v>
      </c>
      <c r="G19" s="802">
        <f t="shared" si="4"/>
        <v>1034.4169999999999</v>
      </c>
      <c r="H19" s="802">
        <f t="shared" si="4"/>
        <v>1042.6610000000001</v>
      </c>
      <c r="I19" s="802">
        <f t="shared" si="4"/>
        <v>1068.44</v>
      </c>
      <c r="J19" s="802">
        <f t="shared" si="4"/>
        <v>1075.0129999999999</v>
      </c>
      <c r="K19" s="802">
        <f t="shared" si="4"/>
        <v>1080.2349999999999</v>
      </c>
      <c r="L19" s="802">
        <f t="shared" si="4"/>
        <v>1088.0239999999999</v>
      </c>
      <c r="M19" s="802">
        <f t="shared" si="4"/>
        <v>1106.018</v>
      </c>
      <c r="N19" s="802">
        <f t="shared" si="4"/>
        <v>1109.463</v>
      </c>
      <c r="O19" s="802">
        <f t="shared" si="4"/>
        <v>1116.6780000000001</v>
      </c>
      <c r="P19" s="802">
        <f t="shared" si="4"/>
        <v>1126.241</v>
      </c>
      <c r="Q19" s="802">
        <f t="shared" si="4"/>
        <v>1199.182</v>
      </c>
      <c r="R19" s="802">
        <f t="shared" si="4"/>
        <v>1206.8019999999999</v>
      </c>
      <c r="S19" s="802">
        <f t="shared" si="4"/>
        <v>1214.2470000000001</v>
      </c>
      <c r="T19" s="802">
        <f t="shared" si="4"/>
        <v>1225.7829999999999</v>
      </c>
      <c r="U19" s="802">
        <f t="shared" si="4"/>
        <v>1340.874</v>
      </c>
      <c r="V19" s="802">
        <f t="shared" si="4"/>
        <v>1352.623</v>
      </c>
      <c r="W19" s="802">
        <f t="shared" si="4"/>
        <v>1359.8879999999999</v>
      </c>
      <c r="X19" s="802">
        <f t="shared" si="4"/>
        <v>1374.508</v>
      </c>
      <c r="Y19" s="802">
        <f t="shared" si="4"/>
        <v>1427.5630000000001</v>
      </c>
      <c r="Z19" s="802">
        <f t="shared" si="4"/>
        <v>1440.9880000000001</v>
      </c>
      <c r="AA19" s="802">
        <f t="shared" si="4"/>
        <v>1454.2329999999999</v>
      </c>
      <c r="AB19" s="802">
        <f t="shared" si="4"/>
        <v>1469.078</v>
      </c>
      <c r="AC19" s="802">
        <f t="shared" si="4"/>
        <v>1529.8430000000001</v>
      </c>
      <c r="AD19" s="802">
        <f t="shared" si="4"/>
        <v>1607.5219999999999</v>
      </c>
      <c r="AE19" s="798">
        <f t="shared" si="4"/>
        <v>1575.4390000000001</v>
      </c>
      <c r="AF19" s="802">
        <f t="shared" si="4"/>
        <v>1578.2070000000001</v>
      </c>
      <c r="AG19" s="802">
        <f t="shared" si="4"/>
        <v>1635.396796</v>
      </c>
      <c r="AH19" s="802">
        <f t="shared" si="4"/>
        <v>1648.396796</v>
      </c>
      <c r="AI19" s="802">
        <f t="shared" si="4"/>
        <v>1661.396796</v>
      </c>
      <c r="AJ19" s="802">
        <f t="shared" si="4"/>
        <v>1674.396796</v>
      </c>
      <c r="AK19" s="802">
        <f t="shared" si="4"/>
        <v>1725.907922308</v>
      </c>
      <c r="AL19" s="802">
        <f t="shared" si="4"/>
        <v>1738.907922308</v>
      </c>
      <c r="AM19" s="802">
        <f t="shared" si="4"/>
        <v>1751.907922308</v>
      </c>
      <c r="AN19" s="802">
        <f t="shared" si="4"/>
        <v>1764.907922308</v>
      </c>
    </row>
    <row r="20" spans="2:102" ht="18" customHeight="1" x14ac:dyDescent="0.35">
      <c r="B20" s="818" t="s">
        <v>2059</v>
      </c>
      <c r="C20" s="268"/>
      <c r="D20" s="711">
        <f>'Rebate Checks (expired)'!D10 +'Rebate Checks (expired)'!D11</f>
        <v>0</v>
      </c>
      <c r="E20" s="711">
        <f>'Rebate Checks (expired)'!E10 +'Rebate Checks (expired)'!E11</f>
        <v>0</v>
      </c>
      <c r="F20" s="711">
        <f>'Rebate Checks (expired)'!F10 +'Rebate Checks (expired)'!F11</f>
        <v>0</v>
      </c>
      <c r="G20" s="711">
        <f>'Rebate Checks (expired)'!G10 +'Rebate Checks (expired)'!G11</f>
        <v>0</v>
      </c>
      <c r="H20" s="711">
        <f>'Rebate Checks (expired)'!H10 +'Rebate Checks (expired)'!H11</f>
        <v>0</v>
      </c>
      <c r="I20" s="711">
        <f>'Rebate Checks (expired)'!I10 +'Rebate Checks (expired)'!I11</f>
        <v>0</v>
      </c>
      <c r="J20" s="711">
        <f>'Rebate Checks (expired)'!J10 +'Rebate Checks (expired)'!J11</f>
        <v>1078.0999999999999</v>
      </c>
      <c r="K20" s="711">
        <f>'Rebate Checks (expired)'!K10 +'Rebate Checks (expired)'!K11</f>
        <v>15.6</v>
      </c>
      <c r="L20" s="711">
        <f>'Rebate Checks (expired)'!L10 +'Rebate Checks (expired)'!L11</f>
        <v>5</v>
      </c>
      <c r="M20" s="711">
        <f>'Rebate Checks (expired)'!M10 +'Rebate Checks (expired)'!M11</f>
        <v>1933.6999999999998</v>
      </c>
      <c r="N20" s="711">
        <f>'Rebate Checks (expired)'!N10 +'Rebate Checks (expired)'!N11</f>
        <v>290.10000000000002</v>
      </c>
      <c r="O20" s="711">
        <f>'Rebate Checks (expired)'!O10 +'Rebate Checks (expired)'!O11</f>
        <v>38.9</v>
      </c>
      <c r="P20" s="711">
        <f>'Rebate Checks (expired)'!P10 +'Rebate Checks (expired)'!P11</f>
        <v>14.2</v>
      </c>
      <c r="Q20" s="711">
        <f>'Rebate Checks (expired)'!Q10 +'Rebate Checks (expired)'!Q11</f>
        <v>0</v>
      </c>
      <c r="R20" s="711">
        <f>'Rebate Checks (expired)'!R10 +'Rebate Checks (expired)'!R11</f>
        <v>0</v>
      </c>
      <c r="S20" s="711">
        <f>'Rebate Checks (expired)'!S10 +'Rebate Checks (expired)'!S11</f>
        <v>0</v>
      </c>
      <c r="T20" s="711">
        <f>'Rebate Checks (expired)'!T10 +'Rebate Checks (expired)'!T11</f>
        <v>0</v>
      </c>
      <c r="U20" s="711">
        <f>'Rebate Checks (expired)'!U10 +'Rebate Checks (expired)'!U11</f>
        <v>0</v>
      </c>
      <c r="V20" s="711">
        <f>'Rebate Checks (expired)'!V10 +'Rebate Checks (expired)'!V11</f>
        <v>0</v>
      </c>
      <c r="W20" s="711">
        <f>'Rebate Checks (expired)'!W10 +'Rebate Checks (expired)'!W11</f>
        <v>0</v>
      </c>
      <c r="X20" s="711">
        <f>'Rebate Checks (expired)'!X10 +'Rebate Checks (expired)'!X11</f>
        <v>0</v>
      </c>
      <c r="Y20" s="711">
        <f>'Rebate Checks (expired)'!Y10 +'Rebate Checks (expired)'!Y11</f>
        <v>0</v>
      </c>
      <c r="Z20" s="711">
        <f>'Rebate Checks (expired)'!Z10 +'Rebate Checks (expired)'!Z11</f>
        <v>0</v>
      </c>
      <c r="AA20" s="711">
        <f>'Rebate Checks (expired)'!AA10 +'Rebate Checks (expired)'!AA11</f>
        <v>0</v>
      </c>
      <c r="AB20" s="711">
        <f>'Rebate Checks (expired)'!AB10 +'Rebate Checks (expired)'!AB11</f>
        <v>0</v>
      </c>
      <c r="AC20" s="711">
        <f>'Rebate Checks (expired)'!AC10 +'Rebate Checks (expired)'!AC11</f>
        <v>0</v>
      </c>
      <c r="AD20" s="711">
        <f>'Rebate Checks (expired)'!AD10 +'Rebate Checks (expired)'!AD11</f>
        <v>0</v>
      </c>
      <c r="AE20" s="841">
        <f>'Rebate Checks (expired)'!AE10 +'Rebate Checks (expired)'!AE11</f>
        <v>0</v>
      </c>
      <c r="AF20" s="711">
        <f>'Rebate Checks (expired)'!AF10 +'Rebate Checks (expired)'!AF11</f>
        <v>0</v>
      </c>
      <c r="AG20" s="711">
        <f>'Rebate Checks (expired)'!AG10 +'Rebate Checks (expired)'!AG11</f>
        <v>0</v>
      </c>
      <c r="AH20" s="711">
        <f>'Rebate Checks (expired)'!AH10 +'Rebate Checks (expired)'!AH11</f>
        <v>0</v>
      </c>
      <c r="AI20" s="711">
        <f>'Rebate Checks (expired)'!AI10 +'Rebate Checks (expired)'!AI11</f>
        <v>0</v>
      </c>
      <c r="AJ20" s="711">
        <f>'Rebate Checks (expired)'!AJ10 +'Rebate Checks (expired)'!AJ11</f>
        <v>0</v>
      </c>
      <c r="AK20" s="711">
        <f>'Rebate Checks (expired)'!AK10 +'Rebate Checks (expired)'!AK11</f>
        <v>0</v>
      </c>
      <c r="AL20" s="711">
        <f>'Rebate Checks (expired)'!AL10 +'Rebate Checks (expired)'!AL11</f>
        <v>0</v>
      </c>
      <c r="AM20" s="711">
        <f>'Rebate Checks (expired)'!AM10 +'Rebate Checks (expired)'!AM11</f>
        <v>0</v>
      </c>
      <c r="AN20" s="711">
        <f>'Rebate Checks (expired)'!AN10 +'Rebate Checks (expired)'!AN11</f>
        <v>0</v>
      </c>
    </row>
    <row r="21" spans="2:102" ht="18" customHeight="1" x14ac:dyDescent="0.35">
      <c r="B21" s="819" t="s">
        <v>1788</v>
      </c>
      <c r="C21" s="268"/>
      <c r="D21" s="711">
        <f>'Rebate Checks (expired)'!D10</f>
        <v>0</v>
      </c>
      <c r="E21" s="711">
        <f>'Rebate Checks (expired)'!E10</f>
        <v>0</v>
      </c>
      <c r="F21" s="711">
        <f>'Rebate Checks (expired)'!F10</f>
        <v>0</v>
      </c>
      <c r="G21" s="711">
        <f>'Rebate Checks (expired)'!G10</f>
        <v>0</v>
      </c>
      <c r="H21" s="711">
        <f>'Rebate Checks (expired)'!H10</f>
        <v>0</v>
      </c>
      <c r="I21" s="711">
        <f>'Rebate Checks (expired)'!I10</f>
        <v>0</v>
      </c>
      <c r="J21" s="711">
        <f>'Rebate Checks (expired)'!J10</f>
        <v>0</v>
      </c>
      <c r="K21" s="711">
        <f>'Rebate Checks (expired)'!K10</f>
        <v>0</v>
      </c>
      <c r="L21" s="711">
        <f>'Rebate Checks (expired)'!L10</f>
        <v>0</v>
      </c>
      <c r="M21" s="711">
        <f>'Rebate Checks (expired)'!M10</f>
        <v>1348.1</v>
      </c>
      <c r="N21" s="711">
        <f>'Rebate Checks (expired)'!N10</f>
        <v>290.10000000000002</v>
      </c>
      <c r="O21" s="711">
        <f>'Rebate Checks (expired)'!O10</f>
        <v>38.9</v>
      </c>
      <c r="P21" s="711">
        <f>'Rebate Checks (expired)'!P10</f>
        <v>14.2</v>
      </c>
      <c r="Q21" s="711">
        <f>'Rebate Checks (expired)'!Q10</f>
        <v>0</v>
      </c>
      <c r="R21" s="711">
        <f>'Rebate Checks (expired)'!R10</f>
        <v>0</v>
      </c>
      <c r="S21" s="711">
        <f>'Rebate Checks (expired)'!S10</f>
        <v>0</v>
      </c>
      <c r="T21" s="711">
        <f>'Rebate Checks (expired)'!T10</f>
        <v>0</v>
      </c>
      <c r="U21" s="711">
        <f>'Rebate Checks (expired)'!U10</f>
        <v>0</v>
      </c>
      <c r="V21" s="711">
        <f>'Rebate Checks (expired)'!V10</f>
        <v>0</v>
      </c>
      <c r="W21" s="711">
        <f>'Rebate Checks (expired)'!W10</f>
        <v>0</v>
      </c>
      <c r="X21" s="711"/>
      <c r="Y21" s="711"/>
      <c r="Z21" s="711"/>
      <c r="AA21" s="711"/>
      <c r="AB21" s="711"/>
      <c r="AC21" s="711"/>
      <c r="AD21" s="711"/>
      <c r="AE21" s="841"/>
      <c r="AF21" s="711"/>
      <c r="AG21" s="711"/>
      <c r="AH21" s="711"/>
      <c r="AI21" s="711"/>
      <c r="AJ21" s="711"/>
      <c r="AK21" s="711"/>
      <c r="AL21" s="711"/>
      <c r="AM21" s="711"/>
      <c r="AN21" s="711"/>
    </row>
    <row r="22" spans="2:102" ht="18" customHeight="1" x14ac:dyDescent="0.35">
      <c r="B22" s="819" t="s">
        <v>1789</v>
      </c>
      <c r="C22" s="268"/>
      <c r="D22" s="711">
        <f>'Rebate Checks (expired)'!D11</f>
        <v>0</v>
      </c>
      <c r="E22" s="711">
        <f>'Rebate Checks (expired)'!E11</f>
        <v>0</v>
      </c>
      <c r="F22" s="711">
        <f>'Rebate Checks (expired)'!F11</f>
        <v>0</v>
      </c>
      <c r="G22" s="711">
        <f>'Rebate Checks (expired)'!G11</f>
        <v>0</v>
      </c>
      <c r="H22" s="711">
        <f>'Rebate Checks (expired)'!H11</f>
        <v>0</v>
      </c>
      <c r="I22" s="711">
        <f>'Rebate Checks (expired)'!I11</f>
        <v>0</v>
      </c>
      <c r="J22" s="711">
        <f>'Rebate Checks (expired)'!J11</f>
        <v>1078.0999999999999</v>
      </c>
      <c r="K22" s="711">
        <f>'Rebate Checks (expired)'!K11</f>
        <v>15.6</v>
      </c>
      <c r="L22" s="711">
        <f>'Rebate Checks (expired)'!L11</f>
        <v>5</v>
      </c>
      <c r="M22" s="711">
        <f>'Rebate Checks (expired)'!M11</f>
        <v>585.6</v>
      </c>
      <c r="N22" s="711">
        <f>'Rebate Checks (expired)'!N11</f>
        <v>0</v>
      </c>
      <c r="O22" s="711">
        <f>'Rebate Checks (expired)'!O11</f>
        <v>0</v>
      </c>
      <c r="P22" s="711">
        <f>'Rebate Checks (expired)'!P11</f>
        <v>0</v>
      </c>
      <c r="Q22" s="711">
        <f>'Rebate Checks (expired)'!Q11</f>
        <v>0</v>
      </c>
      <c r="R22" s="711">
        <f>'Rebate Checks (expired)'!R11</f>
        <v>0</v>
      </c>
      <c r="S22" s="711">
        <f>'Rebate Checks (expired)'!S11</f>
        <v>0</v>
      </c>
      <c r="T22" s="711">
        <f>'Rebate Checks (expired)'!T11</f>
        <v>0</v>
      </c>
      <c r="U22" s="711">
        <f>'Rebate Checks (expired)'!U11</f>
        <v>0</v>
      </c>
      <c r="V22" s="711">
        <f>'Rebate Checks (expired)'!V11</f>
        <v>0</v>
      </c>
      <c r="W22" s="711">
        <f>'Rebate Checks (expired)'!W11</f>
        <v>0</v>
      </c>
      <c r="X22" s="711"/>
      <c r="Y22" s="711"/>
      <c r="Z22" s="711"/>
      <c r="AA22" s="711"/>
      <c r="AB22" s="711"/>
      <c r="AC22" s="711"/>
      <c r="AD22" s="711"/>
      <c r="AE22" s="841"/>
      <c r="AF22" s="711"/>
      <c r="AG22" s="711"/>
      <c r="AH22" s="711"/>
      <c r="AI22" s="711"/>
      <c r="AJ22" s="711"/>
      <c r="AK22" s="711"/>
      <c r="AL22" s="711"/>
      <c r="AM22" s="711"/>
      <c r="AN22" s="711"/>
    </row>
    <row r="23" spans="2:102" ht="18" customHeight="1" x14ac:dyDescent="0.35">
      <c r="B23" s="820" t="s">
        <v>40</v>
      </c>
      <c r="C23" s="268"/>
      <c r="D23" s="803">
        <f>'Provider Relief (expired)'!D11</f>
        <v>0</v>
      </c>
      <c r="E23" s="803">
        <f>'Provider Relief (expired)'!E11</f>
        <v>0</v>
      </c>
      <c r="F23" s="803">
        <f>'Provider Relief (expired)'!F11</f>
        <v>0</v>
      </c>
      <c r="G23" s="803">
        <f>'Provider Relief (expired)'!G11</f>
        <v>0</v>
      </c>
      <c r="H23" s="803">
        <f>'Provider Relief (expired)'!H11</f>
        <v>0</v>
      </c>
      <c r="I23" s="803">
        <f>'Provider Relief (expired)'!I11</f>
        <v>0</v>
      </c>
      <c r="J23" s="803">
        <f>'Provider Relief (expired)'!J11</f>
        <v>160.9</v>
      </c>
      <c r="K23" s="803">
        <f>'Provider Relief (expired)'!K11</f>
        <v>58.4</v>
      </c>
      <c r="L23" s="803">
        <f>'Provider Relief (expired)'!L11</f>
        <v>34.5</v>
      </c>
      <c r="M23" s="803">
        <f>'Provider Relief (expired)'!M11</f>
        <v>21.4</v>
      </c>
      <c r="N23" s="803">
        <f>'Provider Relief (expired)'!N11</f>
        <v>13.3</v>
      </c>
      <c r="O23" s="803">
        <f>'Provider Relief (expired)'!O11</f>
        <v>18.7</v>
      </c>
      <c r="P23" s="803">
        <f>'Provider Relief (expired)'!P11</f>
        <v>32.200000000000003</v>
      </c>
      <c r="Q23" s="803">
        <f>'Provider Relief (expired)'!Q11</f>
        <v>26.9</v>
      </c>
      <c r="R23" s="803">
        <f>'Provider Relief (expired)'!R11</f>
        <v>20</v>
      </c>
      <c r="S23" s="803">
        <f>'Provider Relief (expired)'!S11</f>
        <v>8.1</v>
      </c>
      <c r="T23" s="803">
        <f>'Provider Relief (expired)'!T11</f>
        <v>4.9000000000000004</v>
      </c>
      <c r="U23" s="803">
        <f>'Provider Relief (expired)'!U11</f>
        <v>0</v>
      </c>
      <c r="V23" s="803">
        <f>'Provider Relief (expired)'!V11</f>
        <v>0</v>
      </c>
      <c r="W23" s="803">
        <f>'Provider Relief (expired)'!W11</f>
        <v>0</v>
      </c>
      <c r="X23" s="803">
        <f>'Provider Relief (expired)'!X11</f>
        <v>0</v>
      </c>
      <c r="Y23" s="803">
        <f>'Provider Relief (expired)'!Y11</f>
        <v>0</v>
      </c>
      <c r="Z23" s="803">
        <f>'Provider Relief (expired)'!Z11</f>
        <v>0</v>
      </c>
      <c r="AA23" s="803">
        <f>'Provider Relief (expired)'!AA11</f>
        <v>0</v>
      </c>
      <c r="AB23" s="803">
        <f>'Provider Relief (expired)'!AB11</f>
        <v>0</v>
      </c>
      <c r="AC23" s="803">
        <f>'Provider Relief (expired)'!AC11</f>
        <v>0</v>
      </c>
      <c r="AD23" s="803">
        <f>'Provider Relief (expired)'!AD11</f>
        <v>0</v>
      </c>
      <c r="AE23" s="786">
        <f>'Provider Relief (expired)'!AE11</f>
        <v>0</v>
      </c>
      <c r="AF23" s="803">
        <f>'Provider Relief (expired)'!AF11</f>
        <v>0</v>
      </c>
      <c r="AG23" s="803">
        <f>'Provider Relief (expired)'!AG11</f>
        <v>0</v>
      </c>
      <c r="AH23" s="803">
        <f>'Provider Relief (expired)'!AH11</f>
        <v>0</v>
      </c>
      <c r="AI23" s="803">
        <f>'Provider Relief (expired)'!AI11</f>
        <v>0</v>
      </c>
      <c r="AJ23" s="803">
        <f>'Provider Relief (expired)'!AJ11</f>
        <v>0</v>
      </c>
      <c r="AK23" s="803">
        <f>'Provider Relief (expired)'!AK11</f>
        <v>0</v>
      </c>
      <c r="AL23" s="803">
        <f>'Provider Relief (expired)'!AL11</f>
        <v>0</v>
      </c>
      <c r="AM23" s="803">
        <f>'Provider Relief (expired)'!AM11</f>
        <v>0</v>
      </c>
      <c r="AN23" s="803">
        <f>'Provider Relief (expired)'!AN11</f>
        <v>0</v>
      </c>
    </row>
    <row r="24" spans="2:102" ht="20.149999999999999" customHeight="1" x14ac:dyDescent="0.35">
      <c r="B24" s="389" t="s">
        <v>435</v>
      </c>
      <c r="C24" s="385"/>
      <c r="D24" s="805"/>
      <c r="E24" s="800"/>
      <c r="F24" s="800"/>
      <c r="G24" s="800"/>
      <c r="H24" s="682"/>
      <c r="I24" s="682"/>
      <c r="J24" s="682"/>
      <c r="K24" s="682"/>
      <c r="L24" s="682"/>
      <c r="M24" s="682">
        <f>'ARP Quarterly'!C5</f>
        <v>0</v>
      </c>
      <c r="N24" s="682">
        <f>'ARP Quarterly'!D5</f>
        <v>33.921840000000024</v>
      </c>
      <c r="O24" s="682">
        <f>'ARP Quarterly'!E5</f>
        <v>44.966160000000031</v>
      </c>
      <c r="P24" s="682">
        <f>'ARP Quarterly'!F5</f>
        <v>52.756999999999998</v>
      </c>
      <c r="Q24" s="682">
        <f>'ARP Quarterly'!G5</f>
        <v>52.756999999999998</v>
      </c>
      <c r="R24" s="682">
        <f>'ARP Quarterly'!H5</f>
        <v>52.756999999999998</v>
      </c>
      <c r="S24" s="682">
        <f>'ARP Quarterly'!I5</f>
        <v>52.756999999999998</v>
      </c>
      <c r="T24" s="682">
        <f>'ARP Quarterly'!J5</f>
        <v>12</v>
      </c>
      <c r="U24" s="682">
        <f>'ARP Quarterly'!K5</f>
        <v>12</v>
      </c>
      <c r="V24" s="682">
        <f>'ARP Quarterly'!L5</f>
        <v>12</v>
      </c>
      <c r="W24" s="682">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787">
        <f>'ARP Quarterly'!U5</f>
        <v>2.3719999999999999</v>
      </c>
      <c r="AF24" s="682">
        <f>'ARP Quarterly'!V5</f>
        <v>0.49</v>
      </c>
      <c r="AG24" s="353">
        <v>0</v>
      </c>
      <c r="AH24" s="353">
        <v>0</v>
      </c>
      <c r="AI24" s="353">
        <v>0</v>
      </c>
      <c r="AJ24" s="353">
        <v>0</v>
      </c>
      <c r="AK24" s="353">
        <v>0</v>
      </c>
      <c r="AL24" s="353">
        <v>0</v>
      </c>
      <c r="AM24" s="353">
        <v>0</v>
      </c>
      <c r="AN24" s="353">
        <v>0</v>
      </c>
    </row>
    <row r="25" spans="2:102" ht="22.4" customHeight="1" x14ac:dyDescent="0.35">
      <c r="B25" s="374" t="s">
        <v>206</v>
      </c>
      <c r="C25" s="823"/>
      <c r="D25" s="803"/>
      <c r="E25" s="804"/>
      <c r="F25" s="804"/>
      <c r="G25" s="804"/>
      <c r="H25" s="804"/>
      <c r="I25" s="804"/>
      <c r="J25" s="804"/>
      <c r="K25" s="804"/>
      <c r="L25" s="804"/>
      <c r="M25" s="711">
        <f>'ARP Quarterly'!C4</f>
        <v>0</v>
      </c>
      <c r="N25" s="711">
        <f>'ARP Quarterly'!D4</f>
        <v>0</v>
      </c>
      <c r="O25" s="711">
        <f>'ARP Quarterly'!E4</f>
        <v>3.1040000000000418</v>
      </c>
      <c r="P25" s="711">
        <f>'ARP Quarterly'!F4</f>
        <v>19.719000000000005</v>
      </c>
      <c r="Q25" s="711">
        <f>'ARP Quarterly'!G4</f>
        <v>19.719000000000005</v>
      </c>
      <c r="R25" s="711">
        <f>'ARP Quarterly'!H4</f>
        <v>19.719000000000005</v>
      </c>
      <c r="S25" s="711">
        <f>'ARP Quarterly'!I4</f>
        <v>19.719000000000005</v>
      </c>
      <c r="T25" s="711">
        <f>'ARP Quarterly'!J4</f>
        <v>1.4159999999999999</v>
      </c>
      <c r="U25" s="711">
        <f>'ARP Quarterly'!K4</f>
        <v>1.4159999999999999</v>
      </c>
      <c r="V25" s="711">
        <f>'ARP Quarterly'!L4</f>
        <v>1.4159999999999999</v>
      </c>
      <c r="W25" s="711">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841">
        <f>'ARP Quarterly'!U4</f>
        <v>1.63</v>
      </c>
      <c r="AF25" s="711">
        <f>'ARP Quarterly'!V4</f>
        <v>1.671</v>
      </c>
      <c r="AG25" s="801">
        <v>0</v>
      </c>
      <c r="AH25" s="801">
        <v>0</v>
      </c>
      <c r="AI25" s="801">
        <v>0</v>
      </c>
      <c r="AJ25" s="801">
        <v>0</v>
      </c>
      <c r="AK25" s="801">
        <v>0</v>
      </c>
      <c r="AL25" s="801">
        <v>0</v>
      </c>
      <c r="AM25" s="801">
        <v>0</v>
      </c>
      <c r="AN25" s="801">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430">
        <f>D48</f>
        <v>0</v>
      </c>
      <c r="E26" s="247">
        <f t="shared" ref="E26:AE26" si="5">E48</f>
        <v>0</v>
      </c>
      <c r="F26" s="247">
        <f t="shared" si="5"/>
        <v>0</v>
      </c>
      <c r="G26" s="247">
        <f t="shared" si="5"/>
        <v>0</v>
      </c>
      <c r="H26" s="247">
        <f t="shared" si="5"/>
        <v>0</v>
      </c>
      <c r="I26" s="711">
        <f t="shared" si="5"/>
        <v>6.9950000000000045</v>
      </c>
      <c r="J26" s="711">
        <f t="shared" si="5"/>
        <v>51.122999999999998</v>
      </c>
      <c r="K26" s="711">
        <f t="shared" si="5"/>
        <v>51.055</v>
      </c>
      <c r="L26" s="711">
        <f t="shared" si="5"/>
        <v>51.762999999999998</v>
      </c>
      <c r="M26" s="711">
        <f t="shared" si="5"/>
        <v>91.453000000000003</v>
      </c>
      <c r="N26" s="711">
        <f t="shared" si="5"/>
        <v>101.11800000000002</v>
      </c>
      <c r="O26" s="711">
        <f t="shared" si="5"/>
        <v>93.417000000000002</v>
      </c>
      <c r="P26" s="711">
        <f t="shared" si="5"/>
        <v>99.84</v>
      </c>
      <c r="Q26" s="711">
        <f t="shared" si="5"/>
        <v>77.435000000000002</v>
      </c>
      <c r="R26" s="711">
        <f t="shared" si="5"/>
        <v>74.290999999999997</v>
      </c>
      <c r="S26" s="711">
        <f t="shared" si="5"/>
        <v>69.937000000000012</v>
      </c>
      <c r="T26" s="711">
        <f t="shared" si="5"/>
        <v>91.18</v>
      </c>
      <c r="U26" s="711">
        <f t="shared" si="5"/>
        <v>84.404000000000025</v>
      </c>
      <c r="V26" s="711">
        <f>V48</f>
        <v>52.51</v>
      </c>
      <c r="W26" s="711">
        <f>W48</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841">
        <f t="shared" si="5"/>
        <v>37.719000000000001</v>
      </c>
      <c r="AF26" s="711">
        <f>AF48</f>
        <v>37.758000000000003</v>
      </c>
      <c r="AG26" s="711">
        <f>AG48</f>
        <v>37.758000000000003</v>
      </c>
      <c r="AH26" s="711">
        <f>AH48</f>
        <v>37.758000000000003</v>
      </c>
      <c r="AI26" s="711">
        <f>AI48</f>
        <v>37.758000000000003</v>
      </c>
      <c r="AJ26" s="711">
        <f>AJ48</f>
        <v>29.603000000000002</v>
      </c>
      <c r="AK26" s="711">
        <f t="shared" ref="AK26:AN26" si="6">AK48</f>
        <v>29.603000000000002</v>
      </c>
      <c r="AL26" s="711">
        <f t="shared" si="6"/>
        <v>29.603000000000002</v>
      </c>
      <c r="AM26" s="711">
        <f t="shared" si="6"/>
        <v>29.603000000000002</v>
      </c>
      <c r="AN26" s="711">
        <f t="shared" si="6"/>
        <v>7.958000000000002</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803">
        <v>30</v>
      </c>
      <c r="E27" s="804">
        <v>30</v>
      </c>
      <c r="F27" s="804">
        <v>30</v>
      </c>
      <c r="G27" s="804">
        <v>30</v>
      </c>
      <c r="H27" s="804">
        <v>30</v>
      </c>
      <c r="I27" s="804">
        <v>30</v>
      </c>
      <c r="J27" s="804">
        <v>30</v>
      </c>
      <c r="K27" s="357">
        <v>30.2</v>
      </c>
      <c r="L27" s="357">
        <v>30.2</v>
      </c>
      <c r="M27" s="576">
        <f>'Haver Pivoted'!K89</f>
        <v>0</v>
      </c>
      <c r="N27" s="576">
        <f>'Haver Pivoted'!L89</f>
        <v>0</v>
      </c>
      <c r="O27" s="576">
        <f>'Haver Pivoted'!M89</f>
        <v>0</v>
      </c>
      <c r="P27" s="576">
        <f>'Haver Pivoted'!N89</f>
        <v>0</v>
      </c>
      <c r="Q27" s="576">
        <f>'Haver Pivoted'!O89</f>
        <v>0</v>
      </c>
      <c r="R27" s="576">
        <f>'Haver Pivoted'!P89</f>
        <v>0</v>
      </c>
      <c r="S27" s="576">
        <f>'Haver Pivoted'!Q89</f>
        <v>0</v>
      </c>
      <c r="T27" s="576">
        <f>'Haver Pivoted'!R89</f>
        <v>0</v>
      </c>
      <c r="U27" s="711">
        <v>34</v>
      </c>
      <c r="V27" s="711">
        <v>34</v>
      </c>
      <c r="W27" s="711">
        <v>34</v>
      </c>
      <c r="X27" s="711">
        <v>34</v>
      </c>
      <c r="Y27" s="711">
        <v>34</v>
      </c>
      <c r="Z27" s="711">
        <v>34</v>
      </c>
      <c r="AA27" s="711">
        <v>34</v>
      </c>
      <c r="AB27" s="711">
        <v>34</v>
      </c>
      <c r="AC27" s="711">
        <v>34</v>
      </c>
      <c r="AD27" s="711">
        <v>34</v>
      </c>
      <c r="AE27" s="84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430"/>
      <c r="E28" s="247"/>
      <c r="F28" s="247"/>
      <c r="G28" s="247"/>
      <c r="H28" s="711"/>
      <c r="I28" s="711"/>
      <c r="J28" s="711">
        <f>'PPP (expired)'!J53</f>
        <v>57.2</v>
      </c>
      <c r="K28" s="711">
        <f>'PPP (expired)'!K53</f>
        <v>81.2</v>
      </c>
      <c r="L28" s="711">
        <f>'PPP (expired)'!L53</f>
        <v>24.4</v>
      </c>
      <c r="M28" s="711">
        <f>'PPP (expired)'!M53</f>
        <v>11.7</v>
      </c>
      <c r="N28" s="711">
        <f>'PPP (expired)'!N53</f>
        <v>28.5</v>
      </c>
      <c r="O28" s="711">
        <f>'PPP (expired)'!O53</f>
        <v>18.8</v>
      </c>
      <c r="P28" s="711">
        <f>'PPP (expired)'!P53</f>
        <v>1.6</v>
      </c>
      <c r="Q28" s="711">
        <f>'PPP (expired)'!Q53</f>
        <v>0</v>
      </c>
      <c r="R28" s="711">
        <f>'PPP (expired)'!R53</f>
        <v>0</v>
      </c>
      <c r="S28" s="711">
        <f>'PPP (expired)'!S53</f>
        <v>0</v>
      </c>
      <c r="T28" s="711">
        <f>'PPP (expired)'!T53</f>
        <v>0</v>
      </c>
      <c r="U28" s="711">
        <f>'PPP (expired)'!U53</f>
        <v>0</v>
      </c>
      <c r="V28" s="711">
        <f>'PPP (expired)'!V53</f>
        <v>0</v>
      </c>
      <c r="W28" s="711">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84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 customHeight="1" x14ac:dyDescent="0.35">
      <c r="B29" s="389" t="s">
        <v>759</v>
      </c>
      <c r="C29" s="385"/>
      <c r="D29" s="805">
        <f t="shared" ref="D29:AN29" si="7">D25+D23</f>
        <v>0</v>
      </c>
      <c r="E29" s="800">
        <f t="shared" si="7"/>
        <v>0</v>
      </c>
      <c r="F29" s="800">
        <f t="shared" si="7"/>
        <v>0</v>
      </c>
      <c r="G29" s="800">
        <f t="shared" si="7"/>
        <v>0</v>
      </c>
      <c r="H29" s="800">
        <f t="shared" si="7"/>
        <v>0</v>
      </c>
      <c r="I29" s="800">
        <f t="shared" si="7"/>
        <v>0</v>
      </c>
      <c r="J29" s="800">
        <f t="shared" si="7"/>
        <v>160.9</v>
      </c>
      <c r="K29" s="800">
        <f t="shared" si="7"/>
        <v>58.4</v>
      </c>
      <c r="L29" s="800">
        <f t="shared" si="7"/>
        <v>34.5</v>
      </c>
      <c r="M29" s="800">
        <f t="shared" si="7"/>
        <v>21.4</v>
      </c>
      <c r="N29" s="800">
        <f t="shared" si="7"/>
        <v>13.3</v>
      </c>
      <c r="O29" s="800">
        <f t="shared" si="7"/>
        <v>21.804000000000041</v>
      </c>
      <c r="P29" s="682">
        <f t="shared" si="7"/>
        <v>51.919000000000011</v>
      </c>
      <c r="Q29" s="800">
        <f t="shared" si="7"/>
        <v>46.619</v>
      </c>
      <c r="R29" s="800">
        <f t="shared" si="7"/>
        <v>39.719000000000008</v>
      </c>
      <c r="S29" s="800">
        <f t="shared" si="7"/>
        <v>27.819000000000003</v>
      </c>
      <c r="T29" s="682">
        <f t="shared" si="7"/>
        <v>6.3160000000000007</v>
      </c>
      <c r="U29" s="682">
        <f t="shared" si="7"/>
        <v>1.4159999999999999</v>
      </c>
      <c r="V29" s="682">
        <f t="shared" si="7"/>
        <v>1.4159999999999999</v>
      </c>
      <c r="W29" s="682">
        <f t="shared" si="7"/>
        <v>1.4159999999999999</v>
      </c>
      <c r="X29" s="682">
        <f t="shared" si="7"/>
        <v>1.4790000000000001</v>
      </c>
      <c r="Y29" s="682">
        <f t="shared" si="7"/>
        <v>1.4790000000000001</v>
      </c>
      <c r="Z29" s="682">
        <f t="shared" si="7"/>
        <v>1.4790000000000001</v>
      </c>
      <c r="AA29" s="682">
        <f t="shared" si="7"/>
        <v>1.4790000000000001</v>
      </c>
      <c r="AB29" s="682">
        <f t="shared" si="7"/>
        <v>1.63</v>
      </c>
      <c r="AC29" s="682">
        <f t="shared" si="7"/>
        <v>1.63</v>
      </c>
      <c r="AD29" s="682">
        <f t="shared" si="7"/>
        <v>1.63</v>
      </c>
      <c r="AE29" s="787">
        <f t="shared" si="7"/>
        <v>1.63</v>
      </c>
      <c r="AF29" s="682">
        <f t="shared" si="7"/>
        <v>1.671</v>
      </c>
      <c r="AG29" s="682">
        <f t="shared" si="7"/>
        <v>0</v>
      </c>
      <c r="AH29" s="682">
        <f t="shared" si="7"/>
        <v>0</v>
      </c>
      <c r="AI29" s="682">
        <f t="shared" si="7"/>
        <v>0</v>
      </c>
      <c r="AJ29" s="682">
        <f t="shared" si="7"/>
        <v>0</v>
      </c>
      <c r="AK29" s="682">
        <f t="shared" si="7"/>
        <v>0</v>
      </c>
      <c r="AL29" s="682">
        <f t="shared" si="7"/>
        <v>0</v>
      </c>
      <c r="AM29" s="682">
        <f t="shared" si="7"/>
        <v>0</v>
      </c>
      <c r="AN29" s="682">
        <f t="shared" si="7"/>
        <v>0</v>
      </c>
    </row>
    <row r="30" spans="2:102" ht="44.9" customHeight="1" x14ac:dyDescent="0.35">
      <c r="B30" s="374" t="s">
        <v>1136</v>
      </c>
      <c r="D30" s="802"/>
      <c r="E30" s="711"/>
      <c r="F30" s="711"/>
      <c r="G30" s="711"/>
      <c r="H30" s="711"/>
      <c r="I30" s="711"/>
      <c r="J30" s="711"/>
      <c r="K30" s="711"/>
      <c r="L30" s="711"/>
      <c r="M30" s="711"/>
      <c r="N30" s="711"/>
      <c r="O30" s="711"/>
      <c r="P30" s="711"/>
      <c r="Q30" s="711"/>
      <c r="R30" s="711"/>
      <c r="S30" s="711">
        <f>'IRA and CHIPS'!E191</f>
        <v>-0.622</v>
      </c>
      <c r="T30" s="711">
        <f>'IRA and CHIPS'!F191</f>
        <v>21.89</v>
      </c>
      <c r="U30" s="711">
        <f>'IRA and CHIPS'!G191</f>
        <v>21.89</v>
      </c>
      <c r="V30" s="711">
        <f>'IRA and CHIPS'!H191</f>
        <v>21.89</v>
      </c>
      <c r="W30" s="711">
        <f>'IRA and CHIPS'!I191</f>
        <v>21.89</v>
      </c>
      <c r="X30" s="711">
        <f>'IRA and CHIPS'!J191</f>
        <v>15.439</v>
      </c>
      <c r="Y30" s="711">
        <f>'IRA and CHIPS'!K191</f>
        <v>15.439</v>
      </c>
      <c r="Z30" s="711">
        <f>'IRA and CHIPS'!L191</f>
        <v>15.439</v>
      </c>
      <c r="AA30" s="711">
        <f>'IRA and CHIPS'!M191</f>
        <v>15.439</v>
      </c>
      <c r="AB30" s="711">
        <f>'IRA and CHIPS'!N191</f>
        <v>16.966999999999999</v>
      </c>
      <c r="AC30" s="711">
        <f>'IRA and CHIPS'!O191</f>
        <v>16.966999999999999</v>
      </c>
      <c r="AD30" s="711">
        <f>'IRA and CHIPS'!P191</f>
        <v>16.966999999999999</v>
      </c>
      <c r="AE30" s="841">
        <v>0</v>
      </c>
      <c r="AF30" s="711">
        <f>'IRA and CHIPS'!R191</f>
        <v>0.72799999999999998</v>
      </c>
      <c r="AG30" s="711">
        <f>'IRA and CHIPS'!S191</f>
        <v>0.72799999999999998</v>
      </c>
      <c r="AH30" s="711">
        <f>0</f>
        <v>0</v>
      </c>
      <c r="AI30" s="711">
        <f>0</f>
        <v>0</v>
      </c>
      <c r="AJ30" s="711">
        <f>0</f>
        <v>0</v>
      </c>
      <c r="AK30" s="711">
        <f>0</f>
        <v>0</v>
      </c>
      <c r="AL30" s="711">
        <f>0</f>
        <v>0</v>
      </c>
      <c r="AM30" s="711">
        <f>0</f>
        <v>0</v>
      </c>
      <c r="AN30" s="711">
        <f>0</f>
        <v>0</v>
      </c>
    </row>
    <row r="31" spans="2:102" ht="44.9" customHeight="1" x14ac:dyDescent="0.35">
      <c r="B31" s="374" t="s">
        <v>766</v>
      </c>
      <c r="C31" s="268"/>
      <c r="D31" s="711">
        <f t="shared" ref="D31:AN31" si="8">D64</f>
        <v>427.03899999999999</v>
      </c>
      <c r="E31" s="711">
        <f t="shared" si="8"/>
        <v>451.51000000000022</v>
      </c>
      <c r="F31" s="711">
        <f t="shared" si="8"/>
        <v>449.19599999999991</v>
      </c>
      <c r="G31" s="711">
        <f t="shared" si="8"/>
        <v>448.2829999999999</v>
      </c>
      <c r="H31" s="711">
        <f t="shared" si="8"/>
        <v>448.1389999999999</v>
      </c>
      <c r="I31" s="711">
        <f t="shared" si="8"/>
        <v>467.26499999999987</v>
      </c>
      <c r="J31" s="711">
        <f t="shared" si="8"/>
        <v>436.0639999999994</v>
      </c>
      <c r="K31" s="711">
        <f t="shared" si="8"/>
        <v>561.10999999999967</v>
      </c>
      <c r="L31" s="711">
        <f t="shared" si="8"/>
        <v>492.71299999999974</v>
      </c>
      <c r="M31" s="711">
        <f t="shared" si="8"/>
        <v>536.62899999999991</v>
      </c>
      <c r="N31" s="711">
        <f t="shared" si="8"/>
        <v>510.29715999999962</v>
      </c>
      <c r="O31" s="711">
        <f t="shared" si="8"/>
        <v>690.33483999999999</v>
      </c>
      <c r="P31" s="711">
        <f t="shared" si="8"/>
        <v>672.24300000000039</v>
      </c>
      <c r="Q31" s="711">
        <f t="shared" si="8"/>
        <v>654.30700000000024</v>
      </c>
      <c r="R31" s="711">
        <f t="shared" si="8"/>
        <v>654.93100000000049</v>
      </c>
      <c r="S31" s="711">
        <f t="shared" si="8"/>
        <v>644.5619999999999</v>
      </c>
      <c r="T31" s="711">
        <f t="shared" si="8"/>
        <v>682.23099999999977</v>
      </c>
      <c r="U31" s="711">
        <f t="shared" si="8"/>
        <v>537.61599999999999</v>
      </c>
      <c r="V31" s="711">
        <f t="shared" si="8"/>
        <v>545.40385714285685</v>
      </c>
      <c r="W31" s="711">
        <f t="shared" si="8"/>
        <v>550.17385714285729</v>
      </c>
      <c r="X31" s="711">
        <f t="shared" si="8"/>
        <v>562.69100000000026</v>
      </c>
      <c r="Y31" s="711">
        <f t="shared" si="8"/>
        <v>617.04199999999992</v>
      </c>
      <c r="Z31" s="711">
        <f t="shared" si="8"/>
        <v>628.17299999999977</v>
      </c>
      <c r="AA31" s="711">
        <f t="shared" si="8"/>
        <v>630.58599999999979</v>
      </c>
      <c r="AB31" s="711">
        <f t="shared" si="8"/>
        <v>648.63299999999981</v>
      </c>
      <c r="AC31" s="711">
        <f t="shared" si="8"/>
        <v>690.39600000000019</v>
      </c>
      <c r="AD31" s="711">
        <f t="shared" si="8"/>
        <v>709.721</v>
      </c>
      <c r="AE31" s="841">
        <f t="shared" si="8"/>
        <v>724.73999999999978</v>
      </c>
      <c r="AF31" s="711">
        <f t="shared" si="8"/>
        <v>733.6341791801018</v>
      </c>
      <c r="AG31" s="711">
        <f t="shared" si="8"/>
        <v>742.63750981215583</v>
      </c>
      <c r="AH31" s="711">
        <f t="shared" si="8"/>
        <v>751.75133142836864</v>
      </c>
      <c r="AI31" s="711">
        <f t="shared" si="8"/>
        <v>760.97700000000009</v>
      </c>
      <c r="AJ31" s="711">
        <f t="shared" si="8"/>
        <v>770.31588813910719</v>
      </c>
      <c r="AK31" s="711">
        <f t="shared" si="8"/>
        <v>779.76938530276402</v>
      </c>
      <c r="AL31" s="711">
        <f t="shared" si="8"/>
        <v>789.33889799978749</v>
      </c>
      <c r="AM31" s="711">
        <f t="shared" si="8"/>
        <v>799.02585000000045</v>
      </c>
      <c r="AN31" s="711">
        <f t="shared" si="8"/>
        <v>808.83168254606289</v>
      </c>
    </row>
    <row r="32" spans="2:102" ht="44.9" customHeight="1" x14ac:dyDescent="0.35">
      <c r="B32" s="374"/>
      <c r="C32" s="268"/>
      <c r="D32" s="711"/>
      <c r="E32" s="711"/>
      <c r="F32" s="711"/>
      <c r="G32" s="711"/>
      <c r="H32" s="711"/>
      <c r="I32" s="711"/>
      <c r="J32" s="711"/>
      <c r="K32" s="711"/>
      <c r="L32" s="711"/>
      <c r="M32" s="711"/>
      <c r="N32" s="711"/>
      <c r="O32" s="711"/>
      <c r="P32" s="711"/>
      <c r="Q32" s="711"/>
      <c r="R32" s="711"/>
      <c r="S32" s="711"/>
      <c r="T32" s="711"/>
      <c r="U32" s="711"/>
      <c r="V32" s="711"/>
      <c r="W32" s="711"/>
      <c r="X32" s="711"/>
      <c r="Y32" s="711"/>
      <c r="Z32" s="711"/>
      <c r="AA32" s="711"/>
      <c r="AB32" s="711"/>
      <c r="AC32" s="711"/>
      <c r="AD32" s="711"/>
      <c r="AE32" s="841"/>
      <c r="AF32" s="711"/>
      <c r="AG32" s="711"/>
      <c r="AH32" s="711"/>
      <c r="AI32" s="711"/>
      <c r="AJ32" s="711"/>
      <c r="AK32" s="711"/>
      <c r="AL32" s="711"/>
      <c r="AM32" s="711"/>
      <c r="AN32" s="711"/>
    </row>
    <row r="33" spans="1:40" ht="44.9" customHeight="1" x14ac:dyDescent="0.35">
      <c r="A33" t="s">
        <v>2391</v>
      </c>
      <c r="B33" s="1333" t="s">
        <v>763</v>
      </c>
      <c r="C33" s="385"/>
      <c r="D33" s="682">
        <f t="shared" ref="D33:AN33" si="9">D12-D15-D18-D20-D24-D25</f>
        <v>1440.9</v>
      </c>
      <c r="E33" s="682">
        <f t="shared" si="9"/>
        <v>1500.7000000000003</v>
      </c>
      <c r="F33" s="682">
        <f t="shared" si="9"/>
        <v>1505.8999999999996</v>
      </c>
      <c r="G33" s="682">
        <f t="shared" si="9"/>
        <v>1512.6999999999998</v>
      </c>
      <c r="H33" s="682">
        <f t="shared" si="9"/>
        <v>1520.8000000000002</v>
      </c>
      <c r="I33" s="682">
        <f t="shared" si="9"/>
        <v>1572.7000000000003</v>
      </c>
      <c r="J33" s="682">
        <f t="shared" si="9"/>
        <v>1810.2999999999997</v>
      </c>
      <c r="K33" s="682">
        <f t="shared" si="9"/>
        <v>1862.1999999999998</v>
      </c>
      <c r="L33" s="682">
        <f t="shared" si="9"/>
        <v>1721.6</v>
      </c>
      <c r="M33" s="682">
        <f t="shared" si="9"/>
        <v>1767.2000000000003</v>
      </c>
      <c r="N33" s="682">
        <f t="shared" si="9"/>
        <v>1762.6781599999999</v>
      </c>
      <c r="O33" s="682">
        <f t="shared" si="9"/>
        <v>1937.92984</v>
      </c>
      <c r="P33" s="682">
        <f t="shared" si="9"/>
        <v>1932.1240000000003</v>
      </c>
      <c r="Q33" s="682">
        <f t="shared" si="9"/>
        <v>1957.8239999999998</v>
      </c>
      <c r="R33" s="682">
        <f t="shared" si="9"/>
        <v>1956.0239999999999</v>
      </c>
      <c r="S33" s="682">
        <f t="shared" si="9"/>
        <v>1936.2240000000002</v>
      </c>
      <c r="T33" s="682">
        <f t="shared" si="9"/>
        <v>2025.9839999999997</v>
      </c>
      <c r="U33" s="682">
        <f t="shared" si="9"/>
        <v>2018.7840000000003</v>
      </c>
      <c r="V33" s="682">
        <f t="shared" si="9"/>
        <v>2006.4268571428574</v>
      </c>
      <c r="W33" s="682">
        <f t="shared" si="9"/>
        <v>2016.4268571428572</v>
      </c>
      <c r="X33" s="682">
        <f t="shared" si="9"/>
        <v>2024.9990000000003</v>
      </c>
      <c r="Y33" s="682">
        <f t="shared" si="9"/>
        <v>2131.8989999999999</v>
      </c>
      <c r="Z33" s="682">
        <f t="shared" si="9"/>
        <v>2160.9989999999998</v>
      </c>
      <c r="AA33" s="682">
        <f t="shared" si="9"/>
        <v>2181.299</v>
      </c>
      <c r="AB33" s="682">
        <f t="shared" si="9"/>
        <v>2212.0979999999995</v>
      </c>
      <c r="AC33" s="682">
        <f t="shared" si="9"/>
        <v>2312.7980000000002</v>
      </c>
      <c r="AD33" s="682">
        <f t="shared" si="9"/>
        <v>2409.6979999999999</v>
      </c>
      <c r="AE33" s="787">
        <f t="shared" si="9"/>
        <v>2371.8980000000001</v>
      </c>
      <c r="AF33" s="682">
        <f t="shared" si="9"/>
        <v>2372.4390000000003</v>
      </c>
      <c r="AG33" s="682">
        <f t="shared" si="9"/>
        <v>2450.520305812156</v>
      </c>
      <c r="AH33" s="682">
        <f t="shared" si="9"/>
        <v>2471.9061274283686</v>
      </c>
      <c r="AI33" s="682">
        <f t="shared" si="9"/>
        <v>2495.1317959999997</v>
      </c>
      <c r="AJ33" s="682">
        <f t="shared" si="9"/>
        <v>2510.3156841391078</v>
      </c>
      <c r="AK33" s="682">
        <f t="shared" si="9"/>
        <v>2572.2803076107643</v>
      </c>
      <c r="AL33" s="682">
        <f t="shared" si="9"/>
        <v>2595.8498203077879</v>
      </c>
      <c r="AM33" s="682">
        <f t="shared" si="9"/>
        <v>2619.5367723080017</v>
      </c>
      <c r="AN33" s="682">
        <f t="shared" si="9"/>
        <v>2621.6976048540637</v>
      </c>
    </row>
    <row r="34" spans="1:40" ht="44.9" customHeight="1" x14ac:dyDescent="0.35">
      <c r="B34" s="695" t="s">
        <v>2012</v>
      </c>
      <c r="C34" s="385"/>
      <c r="D34" s="682"/>
      <c r="E34" s="682"/>
      <c r="F34" s="682"/>
      <c r="G34" s="682"/>
      <c r="H34" s="682"/>
      <c r="I34" s="682"/>
      <c r="J34" s="682"/>
      <c r="K34" s="682"/>
      <c r="L34" s="682"/>
      <c r="M34" s="682"/>
      <c r="N34" s="682"/>
      <c r="O34" s="682"/>
      <c r="P34" s="682"/>
      <c r="Q34" s="682"/>
      <c r="R34" s="682"/>
      <c r="S34" s="682"/>
      <c r="T34" s="682"/>
      <c r="U34" s="682"/>
      <c r="V34" s="682"/>
      <c r="W34" s="682"/>
      <c r="X34" s="682"/>
      <c r="Y34" s="682"/>
      <c r="Z34" s="682"/>
      <c r="AA34" s="567">
        <f t="shared" ref="AA34:AL34" si="10">AA33/Z33-1</f>
        <v>9.3938035140230802E-3</v>
      </c>
      <c r="AB34" s="567">
        <f t="shared" si="10"/>
        <v>1.411956820224991E-2</v>
      </c>
      <c r="AC34" s="567">
        <f t="shared" si="10"/>
        <v>4.5522395481574884E-2</v>
      </c>
      <c r="AD34" s="567">
        <f t="shared" si="10"/>
        <v>4.1897303612334236E-2</v>
      </c>
      <c r="AE34" s="788">
        <f t="shared" si="10"/>
        <v>-1.5686613011256845E-2</v>
      </c>
      <c r="AF34" s="567">
        <f t="shared" si="10"/>
        <v>2.2808737981150351E-4</v>
      </c>
      <c r="AG34" s="567">
        <f t="shared" si="10"/>
        <v>3.291182863380504E-2</v>
      </c>
      <c r="AH34" s="567">
        <f t="shared" si="10"/>
        <v>8.7270534202428252E-3</v>
      </c>
      <c r="AI34" s="567">
        <f t="shared" si="10"/>
        <v>9.3958537963549915E-3</v>
      </c>
      <c r="AJ34" s="567">
        <f t="shared" si="10"/>
        <v>6.0854052533216851E-3</v>
      </c>
      <c r="AK34" s="567">
        <f t="shared" si="10"/>
        <v>2.4683996464335722E-2</v>
      </c>
      <c r="AL34" s="567">
        <f t="shared" si="10"/>
        <v>9.1628865747201971E-3</v>
      </c>
      <c r="AM34" s="567">
        <f>AM33/AL33-1</f>
        <v>9.1249315792101271E-3</v>
      </c>
      <c r="AN34" s="682">
        <f>AN33-AM33</f>
        <v>2.1608325460620108</v>
      </c>
    </row>
    <row r="35" spans="1:40" ht="44.9" customHeight="1" x14ac:dyDescent="0.35">
      <c r="B35" s="1496" t="s">
        <v>436</v>
      </c>
      <c r="C35" s="1497"/>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f t="shared" ref="AD35:AL35" si="11">AD12-AD17</f>
        <v>3621.3</v>
      </c>
      <c r="AE35" s="787">
        <f t="shared" si="11"/>
        <v>3616.3</v>
      </c>
      <c r="AF35" s="682">
        <f t="shared" si="11"/>
        <v>3646.7000000000003</v>
      </c>
      <c r="AG35" s="682">
        <f t="shared" si="11"/>
        <v>3790.9406048086544</v>
      </c>
      <c r="AH35" s="682">
        <f t="shared" si="11"/>
        <v>3848.5238577265277</v>
      </c>
      <c r="AI35" s="682">
        <f t="shared" si="11"/>
        <v>3908.9511989179364</v>
      </c>
      <c r="AJ35" s="682">
        <f t="shared" si="11"/>
        <v>3946.8568438578286</v>
      </c>
      <c r="AK35" s="682">
        <f t="shared" si="11"/>
        <v>4032.9178493122536</v>
      </c>
      <c r="AL35" s="682">
        <f t="shared" si="11"/>
        <v>4080.9645458102909</v>
      </c>
      <c r="AM35" s="682"/>
      <c r="AN35" s="682"/>
    </row>
    <row r="36" spans="1:40" ht="31.4" customHeight="1" x14ac:dyDescent="0.35">
      <c r="B36" s="403" t="s">
        <v>768</v>
      </c>
      <c r="C36" s="268" t="s">
        <v>437</v>
      </c>
      <c r="D36" s="244">
        <f>'Haver Pivoted'!GO37</f>
        <v>733.6</v>
      </c>
      <c r="E36" s="244">
        <f>'Haver Pivoted'!GP37</f>
        <v>744.3</v>
      </c>
      <c r="F36" s="244">
        <f>'Haver Pivoted'!GQ37</f>
        <v>762.3</v>
      </c>
      <c r="G36" s="244">
        <f>'Haver Pivoted'!GR37</f>
        <v>772.2</v>
      </c>
      <c r="H36" s="244">
        <f>'Haver Pivoted'!GS37</f>
        <v>772.1</v>
      </c>
      <c r="I36" s="244">
        <f>'Haver Pivoted'!GT37</f>
        <v>760.7</v>
      </c>
      <c r="J36" s="244">
        <f>'Haver Pivoted'!GU37</f>
        <v>811.2</v>
      </c>
      <c r="K36" s="244">
        <f>'Haver Pivoted'!GV37</f>
        <v>850.3</v>
      </c>
      <c r="L36" s="244">
        <f>'Haver Pivoted'!GW37</f>
        <v>840.8</v>
      </c>
      <c r="M36" s="244">
        <f>'Haver Pivoted'!GX37</f>
        <v>870.7</v>
      </c>
      <c r="N36" s="244">
        <f>'Haver Pivoted'!GY37</f>
        <v>914.7</v>
      </c>
      <c r="O36" s="244">
        <f>'Haver Pivoted'!GZ37</f>
        <v>923.7</v>
      </c>
      <c r="P36" s="244">
        <f>'Haver Pivoted'!HA37</f>
        <v>921.7</v>
      </c>
      <c r="Q36" s="244">
        <f>'Haver Pivoted'!HB37</f>
        <v>969.3</v>
      </c>
      <c r="R36" s="244">
        <f>'Haver Pivoted'!HC37</f>
        <v>1003.7</v>
      </c>
      <c r="S36" s="244">
        <f>'Haver Pivoted'!HD37</f>
        <v>1023</v>
      </c>
      <c r="T36" s="244">
        <f>'Haver Pivoted'!HE37</f>
        <v>1084.0999999999999</v>
      </c>
      <c r="U36" s="244">
        <f>'Haver Pivoted'!HF37</f>
        <v>1068</v>
      </c>
      <c r="V36" s="244">
        <f>'Haver Pivoted'!HG37</f>
        <v>1094.7</v>
      </c>
      <c r="W36" s="244">
        <f>'Haver Pivoted'!HH37</f>
        <v>1053.2</v>
      </c>
      <c r="X36" s="244">
        <f>'Haver Pivoted'!HI37</f>
        <v>1047.2</v>
      </c>
      <c r="Y36" s="244">
        <f>'Haver Pivoted'!HJ37</f>
        <v>1104.2</v>
      </c>
      <c r="Z36" s="244">
        <f>'Haver Pivoted'!HK37</f>
        <v>1133.9000000000001</v>
      </c>
      <c r="AA36" s="244">
        <f>'Haver Pivoted'!HL37</f>
        <v>1156.9000000000001</v>
      </c>
      <c r="AB36" s="244">
        <f>'Haver Pivoted'!HM37</f>
        <v>1165</v>
      </c>
      <c r="AC36" s="244">
        <f>'Haver Pivoted'!HN37</f>
        <v>1158.5</v>
      </c>
      <c r="AD36" s="244">
        <f>'Haver Pivoted'!HO37</f>
        <v>1195</v>
      </c>
      <c r="AE36" s="243">
        <f>'Haver Pivoted'!HP37</f>
        <v>1249.5999999999999</v>
      </c>
      <c r="AF36" s="243">
        <f>'Haver Pivoted'!HQ37</f>
        <v>1283.9000000000001</v>
      </c>
      <c r="AG36" s="405"/>
      <c r="AH36" s="405"/>
      <c r="AI36" s="405"/>
      <c r="AJ36" s="405"/>
      <c r="AK36" s="405"/>
      <c r="AL36" s="405"/>
      <c r="AM36" s="405"/>
      <c r="AN36" s="405"/>
    </row>
    <row r="37" spans="1:40" ht="31.4" customHeight="1" x14ac:dyDescent="0.35">
      <c r="B37" s="679" t="s">
        <v>197</v>
      </c>
      <c r="C37" s="268"/>
      <c r="D37" s="705">
        <f>Medicaid!D30</f>
        <v>589.5</v>
      </c>
      <c r="E37" s="705">
        <f>Medicaid!E30</f>
        <v>598.70000000000005</v>
      </c>
      <c r="F37" s="705">
        <f>Medicaid!F30</f>
        <v>614.4</v>
      </c>
      <c r="G37" s="705">
        <f>Medicaid!G30</f>
        <v>622.4</v>
      </c>
      <c r="H37" s="705">
        <f>Medicaid!H30</f>
        <v>620.6</v>
      </c>
      <c r="I37" s="705">
        <f>Medicaid!I30</f>
        <v>606.5</v>
      </c>
      <c r="J37" s="705">
        <f>Medicaid!J30</f>
        <v>654.6</v>
      </c>
      <c r="K37" s="705">
        <f>Medicaid!K30</f>
        <v>690.7</v>
      </c>
      <c r="L37" s="705">
        <f>Medicaid!L30</f>
        <v>678.5</v>
      </c>
      <c r="M37" s="705">
        <f>Medicaid!M30</f>
        <v>704.8</v>
      </c>
      <c r="N37" s="705">
        <f>Medicaid!N30</f>
        <v>745.5</v>
      </c>
      <c r="O37" s="705">
        <f>Medicaid!O30</f>
        <v>749.2</v>
      </c>
      <c r="P37" s="705">
        <f>Medicaid!P30</f>
        <v>746.4</v>
      </c>
      <c r="Q37" s="705">
        <f>Medicaid!Q30</f>
        <v>792.1</v>
      </c>
      <c r="R37" s="705">
        <f>Medicaid!R30</f>
        <v>819.3</v>
      </c>
      <c r="S37" s="705">
        <f>Medicaid!S30</f>
        <v>818.9</v>
      </c>
      <c r="T37" s="705">
        <f>Medicaid!T30</f>
        <v>827.1</v>
      </c>
      <c r="U37" s="705">
        <f>Medicaid!U30</f>
        <v>876.8</v>
      </c>
      <c r="V37" s="705">
        <f>Medicaid!V30</f>
        <v>910.9</v>
      </c>
      <c r="W37" s="705">
        <f>Medicaid!W30</f>
        <v>867.3</v>
      </c>
      <c r="X37" s="705">
        <f>Medicaid!X30</f>
        <v>857.7</v>
      </c>
      <c r="Y37" s="705">
        <f>Medicaid!Y30</f>
        <v>909.4</v>
      </c>
      <c r="Z37" s="705">
        <f>Medicaid!Z30</f>
        <v>934.7</v>
      </c>
      <c r="AA37" s="705">
        <f>Medicaid!AA30</f>
        <v>947.9</v>
      </c>
      <c r="AB37" s="705">
        <f>Medicaid!AB30</f>
        <v>960.7</v>
      </c>
      <c r="AC37" s="705">
        <f>Medicaid!AC30</f>
        <v>955.2</v>
      </c>
      <c r="AD37" s="705">
        <f>Medicaid!AD30</f>
        <v>991.5</v>
      </c>
      <c r="AE37" s="789">
        <f>Medicaid!AE30</f>
        <v>1045.5999999999999</v>
      </c>
      <c r="AF37" s="705">
        <f>Medicaid!AF30</f>
        <v>1078.4000000000001</v>
      </c>
      <c r="AG37" s="705">
        <f>Medicaid!AG30</f>
        <v>1093.1629366212339</v>
      </c>
      <c r="AH37" s="705">
        <f>Medicaid!AH30</f>
        <v>1113.2648695925188</v>
      </c>
      <c r="AI37" s="705">
        <f>Medicaid!AI30</f>
        <v>1136.8283964919679</v>
      </c>
      <c r="AJ37" s="705">
        <f>Medicaid!AJ30</f>
        <v>1138.6910007857018</v>
      </c>
      <c r="AK37" s="705">
        <f>Medicaid!AK30</f>
        <v>1145.5730410275178</v>
      </c>
      <c r="AL37" s="705">
        <f>Medicaid!AL30</f>
        <v>1152.5268941483698</v>
      </c>
      <c r="AM37" s="705">
        <f>Medicaid!AM30</f>
        <v>1160.5533095030155</v>
      </c>
      <c r="AN37" s="705">
        <f>Medicaid!AN30</f>
        <v>1170.7284082425656</v>
      </c>
    </row>
    <row r="38" spans="1:40" ht="31.4" customHeight="1" x14ac:dyDescent="0.35">
      <c r="B38" s="695" t="s">
        <v>769</v>
      </c>
      <c r="C38" s="385"/>
      <c r="D38" s="704">
        <f t="shared" ref="D38:T38" si="12">D36-D37</f>
        <v>144.10000000000002</v>
      </c>
      <c r="E38" s="680">
        <f t="shared" si="12"/>
        <v>145.59999999999991</v>
      </c>
      <c r="F38" s="680">
        <f t="shared" si="12"/>
        <v>147.89999999999998</v>
      </c>
      <c r="G38" s="680">
        <f t="shared" si="12"/>
        <v>149.80000000000007</v>
      </c>
      <c r="H38" s="680">
        <f t="shared" si="12"/>
        <v>151.5</v>
      </c>
      <c r="I38" s="680">
        <f t="shared" si="12"/>
        <v>154.20000000000005</v>
      </c>
      <c r="J38" s="680">
        <f t="shared" si="12"/>
        <v>156.60000000000002</v>
      </c>
      <c r="K38" s="680">
        <f t="shared" si="12"/>
        <v>159.59999999999991</v>
      </c>
      <c r="L38" s="680">
        <f t="shared" si="12"/>
        <v>162.29999999999995</v>
      </c>
      <c r="M38" s="680">
        <f t="shared" si="12"/>
        <v>165.90000000000009</v>
      </c>
      <c r="N38" s="680">
        <f t="shared" si="12"/>
        <v>169.20000000000005</v>
      </c>
      <c r="O38" s="680">
        <f t="shared" si="12"/>
        <v>174.5</v>
      </c>
      <c r="P38" s="680">
        <f t="shared" si="12"/>
        <v>175.30000000000007</v>
      </c>
      <c r="Q38" s="680">
        <f t="shared" si="12"/>
        <v>177.19999999999993</v>
      </c>
      <c r="R38" s="680">
        <f t="shared" si="12"/>
        <v>184.40000000000009</v>
      </c>
      <c r="S38" s="745">
        <f t="shared" si="12"/>
        <v>204.10000000000002</v>
      </c>
      <c r="T38" s="745">
        <f t="shared" si="12"/>
        <v>256.99999999999989</v>
      </c>
      <c r="U38" s="680">
        <f>T38*(1+AVERAGE($F$40:$I$40))+U39</f>
        <v>190.71451531976618</v>
      </c>
      <c r="V38" s="680">
        <f>U38*(1+AVERAGE($F$40:$I$40))+V39</f>
        <v>193.47098220247852</v>
      </c>
      <c r="W38" s="680">
        <f t="shared" ref="W38:AN38" si="13">V38*(1+AVERAGE($F$40:$I$40))</f>
        <v>196.26728931267826</v>
      </c>
      <c r="X38" s="682">
        <f t="shared" si="13"/>
        <v>199.10401247579478</v>
      </c>
      <c r="Y38" s="682">
        <f t="shared" si="13"/>
        <v>201.98173583987366</v>
      </c>
      <c r="Z38" s="682">
        <f t="shared" si="13"/>
        <v>204.90105199586665</v>
      </c>
      <c r="AA38" s="682">
        <f t="shared" si="13"/>
        <v>207.86256209965993</v>
      </c>
      <c r="AB38" s="682">
        <f t="shared" si="13"/>
        <v>210.86687599586637</v>
      </c>
      <c r="AC38" s="682">
        <f t="shared" si="13"/>
        <v>213.91461234340684</v>
      </c>
      <c r="AD38" s="682">
        <f t="shared" si="13"/>
        <v>217.00639874290664</v>
      </c>
      <c r="AE38" s="787">
        <f>AD38*(1+AVERAGE($F$40:$I$40))</f>
        <v>220.14287186593324</v>
      </c>
      <c r="AF38" s="682">
        <f t="shared" si="13"/>
        <v>223.32467758610193</v>
      </c>
      <c r="AG38" s="682">
        <f t="shared" si="13"/>
        <v>226.5524711120764</v>
      </c>
      <c r="AH38" s="682">
        <f t="shared" si="13"/>
        <v>229.82691712249164</v>
      </c>
      <c r="AI38" s="682">
        <f t="shared" si="13"/>
        <v>233.14868990282685</v>
      </c>
      <c r="AJ38" s="682">
        <f t="shared" si="13"/>
        <v>236.51847348425676</v>
      </c>
      <c r="AK38" s="682">
        <f t="shared" si="13"/>
        <v>239.93696178450969</v>
      </c>
      <c r="AL38" s="682">
        <f t="shared" si="13"/>
        <v>243.40485875076158</v>
      </c>
      <c r="AM38" s="682">
        <f t="shared" si="13"/>
        <v>246.92287850459525</v>
      </c>
      <c r="AN38" s="682">
        <f t="shared" si="13"/>
        <v>250.49174548905481</v>
      </c>
    </row>
    <row r="39" spans="1:40" ht="31.4" customHeight="1" x14ac:dyDescent="0.35">
      <c r="B39" s="695" t="s">
        <v>2004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787"/>
      <c r="AF39" s="682"/>
      <c r="AG39" s="682"/>
      <c r="AH39" s="682"/>
      <c r="AI39" s="682"/>
      <c r="AJ39" s="682"/>
      <c r="AK39" s="682"/>
      <c r="AL39" s="682"/>
      <c r="AM39" s="682"/>
      <c r="AN39" s="682"/>
    </row>
    <row r="40" spans="1:40" x14ac:dyDescent="0.35">
      <c r="B40" s="806" t="s">
        <v>770</v>
      </c>
      <c r="C40" s="468"/>
      <c r="D40" s="706"/>
      <c r="E40" s="694">
        <f>E38/D38-1</f>
        <v>1.0409437890353201E-2</v>
      </c>
      <c r="F40" s="694">
        <f t="shared" ref="F40:N40" si="14">F38/E38-1</f>
        <v>1.5796703296703685E-2</v>
      </c>
      <c r="G40" s="694">
        <f>G38/F38-1</f>
        <v>1.2846517917512346E-2</v>
      </c>
      <c r="H40" s="694">
        <f t="shared" si="14"/>
        <v>1.1348464619492127E-2</v>
      </c>
      <c r="I40" s="694">
        <f t="shared" si="14"/>
        <v>1.782178217821806E-2</v>
      </c>
      <c r="J40" s="694">
        <f t="shared" si="14"/>
        <v>1.5564202334630295E-2</v>
      </c>
      <c r="K40" s="694">
        <f t="shared" si="14"/>
        <v>1.9157088122604637E-2</v>
      </c>
      <c r="L40" s="694">
        <f t="shared" si="14"/>
        <v>1.6917293233082997E-2</v>
      </c>
      <c r="M40" s="694">
        <f t="shared" si="14"/>
        <v>2.2181146025878951E-2</v>
      </c>
      <c r="N40" s="694">
        <f t="shared" si="14"/>
        <v>1.9891500904158921E-2</v>
      </c>
      <c r="O40" s="694">
        <f>O38/N38-1</f>
        <v>3.1323877068557548E-2</v>
      </c>
      <c r="P40" s="694">
        <f t="shared" ref="P40:S40" si="15">P38/O38-1</f>
        <v>4.5845272206308518E-3</v>
      </c>
      <c r="Q40" s="694">
        <f t="shared" si="15"/>
        <v>1.0838562464346113E-2</v>
      </c>
      <c r="R40" s="694">
        <f t="shared" si="15"/>
        <v>4.0632054176073185E-2</v>
      </c>
      <c r="S40" s="694">
        <f t="shared" si="15"/>
        <v>0.1068329718004335</v>
      </c>
      <c r="T40" s="681"/>
      <c r="U40" s="681"/>
      <c r="V40" s="681"/>
      <c r="W40" s="681"/>
      <c r="X40" s="702"/>
      <c r="Y40" s="702"/>
      <c r="Z40" s="702"/>
      <c r="AA40" s="702"/>
      <c r="AB40" s="702"/>
      <c r="AC40" s="702"/>
      <c r="AD40" s="702"/>
      <c r="AE40" s="790"/>
      <c r="AF40" s="702"/>
      <c r="AG40" s="702"/>
      <c r="AH40" s="702"/>
      <c r="AI40" s="702"/>
      <c r="AJ40" s="702"/>
      <c r="AK40" s="702"/>
      <c r="AL40" s="702"/>
      <c r="AM40" s="702"/>
      <c r="AN40" s="702"/>
    </row>
    <row r="42" spans="1:40" ht="14.9" customHeight="1" x14ac:dyDescent="0.35">
      <c r="P42" s="597"/>
      <c r="Q42" s="597"/>
    </row>
    <row r="43" spans="1:40" ht="14.9" customHeight="1" x14ac:dyDescent="0.35">
      <c r="B43" s="630" t="s">
        <v>318</v>
      </c>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row>
    <row r="44" spans="1:40" x14ac:dyDescent="0.35">
      <c r="B44" s="1416" t="s">
        <v>440</v>
      </c>
      <c r="C44" s="1416"/>
      <c r="D44" s="1388"/>
      <c r="E44" s="1388"/>
      <c r="F44" s="1388"/>
      <c r="G44" s="1388"/>
      <c r="H44" s="1388"/>
      <c r="I44" s="1388"/>
      <c r="J44" s="1388"/>
      <c r="K44" s="1388"/>
      <c r="L44" s="1388"/>
      <c r="M44" s="1388"/>
      <c r="N44" s="1388"/>
      <c r="O44" s="1388"/>
      <c r="P44" s="1388"/>
      <c r="Q44" s="1388"/>
      <c r="R44" s="1388"/>
      <c r="S44" s="1388"/>
      <c r="T44" s="1388"/>
      <c r="U44" s="1388"/>
      <c r="V44" s="1388"/>
      <c r="W44" s="1388"/>
      <c r="X44" s="1388"/>
      <c r="Y44" s="1388"/>
      <c r="Z44" s="1388"/>
      <c r="AA44" s="1388"/>
      <c r="AB44" s="1388"/>
      <c r="AC44" s="1388"/>
    </row>
    <row r="45" spans="1:40" x14ac:dyDescent="0.35">
      <c r="B45" s="1391" t="s">
        <v>441</v>
      </c>
      <c r="C45" s="1392"/>
      <c r="D45" s="1427" t="s">
        <v>246</v>
      </c>
      <c r="E45" s="1427"/>
      <c r="F45" s="1427"/>
      <c r="G45" s="1427"/>
      <c r="H45" s="1427"/>
      <c r="I45" s="1427"/>
      <c r="J45" s="1427"/>
      <c r="K45" s="1427"/>
      <c r="L45" s="1427"/>
      <c r="M45" s="1427"/>
      <c r="N45" s="1427"/>
      <c r="O45" s="1427"/>
      <c r="P45" s="1427"/>
      <c r="Q45" s="1427"/>
      <c r="R45" s="1427"/>
      <c r="S45" s="1427"/>
      <c r="T45" s="1427"/>
      <c r="U45" s="1427"/>
      <c r="V45" s="1427"/>
      <c r="W45" s="1427"/>
      <c r="X45" s="1427"/>
      <c r="Y45" s="1427"/>
      <c r="Z45" s="1427"/>
      <c r="AA45" s="1427"/>
      <c r="AB45" s="1427"/>
      <c r="AC45" s="259"/>
      <c r="AD45" s="260"/>
      <c r="AE45" s="260"/>
      <c r="AF45" s="260"/>
      <c r="AG45" s="1419" t="s">
        <v>247</v>
      </c>
      <c r="AH45" s="1420"/>
      <c r="AI45" s="1420"/>
      <c r="AJ45" s="1420"/>
      <c r="AK45" s="1420"/>
      <c r="AL45" s="1420"/>
      <c r="AM45" s="1420"/>
      <c r="AN45" s="1421"/>
    </row>
    <row r="46" spans="1:40" x14ac:dyDescent="0.35">
      <c r="B46" s="1391"/>
      <c r="C46" s="1392"/>
      <c r="D46" s="249">
        <v>2018</v>
      </c>
      <c r="E46" s="1398">
        <v>2019</v>
      </c>
      <c r="F46" s="1399"/>
      <c r="G46" s="1399"/>
      <c r="H46" s="1400"/>
      <c r="I46" s="1398">
        <v>2020</v>
      </c>
      <c r="J46" s="1399"/>
      <c r="K46" s="1399"/>
      <c r="L46" s="1399"/>
      <c r="M46" s="1398">
        <v>2021</v>
      </c>
      <c r="N46" s="1399"/>
      <c r="O46" s="1399"/>
      <c r="P46" s="1399"/>
      <c r="Q46" s="1398">
        <v>2022</v>
      </c>
      <c r="R46" s="1399"/>
      <c r="S46" s="1399"/>
      <c r="T46" s="1400"/>
      <c r="U46" s="277"/>
      <c r="V46" s="277">
        <v>2023</v>
      </c>
      <c r="W46" s="277"/>
      <c r="X46" s="279"/>
      <c r="Y46" s="283"/>
      <c r="Z46" s="277">
        <v>2024</v>
      </c>
      <c r="AA46" s="277"/>
      <c r="AB46" s="279"/>
      <c r="AC46" s="1398">
        <v>2025</v>
      </c>
      <c r="AD46" s="1399"/>
      <c r="AE46" s="1399"/>
      <c r="AF46" s="1400"/>
      <c r="AG46" s="1412">
        <v>2026</v>
      </c>
      <c r="AH46" s="1424"/>
      <c r="AI46" s="1424"/>
      <c r="AJ46" s="1414"/>
      <c r="AK46" s="1412">
        <v>2027</v>
      </c>
      <c r="AL46" s="1424"/>
      <c r="AM46" s="1424"/>
      <c r="AN46" s="1414"/>
    </row>
    <row r="47" spans="1:40" x14ac:dyDescent="0.35">
      <c r="B47" s="1393"/>
      <c r="C47" s="1394"/>
      <c r="D47" s="244" t="s">
        <v>248</v>
      </c>
      <c r="E47" s="244" t="s">
        <v>249</v>
      </c>
      <c r="F47" s="245" t="s">
        <v>250</v>
      </c>
      <c r="G47" s="245" t="s">
        <v>226</v>
      </c>
      <c r="H47" s="246" t="s">
        <v>248</v>
      </c>
      <c r="I47" s="245" t="s">
        <v>249</v>
      </c>
      <c r="J47" s="245" t="s">
        <v>250</v>
      </c>
      <c r="K47" s="245" t="s">
        <v>226</v>
      </c>
      <c r="L47" s="245" t="s">
        <v>248</v>
      </c>
      <c r="M47" s="244" t="s">
        <v>249</v>
      </c>
      <c r="N47" s="245" t="s">
        <v>250</v>
      </c>
      <c r="O47" s="245" t="s">
        <v>226</v>
      </c>
      <c r="P47" s="245" t="s">
        <v>248</v>
      </c>
      <c r="Q47" s="244" t="s">
        <v>249</v>
      </c>
      <c r="R47" s="245" t="s">
        <v>250</v>
      </c>
      <c r="S47" s="245" t="s">
        <v>226</v>
      </c>
      <c r="T47" s="246" t="s">
        <v>248</v>
      </c>
      <c r="U47" s="245" t="s">
        <v>249</v>
      </c>
      <c r="V47" s="273" t="s">
        <v>250</v>
      </c>
      <c r="W47" s="273" t="s">
        <v>226</v>
      </c>
      <c r="X47" s="271" t="s">
        <v>248</v>
      </c>
      <c r="Y47" s="272" t="s">
        <v>249</v>
      </c>
      <c r="Z47" s="274" t="s">
        <v>250</v>
      </c>
      <c r="AA47" s="273" t="s">
        <v>226</v>
      </c>
      <c r="AB47" s="273" t="s">
        <v>248</v>
      </c>
      <c r="AC47" s="272" t="s">
        <v>249</v>
      </c>
      <c r="AD47" s="274" t="s">
        <v>250</v>
      </c>
      <c r="AE47" s="543" t="s">
        <v>226</v>
      </c>
      <c r="AF47" s="273" t="s">
        <v>248</v>
      </c>
      <c r="AG47" s="275" t="s">
        <v>249</v>
      </c>
      <c r="AH47" s="269" t="s">
        <v>250</v>
      </c>
      <c r="AI47" s="270" t="s">
        <v>226</v>
      </c>
      <c r="AJ47" s="276" t="s">
        <v>248</v>
      </c>
      <c r="AK47" s="275" t="s">
        <v>249</v>
      </c>
      <c r="AL47" s="269" t="s">
        <v>250</v>
      </c>
      <c r="AM47" s="270" t="s">
        <v>226</v>
      </c>
      <c r="AN47" s="276" t="s">
        <v>248</v>
      </c>
    </row>
    <row r="48" spans="1:40" x14ac:dyDescent="0.35">
      <c r="B48" s="679" t="s">
        <v>1928</v>
      </c>
      <c r="D48" s="378"/>
      <c r="E48" s="422"/>
      <c r="F48" s="422"/>
      <c r="G48" s="422"/>
      <c r="H48" s="422"/>
      <c r="I48" s="689">
        <f>(I49-AVERAGE($E49:$H49))</f>
        <v>6.9950000000000045</v>
      </c>
      <c r="J48" s="689">
        <f t="shared" ref="J48:AD48" si="16">(J49-AVERAGE($E49:$H49))</f>
        <v>51.122999999999998</v>
      </c>
      <c r="K48" s="689">
        <f t="shared" si="16"/>
        <v>51.055</v>
      </c>
      <c r="L48" s="689">
        <f t="shared" si="16"/>
        <v>51.762999999999998</v>
      </c>
      <c r="M48" s="689">
        <f t="shared" si="16"/>
        <v>91.453000000000003</v>
      </c>
      <c r="N48" s="689">
        <f t="shared" si="16"/>
        <v>101.11800000000002</v>
      </c>
      <c r="O48" s="689">
        <f t="shared" si="16"/>
        <v>93.417000000000002</v>
      </c>
      <c r="P48" s="689">
        <f t="shared" si="16"/>
        <v>99.84</v>
      </c>
      <c r="Q48" s="689">
        <f t="shared" si="16"/>
        <v>77.435000000000002</v>
      </c>
      <c r="R48" s="689">
        <f t="shared" si="16"/>
        <v>74.290999999999997</v>
      </c>
      <c r="S48" s="690">
        <f t="shared" si="16"/>
        <v>69.937000000000012</v>
      </c>
      <c r="T48" s="690">
        <f t="shared" si="16"/>
        <v>91.18</v>
      </c>
      <c r="U48" s="690">
        <f t="shared" si="16"/>
        <v>84.404000000000025</v>
      </c>
      <c r="V48" s="690">
        <f t="shared" si="16"/>
        <v>52.51</v>
      </c>
      <c r="W48" s="690">
        <f t="shared" si="16"/>
        <v>50.475000000000001</v>
      </c>
      <c r="X48" s="690">
        <f t="shared" si="16"/>
        <v>38.360999999999997</v>
      </c>
      <c r="Y48" s="690">
        <f t="shared" si="16"/>
        <v>37.854999999999997</v>
      </c>
      <c r="Z48" s="690">
        <f t="shared" si="16"/>
        <v>42.399000000000008</v>
      </c>
      <c r="AA48" s="690">
        <f t="shared" si="16"/>
        <v>47.041000000000004</v>
      </c>
      <c r="AB48" s="690">
        <f t="shared" si="16"/>
        <v>43.420000000000009</v>
      </c>
      <c r="AC48" s="690">
        <f t="shared" si="16"/>
        <v>41.592000000000006</v>
      </c>
      <c r="AD48" s="690">
        <f t="shared" si="16"/>
        <v>41.488000000000007</v>
      </c>
      <c r="AE48" s="791">
        <f>(AE49-AVERAGE($E49:$H49))</f>
        <v>37.719000000000001</v>
      </c>
      <c r="AF48" s="791">
        <f>(AF49-AVERAGE($E49:$H49))</f>
        <v>37.758000000000003</v>
      </c>
      <c r="AG48" s="840">
        <f t="shared" ref="AG48:AM48" si="17">AF48+AG50</f>
        <v>37.758000000000003</v>
      </c>
      <c r="AH48" s="840">
        <f t="shared" si="17"/>
        <v>37.758000000000003</v>
      </c>
      <c r="AI48" s="840">
        <f t="shared" si="17"/>
        <v>37.758000000000003</v>
      </c>
      <c r="AJ48" s="840">
        <f t="shared" si="17"/>
        <v>29.603000000000002</v>
      </c>
      <c r="AK48" s="840">
        <f t="shared" si="17"/>
        <v>29.603000000000002</v>
      </c>
      <c r="AL48" s="840">
        <f t="shared" si="17"/>
        <v>29.603000000000002</v>
      </c>
      <c r="AM48" s="840">
        <f t="shared" si="17"/>
        <v>29.603000000000002</v>
      </c>
      <c r="AN48" s="840">
        <f>AM48+AN50</f>
        <v>7.958000000000002</v>
      </c>
    </row>
    <row r="49" spans="2:40" x14ac:dyDescent="0.35">
      <c r="B49" s="679" t="s">
        <v>1923</v>
      </c>
      <c r="C49" s="268" t="s">
        <v>442</v>
      </c>
      <c r="D49" s="244">
        <f>'Haver Pivoted'!GO66</f>
        <v>57.017000000000003</v>
      </c>
      <c r="E49" s="244">
        <f>'Haver Pivoted'!GP66</f>
        <v>55.875</v>
      </c>
      <c r="F49" s="244">
        <f>'Haver Pivoted'!GQ66</f>
        <v>54.335999999999999</v>
      </c>
      <c r="G49" s="244">
        <f>'Haver Pivoted'!GR66</f>
        <v>54.345999999999997</v>
      </c>
      <c r="H49" s="244">
        <f>'Haver Pivoted'!GS66</f>
        <v>54.290999999999997</v>
      </c>
      <c r="I49" s="244">
        <f>'Haver Pivoted'!GT66</f>
        <v>61.707000000000001</v>
      </c>
      <c r="J49" s="244">
        <f>'Haver Pivoted'!GU66</f>
        <v>105.83499999999999</v>
      </c>
      <c r="K49" s="244">
        <f>'Haver Pivoted'!GV66</f>
        <v>105.767</v>
      </c>
      <c r="L49" s="244">
        <f>'Haver Pivoted'!GW66</f>
        <v>106.47499999999999</v>
      </c>
      <c r="M49" s="244">
        <f>'Haver Pivoted'!GX66</f>
        <v>146.16499999999999</v>
      </c>
      <c r="N49" s="244">
        <f>'Haver Pivoted'!GY66</f>
        <v>155.83000000000001</v>
      </c>
      <c r="O49" s="244">
        <f>'Haver Pivoted'!GZ66</f>
        <v>148.12899999999999</v>
      </c>
      <c r="P49" s="244">
        <f>'Haver Pivoted'!HA66</f>
        <v>154.55199999999999</v>
      </c>
      <c r="Q49" s="244">
        <f>'Haver Pivoted'!HB66</f>
        <v>132.14699999999999</v>
      </c>
      <c r="R49" s="244">
        <f>'Haver Pivoted'!HC66</f>
        <v>129.00299999999999</v>
      </c>
      <c r="S49" s="244">
        <f>'Haver Pivoted'!HD66</f>
        <v>124.649</v>
      </c>
      <c r="T49" s="244">
        <f>'Haver Pivoted'!HE66</f>
        <v>145.892</v>
      </c>
      <c r="U49" s="244">
        <f>'Haver Pivoted'!HF66</f>
        <v>139.11600000000001</v>
      </c>
      <c r="V49" s="244">
        <f>'Haver Pivoted'!HG66</f>
        <v>107.22199999999999</v>
      </c>
      <c r="W49" s="244">
        <f>'Haver Pivoted'!HH66</f>
        <v>105.187</v>
      </c>
      <c r="X49" s="244">
        <f>'Haver Pivoted'!HI66</f>
        <v>93.072999999999993</v>
      </c>
      <c r="Y49" s="244">
        <f>'Haver Pivoted'!HJ66</f>
        <v>92.566999999999993</v>
      </c>
      <c r="Z49" s="244">
        <f>'Haver Pivoted'!HK66</f>
        <v>97.111000000000004</v>
      </c>
      <c r="AA49" s="244">
        <f>'Haver Pivoted'!HL66</f>
        <v>101.753</v>
      </c>
      <c r="AB49" s="244">
        <f>'Haver Pivoted'!HM66</f>
        <v>98.132000000000005</v>
      </c>
      <c r="AC49" s="244">
        <f>'Haver Pivoted'!HN66</f>
        <v>96.304000000000002</v>
      </c>
      <c r="AD49" s="244">
        <f>'Haver Pivoted'!HO66</f>
        <v>96.2</v>
      </c>
      <c r="AE49" s="243">
        <f>'Haver Pivoted'!HP66</f>
        <v>92.430999999999997</v>
      </c>
      <c r="AF49" s="243">
        <f>'Haver Pivoted'!HQ66</f>
        <v>92.47</v>
      </c>
      <c r="AG49" s="353"/>
      <c r="AH49" s="353"/>
      <c r="AI49" s="353"/>
      <c r="AJ49" s="353"/>
      <c r="AK49" s="353"/>
      <c r="AL49" s="353"/>
      <c r="AM49" s="353"/>
      <c r="AN49" s="353"/>
    </row>
    <row r="50" spans="2:40" ht="45.75" customHeight="1" x14ac:dyDescent="0.35">
      <c r="B50" s="809" t="s">
        <v>1927</v>
      </c>
      <c r="C50" s="268"/>
      <c r="D50" s="392"/>
      <c r="E50" s="265"/>
      <c r="F50" s="265"/>
      <c r="G50" s="265"/>
      <c r="H50" s="265"/>
      <c r="I50" s="265"/>
      <c r="J50" s="265"/>
      <c r="K50" s="265"/>
      <c r="L50" s="265"/>
      <c r="M50" s="265"/>
      <c r="N50" s="265"/>
      <c r="O50" s="265"/>
      <c r="P50" s="265"/>
      <c r="Q50" s="265"/>
      <c r="R50" s="265"/>
      <c r="S50" s="245"/>
      <c r="T50" s="245"/>
      <c r="U50" s="245"/>
      <c r="V50" s="245"/>
      <c r="W50" s="245"/>
      <c r="X50" s="245"/>
      <c r="Y50" s="245"/>
      <c r="Z50" s="245"/>
      <c r="AA50" s="245"/>
      <c r="AB50" s="245"/>
      <c r="AC50" s="245"/>
      <c r="AD50" s="245"/>
      <c r="AE50" s="542">
        <v>0</v>
      </c>
      <c r="AF50" s="542">
        <v>1</v>
      </c>
      <c r="AG50" s="353">
        <v>0</v>
      </c>
      <c r="AH50" s="353">
        <v>0</v>
      </c>
      <c r="AI50" s="353">
        <v>0</v>
      </c>
      <c r="AJ50" s="353">
        <v>-8.1549999999999994</v>
      </c>
      <c r="AK50" s="353">
        <v>0</v>
      </c>
      <c r="AL50" s="353">
        <v>0</v>
      </c>
      <c r="AM50" s="353">
        <v>0</v>
      </c>
      <c r="AN50" s="353">
        <v>-21.645</v>
      </c>
    </row>
    <row r="51" spans="2:40" ht="14.9" customHeight="1" x14ac:dyDescent="0.35">
      <c r="B51" s="678" t="s">
        <v>443</v>
      </c>
      <c r="C51" s="468"/>
      <c r="D51" s="838"/>
      <c r="E51" s="676"/>
      <c r="F51" s="676"/>
      <c r="G51" s="676"/>
      <c r="H51" s="676"/>
      <c r="I51" s="676"/>
      <c r="J51" s="676">
        <f t="shared" ref="J51:AD51" si="18">J49-$H49</f>
        <v>51.543999999999997</v>
      </c>
      <c r="K51" s="676">
        <f t="shared" si="18"/>
        <v>51.475999999999999</v>
      </c>
      <c r="L51" s="676">
        <f t="shared" si="18"/>
        <v>52.183999999999997</v>
      </c>
      <c r="M51" s="676">
        <f t="shared" si="18"/>
        <v>91.873999999999995</v>
      </c>
      <c r="N51" s="676">
        <f>N49-$H49</f>
        <v>101.53900000000002</v>
      </c>
      <c r="O51" s="676">
        <f>O49-$H49</f>
        <v>93.837999999999994</v>
      </c>
      <c r="P51" s="676">
        <f t="shared" si="18"/>
        <v>100.261</v>
      </c>
      <c r="Q51" s="676">
        <f t="shared" si="18"/>
        <v>77.855999999999995</v>
      </c>
      <c r="R51" s="676">
        <f t="shared" si="18"/>
        <v>74.711999999999989</v>
      </c>
      <c r="S51" s="273">
        <f t="shared" si="18"/>
        <v>70.358000000000004</v>
      </c>
      <c r="T51" s="273">
        <f t="shared" si="18"/>
        <v>91.600999999999999</v>
      </c>
      <c r="U51" s="273">
        <f t="shared" si="18"/>
        <v>84.825000000000017</v>
      </c>
      <c r="V51" s="273">
        <f t="shared" si="18"/>
        <v>52.930999999999997</v>
      </c>
      <c r="W51" s="273">
        <f t="shared" si="18"/>
        <v>50.896000000000001</v>
      </c>
      <c r="X51" s="273">
        <f t="shared" si="18"/>
        <v>38.781999999999996</v>
      </c>
      <c r="Y51" s="273">
        <f t="shared" si="18"/>
        <v>38.275999999999996</v>
      </c>
      <c r="Z51" s="273">
        <f t="shared" si="18"/>
        <v>42.820000000000007</v>
      </c>
      <c r="AA51" s="273">
        <f t="shared" si="18"/>
        <v>47.462000000000003</v>
      </c>
      <c r="AB51" s="273">
        <f t="shared" si="18"/>
        <v>43.841000000000008</v>
      </c>
      <c r="AC51" s="273">
        <f t="shared" si="18"/>
        <v>42.013000000000005</v>
      </c>
      <c r="AD51" s="273">
        <f t="shared" si="18"/>
        <v>41.909000000000006</v>
      </c>
      <c r="AE51" s="543">
        <f>AE49-$H49</f>
        <v>38.14</v>
      </c>
      <c r="AF51" s="543">
        <f>AF49-$H49</f>
        <v>38.179000000000002</v>
      </c>
      <c r="AG51" s="813"/>
      <c r="AH51" s="813"/>
      <c r="AI51" s="813"/>
      <c r="AJ51" s="813"/>
      <c r="AK51" s="813"/>
      <c r="AL51" s="813"/>
      <c r="AM51" s="813"/>
      <c r="AN51" s="813"/>
    </row>
    <row r="52" spans="2:40" x14ac:dyDescent="0.35">
      <c r="B52" s="268"/>
      <c r="C52" s="268"/>
      <c r="D52" s="265"/>
      <c r="E52" s="265"/>
      <c r="F52" s="265"/>
      <c r="G52" s="265"/>
      <c r="H52" s="265"/>
      <c r="I52" s="265"/>
      <c r="J52" s="265"/>
      <c r="K52" s="265"/>
      <c r="L52" s="265"/>
      <c r="M52" s="265"/>
      <c r="N52" s="265"/>
      <c r="O52" s="265"/>
      <c r="P52" s="265"/>
      <c r="Q52" s="265" t="s">
        <v>1926</v>
      </c>
      <c r="R52" s="265"/>
      <c r="S52" s="265"/>
      <c r="T52" s="265"/>
      <c r="U52" s="265" t="s">
        <v>1924</v>
      </c>
      <c r="V52" s="265"/>
      <c r="W52" s="265" t="s">
        <v>1925</v>
      </c>
      <c r="X52" s="265"/>
      <c r="Y52" s="265"/>
      <c r="Z52" s="265"/>
      <c r="AA52" s="265"/>
      <c r="AB52" s="265"/>
      <c r="AC52" s="265"/>
    </row>
    <row r="53" spans="2:40" x14ac:dyDescent="0.35">
      <c r="B53" s="268"/>
      <c r="C53" s="268"/>
      <c r="D53" s="265"/>
      <c r="E53" s="265"/>
      <c r="F53" s="265"/>
      <c r="G53" s="265"/>
      <c r="H53" s="265"/>
      <c r="I53" s="265"/>
      <c r="J53" s="265"/>
      <c r="K53" s="265"/>
      <c r="L53" s="265"/>
      <c r="M53" s="265"/>
      <c r="N53" s="265"/>
      <c r="O53" s="265"/>
      <c r="P53" s="265"/>
      <c r="Q53" s="265">
        <f>SUM(P49:S49)</f>
        <v>540.35099999999989</v>
      </c>
      <c r="R53" s="265"/>
      <c r="S53" s="265"/>
      <c r="T53" s="265"/>
      <c r="U53" s="265">
        <f>SUM(T49:W49)</f>
        <v>497.41700000000003</v>
      </c>
      <c r="V53" s="265"/>
      <c r="W53">
        <v>112</v>
      </c>
      <c r="X53" s="265"/>
      <c r="Y53" s="265"/>
      <c r="Z53" s="265"/>
      <c r="AA53" s="265"/>
      <c r="AB53" s="265"/>
      <c r="AC53" s="265"/>
    </row>
    <row r="54" spans="2:40"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6" spans="2:40" x14ac:dyDescent="0.35">
      <c r="B56" s="630" t="s">
        <v>331</v>
      </c>
    </row>
    <row r="57" spans="2:40" ht="29.15" customHeight="1" x14ac:dyDescent="0.35">
      <c r="B57" s="1491" t="s">
        <v>767</v>
      </c>
      <c r="C57" s="1492"/>
      <c r="D57" s="1427" t="s">
        <v>246</v>
      </c>
      <c r="E57" s="1427"/>
      <c r="F57" s="1427"/>
      <c r="G57" s="1427"/>
      <c r="H57" s="1427"/>
      <c r="I57" s="1427"/>
      <c r="J57" s="1427"/>
      <c r="K57" s="1427"/>
      <c r="L57" s="1427"/>
      <c r="M57" s="1427"/>
      <c r="N57" s="1427"/>
      <c r="O57" s="1427"/>
      <c r="P57" s="1427"/>
      <c r="Q57" s="1427"/>
      <c r="R57" s="1427"/>
      <c r="S57" s="1427"/>
      <c r="T57" s="1427"/>
      <c r="U57" s="1427"/>
      <c r="V57" s="1427"/>
      <c r="W57" s="1427"/>
      <c r="X57" s="1427"/>
      <c r="Y57" s="1427"/>
      <c r="Z57" s="1427"/>
      <c r="AA57" s="1427"/>
      <c r="AB57" s="1427"/>
      <c r="AC57" s="259"/>
      <c r="AD57" s="260"/>
      <c r="AE57" s="260"/>
      <c r="AF57" s="260"/>
      <c r="AG57" s="1419" t="s">
        <v>247</v>
      </c>
      <c r="AH57" s="1420"/>
      <c r="AI57" s="1420"/>
      <c r="AJ57" s="1420"/>
      <c r="AK57" s="1420"/>
      <c r="AL57" s="1420"/>
      <c r="AM57" s="1420"/>
      <c r="AN57" s="1421"/>
    </row>
    <row r="58" spans="2:40" ht="29.15" customHeight="1" x14ac:dyDescent="0.35">
      <c r="B58" s="1493"/>
      <c r="C58" s="1494"/>
      <c r="D58" s="249">
        <v>2018</v>
      </c>
      <c r="E58" s="1398">
        <v>2019</v>
      </c>
      <c r="F58" s="1399"/>
      <c r="G58" s="1399"/>
      <c r="H58" s="1400"/>
      <c r="I58" s="1398">
        <v>2020</v>
      </c>
      <c r="J58" s="1399"/>
      <c r="K58" s="1399"/>
      <c r="L58" s="1399"/>
      <c r="M58" s="1398">
        <v>2021</v>
      </c>
      <c r="N58" s="1399"/>
      <c r="O58" s="1399"/>
      <c r="P58" s="1399"/>
      <c r="Q58" s="1398">
        <v>2022</v>
      </c>
      <c r="R58" s="1399"/>
      <c r="S58" s="1399"/>
      <c r="T58" s="1400"/>
      <c r="U58" s="277"/>
      <c r="V58" s="277">
        <v>2023</v>
      </c>
      <c r="W58" s="277"/>
      <c r="X58" s="279"/>
      <c r="Y58" s="283"/>
      <c r="Z58" s="277">
        <v>2024</v>
      </c>
      <c r="AA58" s="277"/>
      <c r="AB58" s="279"/>
      <c r="AC58" s="1398">
        <v>2025</v>
      </c>
      <c r="AD58" s="1399"/>
      <c r="AE58" s="1399"/>
      <c r="AF58" s="1400"/>
      <c r="AG58" s="1412">
        <v>2026</v>
      </c>
      <c r="AH58" s="1424"/>
      <c r="AI58" s="1424"/>
      <c r="AJ58" s="1414"/>
      <c r="AK58" s="1412">
        <v>2027</v>
      </c>
      <c r="AL58" s="1424"/>
      <c r="AM58" s="1424"/>
      <c r="AN58" s="1414"/>
    </row>
    <row r="59" spans="2:40" ht="29" customHeight="1" x14ac:dyDescent="0.35">
      <c r="B59" s="1493"/>
      <c r="C59" s="1494"/>
      <c r="D59" s="244" t="s">
        <v>248</v>
      </c>
      <c r="E59" s="244" t="s">
        <v>249</v>
      </c>
      <c r="F59" s="245" t="s">
        <v>250</v>
      </c>
      <c r="G59" s="245" t="s">
        <v>226</v>
      </c>
      <c r="H59" s="246" t="s">
        <v>248</v>
      </c>
      <c r="I59" s="245" t="s">
        <v>249</v>
      </c>
      <c r="J59" s="245" t="s">
        <v>250</v>
      </c>
      <c r="K59" s="245" t="s">
        <v>226</v>
      </c>
      <c r="L59" s="245" t="s">
        <v>248</v>
      </c>
      <c r="M59" s="244" t="s">
        <v>249</v>
      </c>
      <c r="N59" s="245" t="s">
        <v>250</v>
      </c>
      <c r="O59" s="245" t="s">
        <v>226</v>
      </c>
      <c r="P59" s="245" t="s">
        <v>248</v>
      </c>
      <c r="Q59" s="244" t="s">
        <v>249</v>
      </c>
      <c r="R59" s="245" t="s">
        <v>250</v>
      </c>
      <c r="S59" s="245" t="s">
        <v>226</v>
      </c>
      <c r="T59" s="246" t="s">
        <v>248</v>
      </c>
      <c r="U59" s="245" t="s">
        <v>249</v>
      </c>
      <c r="V59" s="273" t="s">
        <v>250</v>
      </c>
      <c r="W59" s="273" t="s">
        <v>226</v>
      </c>
      <c r="X59" s="271" t="s">
        <v>248</v>
      </c>
      <c r="Y59" s="272" t="s">
        <v>249</v>
      </c>
      <c r="Z59" s="274" t="s">
        <v>250</v>
      </c>
      <c r="AA59" s="273" t="s">
        <v>226</v>
      </c>
      <c r="AB59" s="273" t="s">
        <v>248</v>
      </c>
      <c r="AC59" s="272" t="s">
        <v>249</v>
      </c>
      <c r="AD59" s="274" t="s">
        <v>250</v>
      </c>
      <c r="AE59" s="543" t="s">
        <v>226</v>
      </c>
      <c r="AF59" s="273" t="s">
        <v>248</v>
      </c>
      <c r="AG59" s="275" t="s">
        <v>249</v>
      </c>
      <c r="AH59" s="269" t="s">
        <v>250</v>
      </c>
      <c r="AI59" s="270" t="s">
        <v>226</v>
      </c>
      <c r="AJ59" s="276" t="s">
        <v>248</v>
      </c>
      <c r="AK59" s="275" t="s">
        <v>249</v>
      </c>
      <c r="AL59" s="269" t="s">
        <v>250</v>
      </c>
      <c r="AM59" s="270" t="s">
        <v>226</v>
      </c>
      <c r="AN59" s="276" t="s">
        <v>248</v>
      </c>
    </row>
    <row r="60" spans="2:40" ht="29.15" customHeight="1" x14ac:dyDescent="0.35">
      <c r="B60" s="822" t="s">
        <v>430</v>
      </c>
      <c r="C60" s="710" t="s">
        <v>431</v>
      </c>
      <c r="D60" s="807">
        <f>'Haver Pivoted'!GO31</f>
        <v>2223</v>
      </c>
      <c r="E60" s="807">
        <f>'Haver Pivoted'!GP31</f>
        <v>2303.8000000000002</v>
      </c>
      <c r="F60" s="807">
        <f>'Haver Pivoted'!GQ31</f>
        <v>2321.6999999999998</v>
      </c>
      <c r="G60" s="807">
        <f>'Haver Pivoted'!GR31</f>
        <v>2337.1</v>
      </c>
      <c r="H60" s="807">
        <f>'Haver Pivoted'!GS31</f>
        <v>2349.5</v>
      </c>
      <c r="I60" s="807">
        <f>'Haver Pivoted'!GT31</f>
        <v>2417</v>
      </c>
      <c r="J60" s="807">
        <f>'Haver Pivoted'!GU31</f>
        <v>4659.2</v>
      </c>
      <c r="K60" s="807">
        <f>'Haver Pivoted'!GV31</f>
        <v>3514.2</v>
      </c>
      <c r="L60" s="807">
        <f>'Haver Pivoted'!GW31</f>
        <v>2896.7</v>
      </c>
      <c r="M60" s="807">
        <f>'Haver Pivoted'!GX31</f>
        <v>5152.8</v>
      </c>
      <c r="N60" s="807">
        <f>'Haver Pivoted'!GY31</f>
        <v>3403.1</v>
      </c>
      <c r="O60" s="807">
        <f>'Haver Pivoted'!GZ31</f>
        <v>3121.9</v>
      </c>
      <c r="P60" s="807">
        <f>'Haver Pivoted'!HA31</f>
        <v>2958.3</v>
      </c>
      <c r="Q60" s="807">
        <f>'Haver Pivoted'!HB31</f>
        <v>2978.4</v>
      </c>
      <c r="R60" s="807">
        <f>'Haver Pivoted'!HC31</f>
        <v>2983.3</v>
      </c>
      <c r="S60" s="807">
        <f>'Haver Pivoted'!HD31</f>
        <v>2976.9</v>
      </c>
      <c r="T60" s="807">
        <f>'Haver Pivoted'!HE31</f>
        <v>3033.2</v>
      </c>
      <c r="U60" s="807">
        <f>'Haver Pivoted'!HF31</f>
        <v>3055.3</v>
      </c>
      <c r="V60" s="807">
        <f>'Haver Pivoted'!HG31</f>
        <v>3066.9</v>
      </c>
      <c r="W60" s="807">
        <f>'Haver Pivoted'!HH31</f>
        <v>3097.1</v>
      </c>
      <c r="X60" s="807">
        <f>'Haver Pivoted'!HI31</f>
        <v>3119.8</v>
      </c>
      <c r="Y60" s="807">
        <f>'Haver Pivoted'!HJ31</f>
        <v>3242.2</v>
      </c>
      <c r="Z60" s="807">
        <f>'Haver Pivoted'!HK31</f>
        <v>3291</v>
      </c>
      <c r="AA60" s="807">
        <f>'Haver Pivoted'!HL31</f>
        <v>3335.9</v>
      </c>
      <c r="AB60" s="807">
        <f>'Haver Pivoted'!HM31</f>
        <v>3393.7</v>
      </c>
      <c r="AC60" s="807">
        <f>'Haver Pivoted'!HN31</f>
        <v>3526.5</v>
      </c>
      <c r="AD60" s="807">
        <f>'Haver Pivoted'!HO31</f>
        <v>3657</v>
      </c>
      <c r="AE60" s="792">
        <f>'Haver Pivoted'!HP31</f>
        <v>3652</v>
      </c>
      <c r="AF60" s="792">
        <f>'Haver Pivoted'!HQ31</f>
        <v>3682.4</v>
      </c>
      <c r="AG60" s="353"/>
      <c r="AH60" s="353"/>
      <c r="AI60" s="353"/>
      <c r="AJ60" s="353"/>
      <c r="AK60" s="353"/>
      <c r="AL60" s="353"/>
      <c r="AM60" s="353"/>
      <c r="AN60" s="353"/>
    </row>
    <row r="61" spans="2:40" ht="35.9" customHeight="1" x14ac:dyDescent="0.35">
      <c r="B61" s="592" t="s">
        <v>2058</v>
      </c>
      <c r="C61" s="268"/>
      <c r="D61" s="776">
        <f t="shared" ref="D61:AD61" si="19">D62+D63</f>
        <v>1795.961</v>
      </c>
      <c r="E61" s="814">
        <f t="shared" si="19"/>
        <v>1852.29</v>
      </c>
      <c r="F61" s="814">
        <f t="shared" si="19"/>
        <v>1872.5039999999999</v>
      </c>
      <c r="G61" s="814">
        <f t="shared" si="19"/>
        <v>1888.817</v>
      </c>
      <c r="H61" s="814">
        <f t="shared" si="19"/>
        <v>1901.3610000000001</v>
      </c>
      <c r="I61" s="814">
        <f t="shared" si="19"/>
        <v>1949.7350000000001</v>
      </c>
      <c r="J61" s="814">
        <f t="shared" si="19"/>
        <v>4223.1360000000004</v>
      </c>
      <c r="K61" s="814">
        <f t="shared" si="19"/>
        <v>2953.09</v>
      </c>
      <c r="L61" s="814">
        <f t="shared" si="19"/>
        <v>2403.9870000000001</v>
      </c>
      <c r="M61" s="814">
        <f t="shared" si="19"/>
        <v>4616.1710000000003</v>
      </c>
      <c r="N61" s="814">
        <f t="shared" si="19"/>
        <v>2892.8028400000003</v>
      </c>
      <c r="O61" s="814">
        <f t="shared" si="19"/>
        <v>2431.5651600000001</v>
      </c>
      <c r="P61" s="814">
        <f t="shared" si="19"/>
        <v>2286.0569999999998</v>
      </c>
      <c r="Q61" s="814">
        <f t="shared" si="19"/>
        <v>2324.0929999999998</v>
      </c>
      <c r="R61" s="814">
        <f t="shared" si="19"/>
        <v>2328.3689999999997</v>
      </c>
      <c r="S61" s="814">
        <f t="shared" si="19"/>
        <v>2332.3380000000002</v>
      </c>
      <c r="T61" s="814">
        <f t="shared" si="19"/>
        <v>2350.9690000000001</v>
      </c>
      <c r="U61" s="814">
        <f t="shared" si="19"/>
        <v>2517.6840000000002</v>
      </c>
      <c r="V61" s="814">
        <f t="shared" si="19"/>
        <v>2521.4961428571432</v>
      </c>
      <c r="W61" s="814">
        <f t="shared" si="19"/>
        <v>2546.9261428571426</v>
      </c>
      <c r="X61" s="814">
        <f t="shared" si="19"/>
        <v>2557.1089999999999</v>
      </c>
      <c r="Y61" s="814">
        <f t="shared" si="19"/>
        <v>2625.1579999999999</v>
      </c>
      <c r="Z61" s="814">
        <f t="shared" si="19"/>
        <v>2662.8270000000002</v>
      </c>
      <c r="AA61" s="814">
        <f t="shared" si="19"/>
        <v>2705.3140000000003</v>
      </c>
      <c r="AB61" s="814">
        <f t="shared" si="19"/>
        <v>2745.067</v>
      </c>
      <c r="AC61" s="814">
        <f t="shared" si="19"/>
        <v>2836.1039999999998</v>
      </c>
      <c r="AD61" s="814">
        <f t="shared" si="19"/>
        <v>2947.279</v>
      </c>
      <c r="AE61" s="793">
        <f t="shared" ref="AE61" si="20">AE62+AE63</f>
        <v>2927.26</v>
      </c>
      <c r="AF61" s="814"/>
      <c r="AG61" s="353"/>
      <c r="AH61" s="353"/>
      <c r="AI61" s="353"/>
      <c r="AJ61" s="353"/>
      <c r="AK61" s="353"/>
      <c r="AL61" s="353"/>
      <c r="AM61" s="353"/>
      <c r="AN61" s="353"/>
    </row>
    <row r="62" spans="2:40" x14ac:dyDescent="0.35">
      <c r="B62" s="778" t="s">
        <v>1792</v>
      </c>
      <c r="C62" s="268"/>
      <c r="D62" s="776">
        <f t="shared" ref="D62:AE62" si="21">D15+D18+D27</f>
        <v>812.1</v>
      </c>
      <c r="E62" s="776">
        <f t="shared" si="21"/>
        <v>833.1</v>
      </c>
      <c r="F62" s="814">
        <f t="shared" si="21"/>
        <v>845.8</v>
      </c>
      <c r="G62" s="814">
        <f t="shared" si="21"/>
        <v>854.4</v>
      </c>
      <c r="H62" s="814">
        <f t="shared" si="21"/>
        <v>858.7</v>
      </c>
      <c r="I62" s="814">
        <f t="shared" si="21"/>
        <v>874.30000000000007</v>
      </c>
      <c r="J62" s="814">
        <f t="shared" si="21"/>
        <v>1800.8</v>
      </c>
      <c r="K62" s="814">
        <f t="shared" si="21"/>
        <v>1666.6000000000001</v>
      </c>
      <c r="L62" s="814">
        <f t="shared" si="21"/>
        <v>1200.3</v>
      </c>
      <c r="M62" s="814">
        <f t="shared" si="21"/>
        <v>1451.9</v>
      </c>
      <c r="N62" s="814">
        <f t="shared" si="21"/>
        <v>1316.4</v>
      </c>
      <c r="O62" s="814">
        <f t="shared" si="21"/>
        <v>1097</v>
      </c>
      <c r="P62" s="814">
        <f t="shared" si="21"/>
        <v>939.5</v>
      </c>
      <c r="Q62" s="814">
        <f t="shared" si="21"/>
        <v>948.1</v>
      </c>
      <c r="R62" s="814">
        <f t="shared" si="21"/>
        <v>954.8</v>
      </c>
      <c r="S62" s="814">
        <f t="shared" si="21"/>
        <v>968.2</v>
      </c>
      <c r="T62" s="814">
        <f t="shared" si="21"/>
        <v>993.8</v>
      </c>
      <c r="U62" s="814">
        <f t="shared" si="21"/>
        <v>1057.0999999999999</v>
      </c>
      <c r="V62" s="814">
        <f t="shared" si="21"/>
        <v>1081.0571428571429</v>
      </c>
      <c r="W62" s="814">
        <f t="shared" si="21"/>
        <v>1101.257142857143</v>
      </c>
      <c r="X62" s="814">
        <f t="shared" si="21"/>
        <v>1123.0999999999999</v>
      </c>
      <c r="Y62" s="814">
        <f t="shared" si="21"/>
        <v>1138.5999999999999</v>
      </c>
      <c r="Z62" s="814">
        <f t="shared" si="21"/>
        <v>1158.3</v>
      </c>
      <c r="AA62" s="814">
        <f t="shared" si="21"/>
        <v>1182.9000000000001</v>
      </c>
      <c r="AB62" s="814">
        <f t="shared" si="21"/>
        <v>1211.5999999999999</v>
      </c>
      <c r="AC62" s="814">
        <f t="shared" si="21"/>
        <v>1243.6999999999998</v>
      </c>
      <c r="AD62" s="814">
        <f t="shared" si="21"/>
        <v>1277.3</v>
      </c>
      <c r="AE62" s="793">
        <f t="shared" si="21"/>
        <v>1310.0999999999999</v>
      </c>
      <c r="AF62" s="814"/>
      <c r="AG62" s="814"/>
      <c r="AH62" s="814"/>
      <c r="AI62" s="814"/>
      <c r="AJ62" s="814"/>
      <c r="AK62" s="814"/>
      <c r="AL62" s="814"/>
      <c r="AM62" s="814"/>
      <c r="AN62" s="814"/>
    </row>
    <row r="63" spans="2:40" ht="32" customHeight="1" x14ac:dyDescent="0.35">
      <c r="B63" s="779" t="s">
        <v>2055</v>
      </c>
      <c r="C63" s="268"/>
      <c r="D63" s="814">
        <f t="shared" ref="D63:AN63" si="22">D20+D23+D24+D25+D26+D28+D30+D66</f>
        <v>983.86099999999999</v>
      </c>
      <c r="E63" s="814">
        <f t="shared" si="22"/>
        <v>1019.19</v>
      </c>
      <c r="F63" s="814">
        <f t="shared" si="22"/>
        <v>1026.704</v>
      </c>
      <c r="G63" s="814">
        <f t="shared" si="22"/>
        <v>1034.4169999999999</v>
      </c>
      <c r="H63" s="814">
        <f t="shared" si="22"/>
        <v>1042.6610000000001</v>
      </c>
      <c r="I63" s="814">
        <f t="shared" si="22"/>
        <v>1075.4349999999999</v>
      </c>
      <c r="J63" s="814">
        <f t="shared" si="22"/>
        <v>2422.3360000000002</v>
      </c>
      <c r="K63" s="814">
        <f t="shared" si="22"/>
        <v>1286.4899999999998</v>
      </c>
      <c r="L63" s="814">
        <f t="shared" si="22"/>
        <v>1203.6869999999999</v>
      </c>
      <c r="M63" s="814">
        <f t="shared" si="22"/>
        <v>3164.2709999999997</v>
      </c>
      <c r="N63" s="814">
        <f t="shared" si="22"/>
        <v>1576.4028400000002</v>
      </c>
      <c r="O63" s="814">
        <f t="shared" si="22"/>
        <v>1334.5651600000001</v>
      </c>
      <c r="P63" s="814">
        <f t="shared" si="22"/>
        <v>1346.557</v>
      </c>
      <c r="Q63" s="814">
        <f t="shared" si="22"/>
        <v>1375.9929999999999</v>
      </c>
      <c r="R63" s="814">
        <f t="shared" si="22"/>
        <v>1373.569</v>
      </c>
      <c r="S63" s="814">
        <f t="shared" si="22"/>
        <v>1364.1380000000001</v>
      </c>
      <c r="T63" s="814">
        <f t="shared" si="22"/>
        <v>1357.1689999999999</v>
      </c>
      <c r="U63" s="814">
        <f t="shared" si="22"/>
        <v>1460.5840000000001</v>
      </c>
      <c r="V63" s="814">
        <f t="shared" si="22"/>
        <v>1440.4390000000001</v>
      </c>
      <c r="W63" s="814">
        <f t="shared" si="22"/>
        <v>1445.6689999999999</v>
      </c>
      <c r="X63" s="814">
        <f t="shared" si="22"/>
        <v>1434.009</v>
      </c>
      <c r="Y63" s="814">
        <f t="shared" si="22"/>
        <v>1486.558</v>
      </c>
      <c r="Z63" s="814">
        <f t="shared" si="22"/>
        <v>1504.527</v>
      </c>
      <c r="AA63" s="814">
        <f t="shared" si="22"/>
        <v>1522.414</v>
      </c>
      <c r="AB63" s="814">
        <f t="shared" si="22"/>
        <v>1533.4670000000001</v>
      </c>
      <c r="AC63" s="814">
        <f t="shared" si="22"/>
        <v>1592.404</v>
      </c>
      <c r="AD63" s="814">
        <f t="shared" si="22"/>
        <v>1669.979</v>
      </c>
      <c r="AE63" s="793">
        <f>AE20+AE23+AE24+AE25+AE26+AE28+AE30+AE66</f>
        <v>1617.16</v>
      </c>
      <c r="AF63" s="814">
        <f t="shared" si="22"/>
        <v>1618.854</v>
      </c>
      <c r="AG63" s="814">
        <f t="shared" si="22"/>
        <v>1673.8827960000001</v>
      </c>
      <c r="AH63" s="814">
        <f t="shared" si="22"/>
        <v>1686.154796</v>
      </c>
      <c r="AI63" s="814">
        <f t="shared" si="22"/>
        <v>1699.154796</v>
      </c>
      <c r="AJ63" s="814">
        <f t="shared" si="22"/>
        <v>1703.9997960000001</v>
      </c>
      <c r="AK63" s="814">
        <f t="shared" si="22"/>
        <v>1755.5109223080001</v>
      </c>
      <c r="AL63" s="814">
        <f t="shared" si="22"/>
        <v>1768.5109223080001</v>
      </c>
      <c r="AM63" s="814">
        <f t="shared" si="22"/>
        <v>1781.5109223080001</v>
      </c>
      <c r="AN63" s="814">
        <f t="shared" si="22"/>
        <v>1772.8659223080001</v>
      </c>
    </row>
    <row r="64" spans="2:40" ht="17.5" customHeight="1" x14ac:dyDescent="0.35">
      <c r="B64" s="592" t="s">
        <v>764</v>
      </c>
      <c r="C64" s="268"/>
      <c r="D64" s="814">
        <f t="shared" ref="D64:AE64" si="23">D60-D61</f>
        <v>427.03899999999999</v>
      </c>
      <c r="E64" s="814">
        <f t="shared" si="23"/>
        <v>451.51000000000022</v>
      </c>
      <c r="F64" s="814">
        <f t="shared" si="23"/>
        <v>449.19599999999991</v>
      </c>
      <c r="G64" s="814">
        <f t="shared" si="23"/>
        <v>448.2829999999999</v>
      </c>
      <c r="H64" s="814">
        <f t="shared" si="23"/>
        <v>448.1389999999999</v>
      </c>
      <c r="I64" s="814">
        <f t="shared" si="23"/>
        <v>467.26499999999987</v>
      </c>
      <c r="J64" s="814">
        <f t="shared" si="23"/>
        <v>436.0639999999994</v>
      </c>
      <c r="K64" s="814">
        <f t="shared" si="23"/>
        <v>561.10999999999967</v>
      </c>
      <c r="L64" s="814">
        <f t="shared" si="23"/>
        <v>492.71299999999974</v>
      </c>
      <c r="M64" s="814">
        <f t="shared" si="23"/>
        <v>536.62899999999991</v>
      </c>
      <c r="N64" s="814">
        <f t="shared" si="23"/>
        <v>510.29715999999962</v>
      </c>
      <c r="O64" s="814">
        <f t="shared" si="23"/>
        <v>690.33483999999999</v>
      </c>
      <c r="P64" s="814">
        <f t="shared" si="23"/>
        <v>672.24300000000039</v>
      </c>
      <c r="Q64" s="814">
        <f t="shared" si="23"/>
        <v>654.30700000000024</v>
      </c>
      <c r="R64" s="814">
        <f t="shared" si="23"/>
        <v>654.93100000000049</v>
      </c>
      <c r="S64" s="814">
        <f t="shared" si="23"/>
        <v>644.5619999999999</v>
      </c>
      <c r="T64" s="814">
        <f t="shared" si="23"/>
        <v>682.23099999999977</v>
      </c>
      <c r="U64" s="814">
        <f t="shared" si="23"/>
        <v>537.61599999999999</v>
      </c>
      <c r="V64" s="814">
        <f t="shared" si="23"/>
        <v>545.40385714285685</v>
      </c>
      <c r="W64" s="814">
        <f t="shared" si="23"/>
        <v>550.17385714285729</v>
      </c>
      <c r="X64" s="814">
        <f t="shared" si="23"/>
        <v>562.69100000000026</v>
      </c>
      <c r="Y64" s="814">
        <f t="shared" si="23"/>
        <v>617.04199999999992</v>
      </c>
      <c r="Z64" s="814">
        <f t="shared" si="23"/>
        <v>628.17299999999977</v>
      </c>
      <c r="AA64" s="814">
        <f t="shared" si="23"/>
        <v>630.58599999999979</v>
      </c>
      <c r="AB64" s="814">
        <f t="shared" si="23"/>
        <v>648.63299999999981</v>
      </c>
      <c r="AC64" s="814">
        <f t="shared" si="23"/>
        <v>690.39600000000019</v>
      </c>
      <c r="AD64" s="814">
        <f t="shared" si="23"/>
        <v>709.721</v>
      </c>
      <c r="AE64" s="793">
        <f t="shared" si="23"/>
        <v>724.73999999999978</v>
      </c>
      <c r="AF64" s="814">
        <f>AE64*(1.05)^0.25</f>
        <v>733.6341791801018</v>
      </c>
      <c r="AG64" s="814">
        <f t="shared" ref="AG64:AN64" si="24">AF64*(1.05)^0.25</f>
        <v>742.63750981215583</v>
      </c>
      <c r="AH64" s="814">
        <f t="shared" si="24"/>
        <v>751.75133142836864</v>
      </c>
      <c r="AI64" s="814">
        <f t="shared" si="24"/>
        <v>760.97700000000009</v>
      </c>
      <c r="AJ64" s="814">
        <f t="shared" si="24"/>
        <v>770.31588813910719</v>
      </c>
      <c r="AK64" s="814">
        <f t="shared" si="24"/>
        <v>779.76938530276402</v>
      </c>
      <c r="AL64" s="814">
        <f t="shared" si="24"/>
        <v>789.33889799978749</v>
      </c>
      <c r="AM64" s="814">
        <f t="shared" si="24"/>
        <v>799.02585000000045</v>
      </c>
      <c r="AN64" s="814">
        <f t="shared" si="24"/>
        <v>808.83168254606289</v>
      </c>
    </row>
    <row r="65" spans="2:40" x14ac:dyDescent="0.35">
      <c r="B65" s="592" t="s">
        <v>2056</v>
      </c>
      <c r="C65" s="268"/>
      <c r="D65" s="814"/>
      <c r="E65" s="814"/>
      <c r="F65" s="814"/>
      <c r="G65" s="814"/>
      <c r="H65" s="814"/>
      <c r="I65" s="814"/>
      <c r="J65" s="814"/>
      <c r="K65" s="814"/>
      <c r="L65" s="814"/>
      <c r="M65" s="814"/>
      <c r="N65" s="814"/>
      <c r="O65" s="814"/>
      <c r="P65" s="814"/>
      <c r="Q65" s="814"/>
      <c r="R65" s="814"/>
      <c r="S65" s="814"/>
      <c r="T65" s="774">
        <f t="shared" ref="T65:AK65" si="25">(T64/P64)-1</f>
        <v>1.4857722579483035E-2</v>
      </c>
      <c r="U65" s="774">
        <f t="shared" si="25"/>
        <v>-0.17834288797154885</v>
      </c>
      <c r="V65" s="774">
        <f t="shared" si="25"/>
        <v>-0.16723462907870223</v>
      </c>
      <c r="W65" s="774">
        <f t="shared" si="25"/>
        <v>-0.14643764735920306</v>
      </c>
      <c r="X65" s="774">
        <f t="shared" si="25"/>
        <v>-0.17521924392177946</v>
      </c>
      <c r="Y65" s="774">
        <f t="shared" si="25"/>
        <v>0.14773741852921041</v>
      </c>
      <c r="Z65" s="774">
        <f t="shared" si="25"/>
        <v>0.15175753118200497</v>
      </c>
      <c r="AA65" s="774">
        <f t="shared" si="25"/>
        <v>0.14615769508703291</v>
      </c>
      <c r="AB65" s="774">
        <f t="shared" si="25"/>
        <v>0.15273391612803389</v>
      </c>
      <c r="AC65" s="774">
        <f t="shared" si="25"/>
        <v>0.11888007623468133</v>
      </c>
      <c r="AD65" s="774">
        <f t="shared" si="25"/>
        <v>0.1298177412910142</v>
      </c>
      <c r="AE65" s="775">
        <f t="shared" si="25"/>
        <v>0.14931190987430742</v>
      </c>
      <c r="AF65" s="774">
        <f t="shared" si="25"/>
        <v>0.13104664606966043</v>
      </c>
      <c r="AG65" s="774">
        <f t="shared" si="25"/>
        <v>7.5668905689134425E-2</v>
      </c>
      <c r="AH65" s="774">
        <f t="shared" si="25"/>
        <v>5.9220921218857248E-2</v>
      </c>
      <c r="AI65" s="774">
        <f t="shared" si="25"/>
        <v>5.0000000000000488E-2</v>
      </c>
      <c r="AJ65" s="774">
        <f t="shared" si="25"/>
        <v>5.0000000000000488E-2</v>
      </c>
      <c r="AK65" s="774">
        <f t="shared" si="25"/>
        <v>5.0000000000000488E-2</v>
      </c>
      <c r="AL65" s="814"/>
      <c r="AM65" s="814"/>
      <c r="AN65" s="814"/>
    </row>
    <row r="66" spans="2:40" x14ac:dyDescent="0.35">
      <c r="B66" s="679" t="s">
        <v>438</v>
      </c>
      <c r="C66" s="268" t="s">
        <v>439</v>
      </c>
      <c r="D66" s="808">
        <f>'Haver Pivoted'!GO88/1000</f>
        <v>983.86099999999999</v>
      </c>
      <c r="E66" s="808">
        <f>'Haver Pivoted'!GP88/1000</f>
        <v>1019.19</v>
      </c>
      <c r="F66" s="808">
        <f>'Haver Pivoted'!GQ88/1000</f>
        <v>1026.704</v>
      </c>
      <c r="G66" s="808">
        <f>'Haver Pivoted'!GR88/1000</f>
        <v>1034.4169999999999</v>
      </c>
      <c r="H66" s="808">
        <f>'Haver Pivoted'!GS88/1000</f>
        <v>1042.6610000000001</v>
      </c>
      <c r="I66" s="808">
        <f>'Haver Pivoted'!GT88/1000</f>
        <v>1068.44</v>
      </c>
      <c r="J66" s="808">
        <f>'Haver Pivoted'!GU88/1000</f>
        <v>1075.0129999999999</v>
      </c>
      <c r="K66" s="808">
        <f>'Haver Pivoted'!GV88/1000</f>
        <v>1080.2349999999999</v>
      </c>
      <c r="L66" s="808">
        <f>'Haver Pivoted'!GW88/1000</f>
        <v>1088.0239999999999</v>
      </c>
      <c r="M66" s="808">
        <f>'Haver Pivoted'!GX88/1000</f>
        <v>1106.018</v>
      </c>
      <c r="N66" s="808">
        <f>'Haver Pivoted'!GY88/1000</f>
        <v>1109.463</v>
      </c>
      <c r="O66" s="808">
        <f>'Haver Pivoted'!GZ88/1000</f>
        <v>1116.6780000000001</v>
      </c>
      <c r="P66" s="808">
        <f>'Haver Pivoted'!HA88/1000</f>
        <v>1126.241</v>
      </c>
      <c r="Q66" s="808">
        <f>'Haver Pivoted'!HB88/1000</f>
        <v>1199.182</v>
      </c>
      <c r="R66" s="808">
        <f>'Haver Pivoted'!HC88/1000</f>
        <v>1206.8019999999999</v>
      </c>
      <c r="S66" s="808">
        <f>'Haver Pivoted'!HD88/1000</f>
        <v>1214.2470000000001</v>
      </c>
      <c r="T66" s="808">
        <f>'Haver Pivoted'!HE88/1000</f>
        <v>1225.7829999999999</v>
      </c>
      <c r="U66" s="808">
        <f>'Haver Pivoted'!HF88/1000</f>
        <v>1340.874</v>
      </c>
      <c r="V66" s="808">
        <f>'Haver Pivoted'!HG88/1000</f>
        <v>1352.623</v>
      </c>
      <c r="W66" s="808">
        <f>'Haver Pivoted'!HH88/1000</f>
        <v>1359.8879999999999</v>
      </c>
      <c r="X66" s="808">
        <f>'Haver Pivoted'!HI88/1000</f>
        <v>1374.508</v>
      </c>
      <c r="Y66" s="808">
        <f>'Haver Pivoted'!HJ88/1000</f>
        <v>1427.5630000000001</v>
      </c>
      <c r="Z66" s="808">
        <f>'Haver Pivoted'!HK88/1000</f>
        <v>1440.9880000000001</v>
      </c>
      <c r="AA66" s="808">
        <f>'Haver Pivoted'!HL88/1000</f>
        <v>1454.2329999999999</v>
      </c>
      <c r="AB66" s="808">
        <f>'Haver Pivoted'!HM88/1000</f>
        <v>1469.078</v>
      </c>
      <c r="AC66" s="808">
        <f>'Haver Pivoted'!HN88/1000</f>
        <v>1529.8430000000001</v>
      </c>
      <c r="AD66" s="808">
        <f>'Haver Pivoted'!HO88/1000</f>
        <v>1607.5219999999999</v>
      </c>
      <c r="AE66" s="794">
        <f>'Haver Pivoted'!HP88/1000</f>
        <v>1575.4390000000001</v>
      </c>
      <c r="AF66" s="794">
        <f>'Haver Pivoted'!HQ88/1000</f>
        <v>1578.2070000000001</v>
      </c>
      <c r="AG66" s="814">
        <f t="shared" ref="AG66:AN66" si="26">AF66+AG67</f>
        <v>1635.396796</v>
      </c>
      <c r="AH66" s="814">
        <f t="shared" si="26"/>
        <v>1648.396796</v>
      </c>
      <c r="AI66" s="814">
        <f t="shared" si="26"/>
        <v>1661.396796</v>
      </c>
      <c r="AJ66" s="814">
        <f t="shared" si="26"/>
        <v>1674.396796</v>
      </c>
      <c r="AK66" s="814">
        <f t="shared" si="26"/>
        <v>1725.907922308</v>
      </c>
      <c r="AL66" s="814">
        <f t="shared" si="26"/>
        <v>1738.907922308</v>
      </c>
      <c r="AM66" s="814">
        <f t="shared" si="26"/>
        <v>1751.907922308</v>
      </c>
      <c r="AN66" s="814">
        <f t="shared" si="26"/>
        <v>1764.907922308</v>
      </c>
    </row>
    <row r="67" spans="2:40" ht="25.75" customHeight="1" x14ac:dyDescent="0.35">
      <c r="B67" s="529" t="s">
        <v>1753</v>
      </c>
      <c r="C67" s="268"/>
      <c r="D67" s="837"/>
      <c r="E67" s="575"/>
      <c r="F67" s="575"/>
      <c r="G67" s="575"/>
      <c r="H67" s="575"/>
      <c r="I67" s="575"/>
      <c r="J67" s="575"/>
      <c r="K67" s="575"/>
      <c r="L67" s="575"/>
      <c r="M67" s="575"/>
      <c r="N67" s="575"/>
      <c r="O67" s="575"/>
      <c r="P67" s="575"/>
      <c r="Q67" s="575"/>
      <c r="R67" s="575"/>
      <c r="S67" s="824"/>
      <c r="T67" s="824"/>
      <c r="U67" s="824">
        <f t="shared" ref="U67:AN67" si="27">U69+U68</f>
        <v>114.64312099999998</v>
      </c>
      <c r="V67" s="575">
        <f t="shared" si="27"/>
        <v>8</v>
      </c>
      <c r="W67" s="575">
        <f t="shared" si="27"/>
        <v>11</v>
      </c>
      <c r="X67" s="814">
        <f t="shared" si="27"/>
        <v>14</v>
      </c>
      <c r="Y67" s="814">
        <f t="shared" si="27"/>
        <v>52.984256000000002</v>
      </c>
      <c r="Z67" s="814">
        <f t="shared" si="27"/>
        <v>13</v>
      </c>
      <c r="AA67" s="814">
        <f t="shared" si="27"/>
        <v>11</v>
      </c>
      <c r="AB67" s="814">
        <f t="shared" si="27"/>
        <v>14</v>
      </c>
      <c r="AC67" s="814">
        <f t="shared" si="27"/>
        <v>43.726950000000002</v>
      </c>
      <c r="AD67" s="814">
        <f t="shared" si="27"/>
        <v>68.28</v>
      </c>
      <c r="AE67" s="793">
        <v>-29</v>
      </c>
      <c r="AF67" s="814">
        <f>AF69+AF68</f>
        <v>4</v>
      </c>
      <c r="AG67" s="814">
        <f t="shared" si="27"/>
        <v>57.189796000000001</v>
      </c>
      <c r="AH67" s="814">
        <f t="shared" si="27"/>
        <v>13</v>
      </c>
      <c r="AI67" s="814">
        <f t="shared" si="27"/>
        <v>13</v>
      </c>
      <c r="AJ67" s="814">
        <f t="shared" si="27"/>
        <v>13</v>
      </c>
      <c r="AK67" s="814">
        <f t="shared" si="27"/>
        <v>51.511126308000001</v>
      </c>
      <c r="AL67" s="814">
        <f t="shared" si="27"/>
        <v>13</v>
      </c>
      <c r="AM67" s="814">
        <f t="shared" si="27"/>
        <v>13</v>
      </c>
      <c r="AN67" s="814">
        <f t="shared" si="27"/>
        <v>13</v>
      </c>
    </row>
    <row r="68" spans="2:40" ht="37" customHeight="1" x14ac:dyDescent="0.35">
      <c r="B68" s="521" t="s">
        <v>2030</v>
      </c>
      <c r="C68" s="268"/>
      <c r="D68" s="837"/>
      <c r="E68" s="575"/>
      <c r="F68" s="824"/>
      <c r="G68" s="824"/>
      <c r="H68" s="824"/>
      <c r="I68" s="824"/>
      <c r="J68" s="824"/>
      <c r="K68" s="824"/>
      <c r="L68" s="824"/>
      <c r="M68" s="824"/>
      <c r="N68" s="824"/>
      <c r="O68" s="824"/>
      <c r="P68" s="824"/>
      <c r="Q68" s="824"/>
      <c r="R68" s="824"/>
      <c r="S68" s="824"/>
      <c r="T68" s="824"/>
      <c r="U68" s="824">
        <v>8</v>
      </c>
      <c r="V68" s="575">
        <v>8</v>
      </c>
      <c r="W68" s="575">
        <v>11</v>
      </c>
      <c r="X68" s="814">
        <v>14</v>
      </c>
      <c r="Y68" s="814">
        <v>9</v>
      </c>
      <c r="Z68" s="814">
        <v>13</v>
      </c>
      <c r="AA68" s="814">
        <v>11</v>
      </c>
      <c r="AB68" s="814">
        <v>14</v>
      </c>
      <c r="AC68" s="814">
        <v>7</v>
      </c>
      <c r="AD68" s="814">
        <f>158-89.72</f>
        <v>68.28</v>
      </c>
      <c r="AE68" s="793">
        <v>4</v>
      </c>
      <c r="AF68" s="814">
        <v>4</v>
      </c>
      <c r="AG68" s="814">
        <v>13</v>
      </c>
      <c r="AH68" s="814">
        <v>13</v>
      </c>
      <c r="AI68" s="814">
        <v>13</v>
      </c>
      <c r="AJ68" s="814">
        <v>13</v>
      </c>
      <c r="AK68" s="814">
        <v>13</v>
      </c>
      <c r="AL68" s="814">
        <v>13</v>
      </c>
      <c r="AM68" s="814">
        <v>13</v>
      </c>
      <c r="AN68" s="814">
        <v>13</v>
      </c>
    </row>
    <row r="69" spans="2:40" ht="33" customHeight="1" x14ac:dyDescent="0.35">
      <c r="B69" s="773" t="s">
        <v>1752</v>
      </c>
      <c r="C69" s="831"/>
      <c r="D69" s="832"/>
      <c r="E69" s="816"/>
      <c r="F69" s="816"/>
      <c r="G69" s="816"/>
      <c r="H69" s="816"/>
      <c r="I69" s="816"/>
      <c r="J69" s="833"/>
      <c r="K69" s="833"/>
      <c r="L69" s="833"/>
      <c r="M69" s="834"/>
      <c r="N69" s="833"/>
      <c r="O69" s="833"/>
      <c r="P69" s="833"/>
      <c r="Q69" s="834"/>
      <c r="R69" s="833"/>
      <c r="S69" s="833"/>
      <c r="T69" s="833"/>
      <c r="U69" s="833">
        <f t="shared" ref="U69:AN69" si="28">U70*T66</f>
        <v>106.64312099999998</v>
      </c>
      <c r="V69" s="833">
        <f t="shared" si="28"/>
        <v>0</v>
      </c>
      <c r="W69" s="833">
        <f t="shared" si="28"/>
        <v>0</v>
      </c>
      <c r="X69" s="833">
        <f t="shared" si="28"/>
        <v>0</v>
      </c>
      <c r="Y69" s="833">
        <f t="shared" si="28"/>
        <v>43.984256000000002</v>
      </c>
      <c r="Z69" s="833">
        <f t="shared" si="28"/>
        <v>0</v>
      </c>
      <c r="AA69" s="833">
        <f t="shared" si="28"/>
        <v>0</v>
      </c>
      <c r="AB69" s="833">
        <f t="shared" si="28"/>
        <v>0</v>
      </c>
      <c r="AC69" s="833">
        <f t="shared" si="28"/>
        <v>36.726950000000002</v>
      </c>
      <c r="AD69" s="833">
        <f t="shared" si="28"/>
        <v>0</v>
      </c>
      <c r="AE69" s="795">
        <f t="shared" si="28"/>
        <v>0</v>
      </c>
      <c r="AF69" s="833">
        <f t="shared" si="28"/>
        <v>0</v>
      </c>
      <c r="AG69" s="833">
        <f>AG70*AF66</f>
        <v>44.189796000000001</v>
      </c>
      <c r="AH69" s="833">
        <f t="shared" si="28"/>
        <v>0</v>
      </c>
      <c r="AI69" s="833">
        <f t="shared" si="28"/>
        <v>0</v>
      </c>
      <c r="AJ69" s="833">
        <f t="shared" si="28"/>
        <v>0</v>
      </c>
      <c r="AK69" s="833">
        <f t="shared" si="28"/>
        <v>38.511126308000001</v>
      </c>
      <c r="AL69" s="833">
        <f t="shared" si="28"/>
        <v>0</v>
      </c>
      <c r="AM69" s="833">
        <f t="shared" si="28"/>
        <v>0</v>
      </c>
      <c r="AN69" s="833">
        <f t="shared" si="28"/>
        <v>0</v>
      </c>
    </row>
    <row r="70" spans="2:40" ht="49.5" customHeight="1" x14ac:dyDescent="0.35">
      <c r="B70" s="521" t="s">
        <v>1757</v>
      </c>
      <c r="C70" s="268"/>
      <c r="D70" s="837"/>
      <c r="E70" s="575"/>
      <c r="F70" s="575"/>
      <c r="G70" s="575"/>
      <c r="H70" s="575"/>
      <c r="I70" s="816"/>
      <c r="J70" s="816"/>
      <c r="K70" s="816"/>
      <c r="L70" s="816"/>
      <c r="M70" s="816"/>
      <c r="N70" s="816"/>
      <c r="O70" s="816"/>
      <c r="P70" s="816"/>
      <c r="Q70" s="816"/>
      <c r="R70" s="816"/>
      <c r="S70" s="835"/>
      <c r="T70" s="835"/>
      <c r="U70" s="825">
        <v>8.6999999999999994E-2</v>
      </c>
      <c r="V70" s="817">
        <v>0</v>
      </c>
      <c r="W70" s="817">
        <v>0</v>
      </c>
      <c r="X70" s="836">
        <v>0</v>
      </c>
      <c r="Y70" s="836">
        <v>3.2000000000000001E-2</v>
      </c>
      <c r="Z70" s="836">
        <v>0</v>
      </c>
      <c r="AA70" s="836">
        <v>0</v>
      </c>
      <c r="AB70" s="836">
        <v>0</v>
      </c>
      <c r="AC70" s="836">
        <v>2.5000000000000001E-2</v>
      </c>
      <c r="AD70" s="836">
        <v>0</v>
      </c>
      <c r="AE70" s="796">
        <v>0</v>
      </c>
      <c r="AF70" s="836">
        <v>0</v>
      </c>
      <c r="AG70" s="836">
        <v>2.8000000000000001E-2</v>
      </c>
      <c r="AH70" s="836">
        <v>0</v>
      </c>
      <c r="AI70" s="836">
        <v>0</v>
      </c>
      <c r="AJ70" s="836">
        <v>0</v>
      </c>
      <c r="AK70" s="836">
        <v>2.3E-2</v>
      </c>
      <c r="AL70" s="836">
        <v>0</v>
      </c>
      <c r="AM70" s="836">
        <v>0</v>
      </c>
      <c r="AN70" s="836">
        <v>0</v>
      </c>
    </row>
    <row r="71" spans="2:40" ht="25.75" customHeight="1" x14ac:dyDescent="0.35">
      <c r="B71" s="399" t="s">
        <v>1801</v>
      </c>
      <c r="C71" s="268"/>
      <c r="D71" s="360"/>
      <c r="E71" s="360"/>
      <c r="F71" s="360"/>
      <c r="G71" s="360"/>
      <c r="H71" s="360"/>
      <c r="I71" s="360"/>
      <c r="J71" s="360"/>
      <c r="K71" s="360"/>
      <c r="L71" s="360"/>
      <c r="M71" s="360"/>
      <c r="N71" s="360"/>
      <c r="O71" s="360"/>
      <c r="P71" s="360"/>
      <c r="Q71" s="119">
        <f>Deflators!Q70</f>
        <v>0</v>
      </c>
      <c r="R71" s="119">
        <f>Deflators!R70</f>
        <v>0</v>
      </c>
      <c r="S71" s="119">
        <f>Deflators!S70</f>
        <v>0</v>
      </c>
      <c r="T71" s="119">
        <f>Deflators!T70</f>
        <v>4.0259931464399212E-2</v>
      </c>
      <c r="U71" s="119">
        <f>Deflators!U70</f>
        <v>3.8933152952830063E-2</v>
      </c>
      <c r="V71" s="119">
        <f>Deflators!V70</f>
        <v>2.9865927044963492E-2</v>
      </c>
      <c r="W71" s="119">
        <f>Deflators!W70</f>
        <v>2.7167320593522115E-2</v>
      </c>
      <c r="X71" s="119">
        <f>Deflators!X70</f>
        <v>1.8185856319789862E-2</v>
      </c>
      <c r="Y71" s="119">
        <f>Deflators!Y70</f>
        <v>3.5869610415388831E-2</v>
      </c>
      <c r="Z71" s="119">
        <f>Deflators!Z70</f>
        <v>2.5933349158767216E-2</v>
      </c>
      <c r="AA71" s="119">
        <f>Deflators!AA70</f>
        <v>1.6938938133721271E-2</v>
      </c>
      <c r="AB71" s="119">
        <f>Deflators!AB70</f>
        <v>2.5213685811587672E-2</v>
      </c>
      <c r="AC71" s="119">
        <f>Deflators!AC70</f>
        <v>3.4315401055778016E-2</v>
      </c>
      <c r="AD71" s="119">
        <f>Deflators!AD70</f>
        <v>2.1303794538540588E-2</v>
      </c>
      <c r="AE71" s="797">
        <f>Deflators!AE70</f>
        <v>2.7405779028799371E-2</v>
      </c>
      <c r="AF71" s="119">
        <f>Deflators!AF70</f>
        <v>2.855378731984537E-2</v>
      </c>
      <c r="AG71" s="119">
        <f>Deflators!AG70</f>
        <v>2.9531956897792533E-2</v>
      </c>
      <c r="AH71" s="119">
        <f>Deflators!AH70</f>
        <v>2.7783100781153536E-2</v>
      </c>
      <c r="AI71" s="119">
        <f>Deflators!AI70</f>
        <v>2.632046566061419E-2</v>
      </c>
      <c r="AJ71" s="119">
        <f>Deflators!AJ70</f>
        <v>2.4502721609652056E-2</v>
      </c>
      <c r="AK71" s="119">
        <f>Deflators!AK70</f>
        <v>2.3711694719535714E-2</v>
      </c>
      <c r="AL71" s="119">
        <f>Deflators!AL70</f>
        <v>2.3109454857497935E-2</v>
      </c>
      <c r="AM71" s="119">
        <f>Deflators!AM70</f>
        <v>2.2634200570029295E-2</v>
      </c>
      <c r="AN71" s="119">
        <f>Deflators!AN70</f>
        <v>2.2234548761409956E-2</v>
      </c>
    </row>
    <row r="72" spans="2:40" ht="17.5" customHeight="1" x14ac:dyDescent="0.35">
      <c r="B72" s="356"/>
      <c r="C72" s="268"/>
      <c r="S72" s="360"/>
      <c r="T72" s="360"/>
      <c r="U72" s="360"/>
      <c r="V72" s="360"/>
      <c r="W72" s="360"/>
      <c r="X72" s="360"/>
      <c r="Y72" s="360"/>
      <c r="Z72" s="360"/>
      <c r="AA72" s="360"/>
      <c r="AB72" s="360"/>
      <c r="AC72" s="360"/>
      <c r="AD72" s="633"/>
    </row>
    <row r="73" spans="2:40" ht="17.5" customHeight="1" x14ac:dyDescent="0.35">
      <c r="B73" s="356"/>
      <c r="C73" s="268"/>
      <c r="S73" s="360"/>
      <c r="T73" s="360"/>
      <c r="U73" s="360"/>
      <c r="V73" s="360"/>
      <c r="W73" s="360"/>
      <c r="X73" s="360"/>
      <c r="Y73" s="360"/>
      <c r="Z73" s="360"/>
      <c r="AA73" s="360"/>
      <c r="AB73" s="360"/>
      <c r="AC73" s="360"/>
      <c r="AD73" s="633"/>
    </row>
    <row r="74" spans="2:40" ht="17.5" customHeight="1" x14ac:dyDescent="0.35">
      <c r="B74" s="268"/>
      <c r="C74" s="268"/>
      <c r="S74" s="268"/>
      <c r="T74" s="268"/>
      <c r="U74" s="575"/>
      <c r="V74" s="575"/>
      <c r="W74" s="575"/>
      <c r="X74" s="575"/>
      <c r="Y74" s="575"/>
      <c r="Z74" s="575"/>
      <c r="AA74" s="575"/>
      <c r="AB74" s="575"/>
      <c r="AC74" s="575"/>
      <c r="AD74" s="633"/>
    </row>
    <row r="75" spans="2:40" ht="30.65" customHeight="1" x14ac:dyDescent="0.35">
      <c r="B75" s="356"/>
      <c r="C75" s="268"/>
      <c r="S75" s="268"/>
      <c r="T75" s="268"/>
      <c r="U75" s="575"/>
      <c r="V75" s="575"/>
      <c r="W75" s="575"/>
      <c r="X75" s="575"/>
      <c r="Y75" s="575"/>
      <c r="Z75" s="575"/>
      <c r="AA75" s="575"/>
      <c r="AB75" s="575"/>
      <c r="AC75" s="575"/>
      <c r="AD75" s="633"/>
    </row>
    <row r="76" spans="2:40" ht="39" customHeight="1" x14ac:dyDescent="0.35">
      <c r="B76" s="356"/>
      <c r="C76" s="268"/>
      <c r="S76" s="268"/>
      <c r="T76" s="268"/>
      <c r="U76" s="360"/>
      <c r="V76" s="360"/>
      <c r="W76" s="360"/>
      <c r="X76" s="360"/>
      <c r="Y76" s="360"/>
      <c r="Z76" s="360"/>
      <c r="AA76" s="360"/>
      <c r="AB76" s="360"/>
      <c r="AC76" s="360"/>
      <c r="AD76" s="633"/>
    </row>
    <row r="77" spans="2:40" ht="29.5" customHeight="1" x14ac:dyDescent="0.35">
      <c r="B77" s="356"/>
      <c r="C77" s="268"/>
      <c r="S77" s="268"/>
      <c r="T77" s="268"/>
      <c r="U77" s="826"/>
      <c r="V77" s="826"/>
      <c r="W77" s="826"/>
      <c r="X77" s="826"/>
      <c r="Y77" s="826"/>
      <c r="Z77" s="826"/>
      <c r="AA77" s="826"/>
      <c r="AB77" s="826"/>
      <c r="AC77" s="826"/>
      <c r="AD77" s="633"/>
    </row>
    <row r="78" spans="2:40" ht="16.75" customHeight="1" x14ac:dyDescent="0.35">
      <c r="B78" s="268"/>
      <c r="C78" s="268"/>
      <c r="S78" s="360"/>
      <c r="T78" s="360"/>
      <c r="U78" s="360"/>
      <c r="V78" s="360"/>
      <c r="W78" s="360"/>
      <c r="X78" s="360"/>
      <c r="Y78" s="360"/>
      <c r="Z78" s="360"/>
      <c r="AA78" s="360"/>
      <c r="AB78" s="360"/>
      <c r="AC78" s="360"/>
      <c r="AD78" s="633"/>
    </row>
    <row r="79" spans="2:40" ht="16.75" customHeight="1" x14ac:dyDescent="0.35">
      <c r="B79" s="399"/>
      <c r="C79" s="268"/>
      <c r="D79" s="360"/>
      <c r="E79" s="360"/>
      <c r="F79" s="360"/>
      <c r="G79" s="360"/>
      <c r="H79" s="360"/>
      <c r="I79" s="360"/>
      <c r="J79" s="360"/>
      <c r="K79" s="360"/>
      <c r="L79" s="360"/>
      <c r="M79" s="360"/>
      <c r="N79" s="360"/>
      <c r="O79" s="360"/>
      <c r="P79" s="360"/>
      <c r="Q79" s="360"/>
      <c r="R79" s="360"/>
      <c r="S79" s="360"/>
      <c r="T79" s="360"/>
      <c r="U79" s="360"/>
      <c r="V79" s="360"/>
      <c r="W79" s="360"/>
      <c r="X79" s="360"/>
      <c r="Y79" s="360"/>
      <c r="Z79" s="360"/>
      <c r="AA79" s="360"/>
      <c r="AB79" s="360"/>
      <c r="AC79" s="360"/>
    </row>
    <row r="80" spans="2:40" ht="16.75" customHeight="1" x14ac:dyDescent="0.35">
      <c r="B80" s="399"/>
      <c r="C80" s="268"/>
      <c r="D80" s="360"/>
      <c r="E80" s="360"/>
      <c r="F80" s="360"/>
      <c r="G80" s="360"/>
      <c r="H80" s="360"/>
      <c r="I80" s="360"/>
      <c r="J80" s="360"/>
      <c r="K80" s="360"/>
      <c r="L80" s="360"/>
      <c r="M80" s="360"/>
      <c r="N80" s="360"/>
      <c r="O80" s="360"/>
      <c r="P80" s="360"/>
      <c r="Q80" s="360"/>
      <c r="R80" s="360"/>
      <c r="S80" s="360"/>
      <c r="T80" s="360"/>
      <c r="U80" s="360"/>
      <c r="V80" s="360"/>
      <c r="W80" s="360"/>
      <c r="X80" s="360"/>
      <c r="Y80" s="360"/>
      <c r="Z80" s="360"/>
      <c r="AA80" s="360"/>
      <c r="AB80" s="360"/>
      <c r="AC80" s="360"/>
    </row>
    <row r="81" spans="2:29" ht="16.75" customHeight="1" x14ac:dyDescent="0.35">
      <c r="B81" s="810"/>
      <c r="C81" s="811">
        <v>2016</v>
      </c>
      <c r="D81" s="812">
        <f>C81+1</f>
        <v>2017</v>
      </c>
      <c r="E81" s="812">
        <f t="shared" ref="E81:R81" si="29">D81+1</f>
        <v>2018</v>
      </c>
      <c r="F81" s="812">
        <f t="shared" si="29"/>
        <v>2019</v>
      </c>
      <c r="G81" s="812">
        <f t="shared" si="29"/>
        <v>2020</v>
      </c>
      <c r="H81" s="812">
        <f t="shared" si="29"/>
        <v>2021</v>
      </c>
      <c r="I81" s="812">
        <f t="shared" si="29"/>
        <v>2022</v>
      </c>
      <c r="J81" s="812">
        <f t="shared" si="29"/>
        <v>2023</v>
      </c>
      <c r="K81" s="812">
        <f t="shared" si="29"/>
        <v>2024</v>
      </c>
      <c r="L81" s="812">
        <f t="shared" si="29"/>
        <v>2025</v>
      </c>
      <c r="M81" s="812">
        <f t="shared" si="29"/>
        <v>2026</v>
      </c>
      <c r="N81" s="812">
        <f t="shared" si="29"/>
        <v>2027</v>
      </c>
      <c r="O81" s="812">
        <f t="shared" si="29"/>
        <v>2028</v>
      </c>
      <c r="P81" s="812">
        <f t="shared" si="29"/>
        <v>2029</v>
      </c>
      <c r="Q81" s="812">
        <f t="shared" si="29"/>
        <v>2030</v>
      </c>
      <c r="R81" s="812">
        <f t="shared" si="29"/>
        <v>2031</v>
      </c>
      <c r="S81" s="360"/>
      <c r="T81" s="360"/>
      <c r="U81" s="360"/>
      <c r="V81" s="360"/>
      <c r="W81" s="360"/>
      <c r="X81" s="360"/>
      <c r="Y81" s="360"/>
      <c r="Z81" s="360"/>
      <c r="AA81" s="360"/>
      <c r="AB81" s="360"/>
      <c r="AC81" s="360"/>
    </row>
    <row r="82" spans="2:29" ht="16.75" customHeight="1" x14ac:dyDescent="0.35">
      <c r="B82" s="815" t="s">
        <v>2035</v>
      </c>
      <c r="C82">
        <v>910.3</v>
      </c>
      <c r="D82">
        <v>939.2</v>
      </c>
      <c r="E82">
        <v>982</v>
      </c>
      <c r="F82">
        <v>1038.5</v>
      </c>
      <c r="G82">
        <v>1089.9000000000001</v>
      </c>
      <c r="H82">
        <v>1128.8</v>
      </c>
      <c r="I82">
        <v>1212.5</v>
      </c>
      <c r="J82">
        <v>1348</v>
      </c>
      <c r="K82">
        <v>1454.424</v>
      </c>
      <c r="L82" s="772">
        <v>1575</v>
      </c>
      <c r="M82" s="772">
        <v>1666</v>
      </c>
      <c r="N82" s="772">
        <v>1769</v>
      </c>
      <c r="O82" s="772">
        <v>1875</v>
      </c>
      <c r="P82" s="772">
        <v>1979</v>
      </c>
      <c r="Q82" s="772">
        <v>2083</v>
      </c>
      <c r="R82" s="772">
        <v>2190</v>
      </c>
      <c r="S82" s="388">
        <v>2298</v>
      </c>
      <c r="T82" s="388">
        <v>2409</v>
      </c>
      <c r="U82" s="388">
        <v>2519</v>
      </c>
      <c r="V82" s="360">
        <v>2632</v>
      </c>
      <c r="W82" s="360">
        <v>2747</v>
      </c>
      <c r="X82" s="360"/>
      <c r="Y82" s="360"/>
      <c r="Z82" s="360"/>
      <c r="AA82" s="360"/>
      <c r="AB82" s="360"/>
      <c r="AC82" s="360"/>
    </row>
    <row r="83" spans="2:29" ht="16.75" customHeight="1" x14ac:dyDescent="0.35">
      <c r="B83" s="506" t="s">
        <v>1913</v>
      </c>
      <c r="C83">
        <v>890.39374999999995</v>
      </c>
      <c r="D83">
        <v>918.71375</v>
      </c>
      <c r="E83">
        <v>960.61400000000003</v>
      </c>
      <c r="F83">
        <v>1016.043</v>
      </c>
      <c r="G83">
        <v>1066.5944999999999</v>
      </c>
      <c r="H83">
        <v>1105.0552499999999</v>
      </c>
      <c r="I83">
        <v>1186.6424999999999</v>
      </c>
      <c r="J83">
        <v>1319.8822500000001</v>
      </c>
      <c r="K83">
        <v>1423.3489999999999</v>
      </c>
      <c r="L83" s="388">
        <f>AVERAGE(AB66:AE66)</f>
        <v>1545.4705000000001</v>
      </c>
      <c r="M83" s="388">
        <f>AVERAGE(AF66:AI66)</f>
        <v>1630.8493470000001</v>
      </c>
      <c r="N83" s="388">
        <f>AVERAGE(AJ66:AM66)</f>
        <v>1722.7801407309998</v>
      </c>
      <c r="S83" s="360"/>
      <c r="T83" s="360"/>
      <c r="U83" s="360"/>
      <c r="V83" s="360"/>
      <c r="W83" s="360"/>
      <c r="X83" s="360"/>
      <c r="Y83" s="360"/>
      <c r="Z83" s="360"/>
      <c r="AA83" s="360"/>
      <c r="AB83" s="360"/>
      <c r="AC83" s="360"/>
    </row>
    <row r="84" spans="2:29" ht="16.75" customHeight="1" x14ac:dyDescent="0.35">
      <c r="B84" s="399" t="s">
        <v>1914</v>
      </c>
      <c r="C84" s="268">
        <f>C83/C82</f>
        <v>0.97813220916181476</v>
      </c>
      <c r="D84" s="268">
        <f t="shared" ref="D84:M84" si="30">D83/D82</f>
        <v>0.97818755323679718</v>
      </c>
      <c r="E84" s="268">
        <f t="shared" si="30"/>
        <v>0.97822199592668024</v>
      </c>
      <c r="F84" s="268">
        <f t="shared" si="30"/>
        <v>0.97837554164660567</v>
      </c>
      <c r="G84" s="268">
        <f t="shared" si="30"/>
        <v>0.97861684558216333</v>
      </c>
      <c r="H84" s="268">
        <f t="shared" si="30"/>
        <v>0.9789646084337349</v>
      </c>
      <c r="I84" s="268">
        <f t="shared" si="30"/>
        <v>0.97867422680412364</v>
      </c>
      <c r="J84" s="268">
        <f t="shared" si="30"/>
        <v>0.97914113501483691</v>
      </c>
      <c r="K84" s="268">
        <f t="shared" si="30"/>
        <v>0.97863415345181315</v>
      </c>
      <c r="L84" s="268">
        <f t="shared" si="30"/>
        <v>0.98125111111111119</v>
      </c>
      <c r="M84" s="268">
        <f t="shared" si="30"/>
        <v>0.97890116866746701</v>
      </c>
      <c r="N84" s="268">
        <f>N83/N82</f>
        <v>0.97387232375975119</v>
      </c>
      <c r="P84" s="360"/>
      <c r="Q84" s="360"/>
      <c r="R84" s="360"/>
      <c r="S84" s="360"/>
      <c r="T84" s="360"/>
      <c r="U84" s="360"/>
      <c r="V84" s="360"/>
      <c r="W84" s="360"/>
      <c r="X84" s="360"/>
      <c r="Y84" s="360"/>
      <c r="Z84" s="360"/>
      <c r="AA84" s="360"/>
      <c r="AB84" s="360"/>
      <c r="AC84" s="360"/>
    </row>
    <row r="85" spans="2:29" ht="22.5" customHeight="1" x14ac:dyDescent="0.35">
      <c r="I85" s="268"/>
      <c r="J85" s="268"/>
      <c r="K85" s="268"/>
      <c r="L85" s="268">
        <f>L82*$K$84</f>
        <v>1541.3487916866056</v>
      </c>
      <c r="M85" s="268">
        <f t="shared" ref="M85:N85" si="31">M82*$K$84</f>
        <v>1630.4044996507207</v>
      </c>
      <c r="N85" s="268">
        <f t="shared" si="31"/>
        <v>1731.2038174562574</v>
      </c>
      <c r="P85" s="268"/>
    </row>
    <row r="86" spans="2:29" ht="22.5" customHeight="1" x14ac:dyDescent="0.35">
      <c r="L86" s="81">
        <f>L85-L83</f>
        <v>-4.1217083133944925</v>
      </c>
      <c r="M86" s="81">
        <f t="shared" ref="M86:N86" si="32">M85-M83</f>
        <v>-0.44484734927937097</v>
      </c>
      <c r="N86" s="81">
        <f t="shared" si="32"/>
        <v>8.4236767252575646</v>
      </c>
      <c r="R86" s="633"/>
    </row>
    <row r="87" spans="2:29" ht="38.5" customHeight="1" x14ac:dyDescent="0.35"/>
    <row r="88" spans="2:29" ht="38.5" customHeight="1" x14ac:dyDescent="0.35">
      <c r="C88" t="e">
        <f t="shared" ref="C88:M88" si="33">C82/B82-1</f>
        <v>#VALUE!</v>
      </c>
      <c r="D88">
        <f t="shared" si="33"/>
        <v>3.1747775458640159E-2</v>
      </c>
      <c r="E88">
        <f t="shared" si="33"/>
        <v>4.557069846678008E-2</v>
      </c>
      <c r="F88">
        <f t="shared" si="33"/>
        <v>5.7535641547861616E-2</v>
      </c>
      <c r="G88">
        <f t="shared" si="33"/>
        <v>4.9494463168030967E-2</v>
      </c>
      <c r="H88">
        <f t="shared" si="33"/>
        <v>3.5691347830075992E-2</v>
      </c>
      <c r="I88">
        <f t="shared" si="33"/>
        <v>7.4149539333805858E-2</v>
      </c>
      <c r="J88">
        <f t="shared" si="33"/>
        <v>0.11175257731958754</v>
      </c>
      <c r="K88">
        <f t="shared" si="33"/>
        <v>7.8949554896142526E-2</v>
      </c>
      <c r="L88">
        <f t="shared" si="33"/>
        <v>8.2902922394019862E-2</v>
      </c>
      <c r="M88">
        <f t="shared" si="33"/>
        <v>5.7777777777777706E-2</v>
      </c>
      <c r="N88">
        <f>N82/M82-1</f>
        <v>6.1824729891956753E-2</v>
      </c>
    </row>
    <row r="89" spans="2:29" ht="38.5" customHeight="1" x14ac:dyDescent="0.35"/>
    <row r="90" spans="2:29" ht="69" customHeight="1" x14ac:dyDescent="0.35"/>
    <row r="95" spans="2:29" ht="13.4" customHeight="1" x14ac:dyDescent="0.35"/>
    <row r="99" ht="27.65" customHeight="1" x14ac:dyDescent="0.35"/>
  </sheetData>
  <mergeCells count="36">
    <mergeCell ref="AG8:AN8"/>
    <mergeCell ref="AC8:AF8"/>
    <mergeCell ref="AG45:AN45"/>
    <mergeCell ref="AG57:AN57"/>
    <mergeCell ref="B11:C11"/>
    <mergeCell ref="B35:C35"/>
    <mergeCell ref="B44:AC44"/>
    <mergeCell ref="B45:C47"/>
    <mergeCell ref="AG9:AJ9"/>
    <mergeCell ref="AK9:AN9"/>
    <mergeCell ref="D45:AB45"/>
    <mergeCell ref="E46:H46"/>
    <mergeCell ref="I46:L46"/>
    <mergeCell ref="M46:P46"/>
    <mergeCell ref="Q46:T46"/>
    <mergeCell ref="AC46:AF46"/>
    <mergeCell ref="B1:AC1"/>
    <mergeCell ref="B2:AC6"/>
    <mergeCell ref="D8:AB8"/>
    <mergeCell ref="E9:H9"/>
    <mergeCell ref="I9:L9"/>
    <mergeCell ref="M9:P9"/>
    <mergeCell ref="Q9:T9"/>
    <mergeCell ref="U9:X9"/>
    <mergeCell ref="AC9:AF9"/>
    <mergeCell ref="AG46:AJ46"/>
    <mergeCell ref="AK46:AN46"/>
    <mergeCell ref="B57:C59"/>
    <mergeCell ref="D57:AB57"/>
    <mergeCell ref="E58:H58"/>
    <mergeCell ref="I58:L58"/>
    <mergeCell ref="M58:P58"/>
    <mergeCell ref="Q58:T58"/>
    <mergeCell ref="AC58:AF58"/>
    <mergeCell ref="AG58:AJ58"/>
    <mergeCell ref="AK58:AN58"/>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95" t="s">
        <v>428</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row>
    <row r="2" spans="2:40" ht="34.5" hidden="1" customHeight="1" outlineLevel="1" x14ac:dyDescent="0.35">
      <c r="B2" s="1426" t="s">
        <v>817</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row>
    <row r="3" spans="2:40" ht="3" hidden="1" customHeight="1" outlineLevel="1"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row>
    <row r="4" spans="2:40" ht="10.4" hidden="1" customHeight="1" outlineLevel="1"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row>
    <row r="5" spans="2:40" ht="14.25" hidden="1" customHeight="1" outlineLevel="1" x14ac:dyDescent="0.35">
      <c r="B5" s="1388"/>
      <c r="C5" s="1388"/>
      <c r="D5" s="1388"/>
      <c r="E5" s="1388"/>
      <c r="F5" s="1388"/>
      <c r="G5" s="1388"/>
      <c r="H5" s="1388"/>
      <c r="I5" s="1388"/>
      <c r="J5" s="1388"/>
      <c r="K5" s="1388"/>
      <c r="L5" s="1388"/>
      <c r="M5" s="1388"/>
      <c r="N5" s="1388"/>
      <c r="O5" s="1388"/>
      <c r="P5" s="1388"/>
      <c r="Q5" s="1388"/>
      <c r="R5" s="1388"/>
      <c r="S5" s="1388"/>
      <c r="T5" s="1388"/>
      <c r="U5" s="1388"/>
      <c r="V5" s="1388"/>
      <c r="W5" s="1388"/>
      <c r="X5" s="1388"/>
      <c r="Y5" s="1388"/>
      <c r="Z5" s="1388"/>
      <c r="AA5" s="1388"/>
      <c r="AB5" s="1388"/>
      <c r="AC5" s="1388"/>
    </row>
    <row r="6" spans="2:40" ht="14.25" hidden="1" customHeight="1" outlineLevel="1" x14ac:dyDescent="0.35">
      <c r="B6" s="1388"/>
      <c r="C6" s="1388"/>
      <c r="D6" s="1388"/>
      <c r="E6" s="1388"/>
      <c r="F6" s="1388"/>
      <c r="G6" s="1388"/>
      <c r="H6" s="1388"/>
      <c r="I6" s="1388"/>
      <c r="J6" s="1388"/>
      <c r="K6" s="1388"/>
      <c r="L6" s="1388"/>
      <c r="M6" s="1388"/>
      <c r="N6" s="1388"/>
      <c r="O6" s="1388"/>
      <c r="P6" s="1388"/>
      <c r="Q6" s="1388"/>
      <c r="R6" s="1388"/>
      <c r="S6" s="1388"/>
      <c r="T6" s="1388"/>
      <c r="U6" s="1388"/>
      <c r="V6" s="1388"/>
      <c r="W6" s="1388"/>
      <c r="X6" s="1388"/>
      <c r="Y6" s="1388"/>
      <c r="Z6" s="1388"/>
      <c r="AA6" s="1388"/>
      <c r="AB6" s="1388"/>
      <c r="AC6" s="1388"/>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09" t="s">
        <v>246</v>
      </c>
      <c r="E8" s="1410"/>
      <c r="F8" s="1410"/>
      <c r="G8" s="1410"/>
      <c r="H8" s="1410"/>
      <c r="I8" s="1410"/>
      <c r="J8" s="1410"/>
      <c r="K8" s="1410"/>
      <c r="L8" s="1410"/>
      <c r="M8" s="1410"/>
      <c r="N8" s="1410"/>
      <c r="O8" s="1410"/>
      <c r="P8" s="1410"/>
      <c r="Q8" s="1410"/>
      <c r="R8" s="1410"/>
      <c r="S8" s="1410"/>
      <c r="T8" s="1410"/>
      <c r="U8" s="1410"/>
      <c r="V8" s="1410"/>
      <c r="W8" s="1410"/>
      <c r="X8" s="1410"/>
      <c r="Y8" s="1410"/>
      <c r="Z8" s="1410"/>
      <c r="AA8" s="1410"/>
      <c r="AB8" s="1411"/>
      <c r="AC8" s="1440" t="s">
        <v>247</v>
      </c>
      <c r="AD8" s="1441"/>
      <c r="AE8" s="1441"/>
      <c r="AF8" s="1441"/>
      <c r="AG8" s="1441"/>
      <c r="AH8" s="1441"/>
      <c r="AI8" s="1441"/>
      <c r="AJ8" s="1441"/>
      <c r="AK8" s="1441"/>
      <c r="AL8" s="1441"/>
      <c r="AM8" s="1441"/>
      <c r="AN8" s="1442"/>
    </row>
    <row r="9" spans="2:40" ht="14.9" customHeight="1" x14ac:dyDescent="0.35">
      <c r="B9" s="829"/>
      <c r="C9" s="830"/>
      <c r="D9" s="249">
        <v>2018</v>
      </c>
      <c r="E9" s="1398">
        <v>2019</v>
      </c>
      <c r="F9" s="1399"/>
      <c r="G9" s="1399"/>
      <c r="H9" s="1400"/>
      <c r="I9" s="1398">
        <v>2020</v>
      </c>
      <c r="J9" s="1399"/>
      <c r="K9" s="1399"/>
      <c r="L9" s="1399"/>
      <c r="M9" s="1398">
        <v>2021</v>
      </c>
      <c r="N9" s="1399"/>
      <c r="O9" s="1399"/>
      <c r="P9" s="1399"/>
      <c r="Q9" s="1398">
        <v>2022</v>
      </c>
      <c r="R9" s="1399"/>
      <c r="S9" s="1399"/>
      <c r="T9" s="1400"/>
      <c r="U9" s="1398">
        <v>2023</v>
      </c>
      <c r="V9" s="1399"/>
      <c r="W9" s="1399"/>
      <c r="X9" s="1400"/>
      <c r="Y9" s="80"/>
      <c r="Z9" s="277">
        <v>2024</v>
      </c>
      <c r="AA9" s="277"/>
      <c r="AB9" s="279"/>
      <c r="AC9" s="1412">
        <v>2025</v>
      </c>
      <c r="AD9" s="1424"/>
      <c r="AE9" s="1424"/>
      <c r="AF9" s="1424"/>
      <c r="AG9" s="1412">
        <v>2026</v>
      </c>
      <c r="AH9" s="1424"/>
      <c r="AI9" s="1424"/>
      <c r="AJ9" s="1414"/>
      <c r="AK9" s="1412">
        <v>2027</v>
      </c>
      <c r="AL9" s="1424"/>
      <c r="AM9" s="1424"/>
      <c r="AN9" s="1414"/>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69"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496" t="s">
        <v>429</v>
      </c>
      <c r="C11" s="1497"/>
      <c r="D11" s="780"/>
      <c r="E11" s="781"/>
      <c r="F11" s="781"/>
      <c r="G11" s="781"/>
      <c r="H11" s="422"/>
      <c r="I11" s="422"/>
      <c r="J11" s="422"/>
      <c r="K11" s="422"/>
      <c r="L11" s="422"/>
      <c r="M11" s="689"/>
      <c r="N11" s="689"/>
      <c r="O11" s="689"/>
      <c r="P11" s="422"/>
      <c r="Q11" s="422"/>
      <c r="R11" s="422"/>
      <c r="S11" s="422"/>
      <c r="T11" s="422"/>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'[1]Haver Pivoted'!GO31</f>
        <v>2223</v>
      </c>
      <c r="E12" s="606">
        <f>'[1]Haver Pivoted'!GP31</f>
        <v>2303.8000000000002</v>
      </c>
      <c r="F12" s="606">
        <f>'[1]Haver Pivoted'!GQ31</f>
        <v>2321.6999999999998</v>
      </c>
      <c r="G12" s="606">
        <f>'[1]Haver Pivoted'!GR31</f>
        <v>2337.1</v>
      </c>
      <c r="H12" s="606">
        <f>'[1]Haver Pivoted'!GS31</f>
        <v>2349.5</v>
      </c>
      <c r="I12" s="606">
        <f>'[1]Haver Pivoted'!GT31</f>
        <v>2414.4</v>
      </c>
      <c r="J12" s="606">
        <f>'[1]Haver Pivoted'!GU31</f>
        <v>4654.1000000000004</v>
      </c>
      <c r="K12" s="606">
        <f>'[1]Haver Pivoted'!GV31</f>
        <v>3504.7</v>
      </c>
      <c r="L12" s="606">
        <f>'[1]Haver Pivoted'!GW31</f>
        <v>2888.4</v>
      </c>
      <c r="M12" s="606">
        <f>'[1]Haver Pivoted'!GX31</f>
        <v>5138.1000000000004</v>
      </c>
      <c r="N12" s="606">
        <f>'[1]Haver Pivoted'!GY31</f>
        <v>3397.8</v>
      </c>
      <c r="O12" s="606">
        <f>'[1]Haver Pivoted'!GZ31</f>
        <v>3124.9</v>
      </c>
      <c r="P12" s="606">
        <f>'[1]Haver Pivoted'!HA31</f>
        <v>2952.6</v>
      </c>
      <c r="Q12" s="606">
        <f>'[1]Haver Pivoted'!HB31</f>
        <v>2970.9</v>
      </c>
      <c r="R12" s="606">
        <f>'[1]Haver Pivoted'!HC31</f>
        <v>2976.2</v>
      </c>
      <c r="S12" s="782">
        <f>'[1]Haver Pivoted'!HD31</f>
        <v>2970.4</v>
      </c>
      <c r="T12" s="782">
        <f>'[1]Haver Pivoted'!HE31</f>
        <v>3024.4</v>
      </c>
      <c r="U12" s="782">
        <f>'[1]Haver Pivoted'!HF31</f>
        <v>3038.4</v>
      </c>
      <c r="V12" s="782">
        <f>'[1]Haver Pivoted'!HG31</f>
        <v>3049.1</v>
      </c>
      <c r="W12" s="782">
        <f>'[1]Haver Pivoted'!HH31</f>
        <v>3078</v>
      </c>
      <c r="X12" s="782">
        <f>'[1]Haver Pivoted'!HI31</f>
        <v>3095.6</v>
      </c>
      <c r="Y12" s="782">
        <f>'[1]Haver Pivoted'!HJ31</f>
        <v>3201.1</v>
      </c>
      <c r="Z12" s="782">
        <f>'[1]Haver Pivoted'!HK31</f>
        <v>3243.1</v>
      </c>
      <c r="AA12" s="782">
        <f>'[1]Haver Pivoted'!HL31</f>
        <v>3283.8</v>
      </c>
      <c r="AB12" s="782">
        <f>'[1]Haver Pivoted'!HM31</f>
        <v>3328.6</v>
      </c>
      <c r="AC12" s="782">
        <f>'[1]Haver Pivoted'!HN31</f>
        <v>3452.4</v>
      </c>
      <c r="AD12" s="711">
        <f t="shared" ref="AD12:AJ12" si="0">SUM(AD14:AD31)-AD30</f>
        <v>3471.6821604763954</v>
      </c>
      <c r="AE12" s="711">
        <f t="shared" si="0"/>
        <v>3493.4089053306125</v>
      </c>
      <c r="AF12" s="711">
        <f t="shared" si="0"/>
        <v>3516.1507157717829</v>
      </c>
      <c r="AG12" s="711">
        <f t="shared" si="0"/>
        <v>3577.3973329126129</v>
      </c>
      <c r="AH12" s="711">
        <f t="shared" si="0"/>
        <v>3602.5193806266243</v>
      </c>
      <c r="AI12" s="711">
        <f t="shared" si="0"/>
        <v>3628.9171142232867</v>
      </c>
      <c r="AJ12" s="711">
        <f t="shared" si="0"/>
        <v>3655.7583604310757</v>
      </c>
      <c r="AK12" s="711">
        <f t="shared" ref="AK12:AN12" si="1">SUM(AK14:AK31)-AK30</f>
        <v>3724.7603951253282</v>
      </c>
      <c r="AL12" s="711">
        <f t="shared" si="1"/>
        <v>3753.1838415181583</v>
      </c>
      <c r="AM12" s="711">
        <f t="shared" si="1"/>
        <v>3781.9049952942123</v>
      </c>
      <c r="AN12" s="711">
        <f t="shared" si="1"/>
        <v>3790.6049952942121</v>
      </c>
    </row>
    <row r="13" spans="2:40" x14ac:dyDescent="0.35">
      <c r="B13" s="403"/>
      <c r="C13" s="268"/>
      <c r="D13" s="705"/>
      <c r="E13" s="606"/>
      <c r="F13" s="606"/>
      <c r="G13" s="606"/>
      <c r="H13" s="606"/>
      <c r="I13" s="606"/>
      <c r="J13" s="606"/>
      <c r="K13" s="606"/>
      <c r="L13" s="606"/>
      <c r="M13" s="606"/>
      <c r="N13" s="606"/>
      <c r="O13" s="606"/>
      <c r="P13" s="268"/>
      <c r="Q13" s="265"/>
      <c r="R13" s="265"/>
      <c r="S13" s="265"/>
      <c r="T13" s="265"/>
      <c r="U13" s="265"/>
      <c r="V13" s="265"/>
      <c r="W13" s="265"/>
      <c r="X13" s="247"/>
      <c r="Y13" s="247"/>
      <c r="Z13" s="247"/>
      <c r="AA13" s="247"/>
      <c r="AB13" s="247"/>
      <c r="AC13" s="247"/>
      <c r="AD13" s="247"/>
      <c r="AE13" s="247"/>
      <c r="AF13" s="247"/>
      <c r="AG13" s="247"/>
      <c r="AH13" s="247"/>
      <c r="AI13" s="247"/>
      <c r="AJ13" s="247"/>
      <c r="AK13" s="247"/>
      <c r="AL13" s="247"/>
      <c r="AM13" s="247"/>
      <c r="AN13" s="247"/>
    </row>
    <row r="14" spans="2:40" x14ac:dyDescent="0.35">
      <c r="B14" s="842" t="s">
        <v>1787</v>
      </c>
      <c r="C14" s="268"/>
      <c r="D14" s="705">
        <f>'[1]Unemployment Insurance'!D21+'[1]Unemployment Insurance'!D20</f>
        <v>27.1</v>
      </c>
      <c r="E14" s="606">
        <f>'[1]Unemployment Insurance'!E21+'[1]Unemployment Insurance'!E20</f>
        <v>29.6</v>
      </c>
      <c r="F14" s="606">
        <f>'[1]Unemployment Insurance'!F21+'[1]Unemployment Insurance'!F20</f>
        <v>27.3</v>
      </c>
      <c r="G14" s="606">
        <f>'[1]Unemployment Insurance'!G21+'[1]Unemployment Insurance'!G20</f>
        <v>26.4</v>
      </c>
      <c r="H14" s="606">
        <f>'[1]Unemployment Insurance'!H21+'[1]Unemployment Insurance'!H20</f>
        <v>26.7</v>
      </c>
      <c r="I14" s="606">
        <f>'[1]Unemployment Insurance'!I21+'[1]Unemployment Insurance'!I20</f>
        <v>40.1</v>
      </c>
      <c r="J14" s="606">
        <f>'[1]Unemployment Insurance'!J21+'[1]Unemployment Insurance'!J20</f>
        <v>951.5</v>
      </c>
      <c r="K14" s="606">
        <f>'[1]Unemployment Insurance'!K21+'[1]Unemployment Insurance'!K20</f>
        <v>800</v>
      </c>
      <c r="L14" s="606">
        <f>'[1]Unemployment Insurance'!L21+'[1]Unemployment Insurance'!L20</f>
        <v>322.7</v>
      </c>
      <c r="M14" s="606">
        <f>'[1]Unemployment Insurance'!M21+'[1]Unemployment Insurance'!M20</f>
        <v>583.79999999999995</v>
      </c>
      <c r="N14" s="606">
        <f>'[1]Unemployment Insurance'!N21+'[1]Unemployment Insurance'!N20</f>
        <v>440.8</v>
      </c>
      <c r="O14" s="606">
        <f>'[1]Unemployment Insurance'!O21+'[1]Unemployment Insurance'!O20</f>
        <v>212.8</v>
      </c>
      <c r="P14" s="606">
        <f>'[1]Unemployment Insurance'!P21+'[1]Unemployment Insurance'!P20</f>
        <v>31.8</v>
      </c>
      <c r="Q14" s="606">
        <f>'[1]Unemployment Insurance'!Q21+'[1]Unemployment Insurance'!Q20</f>
        <v>24.5</v>
      </c>
      <c r="R14" s="606">
        <f>'[1]Unemployment Insurance'!R21+'[1]Unemployment Insurance'!R20</f>
        <v>21.7</v>
      </c>
      <c r="S14" s="606">
        <f>'[1]Unemployment Insurance'!S21+'[1]Unemployment Insurance'!S20</f>
        <v>23.1</v>
      </c>
      <c r="T14" s="606">
        <f>'[1]Unemployment Insurance'!T21+'[1]Unemployment Insurance'!T20</f>
        <v>25.9</v>
      </c>
      <c r="U14" s="606">
        <f>'[1]Unemployment Insurance'!U21+'[1]Unemployment Insurance'!U20</f>
        <v>30.1</v>
      </c>
      <c r="V14" s="782">
        <f t="shared" ref="V14:AC14" si="2">V15+V16</f>
        <v>30.960000000000004</v>
      </c>
      <c r="W14" s="782">
        <f t="shared" si="2"/>
        <v>30.960000000000004</v>
      </c>
      <c r="X14" s="782">
        <f t="shared" si="2"/>
        <v>35.299999999999997</v>
      </c>
      <c r="Y14" s="782">
        <f t="shared" si="2"/>
        <v>34.9</v>
      </c>
      <c r="Z14" s="782">
        <f t="shared" si="2"/>
        <v>34.9</v>
      </c>
      <c r="AA14" s="782">
        <f t="shared" si="2"/>
        <v>35.700000000000003</v>
      </c>
      <c r="AB14" s="782">
        <f t="shared" si="2"/>
        <v>36.1</v>
      </c>
      <c r="AC14" s="782">
        <f t="shared" si="2"/>
        <v>35.799999999999997</v>
      </c>
      <c r="AD14" s="711">
        <f>'[1]Unemployment Insurance'!AD21+'[1]Unemployment Insurance'!AD20</f>
        <v>35.700000000000003</v>
      </c>
      <c r="AE14" s="711">
        <f>'[1]Unemployment Insurance'!AE21+'[1]Unemployment Insurance'!AE20</f>
        <v>35.700000000000003</v>
      </c>
      <c r="AF14" s="711">
        <f>'[1]Unemployment Insurance'!AF21+'[1]Unemployment Insurance'!AF20</f>
        <v>35.700000000000003</v>
      </c>
      <c r="AG14" s="711">
        <f>'[1]Unemployment Insurance'!AG21+'[1]Unemployment Insurance'!AG20</f>
        <v>35.700000000000003</v>
      </c>
      <c r="AH14" s="711">
        <f>'[1]Unemployment Insurance'!AH21+'[1]Unemployment Insurance'!AH20</f>
        <v>35.700000000000003</v>
      </c>
      <c r="AI14" s="711">
        <f>'[1]Unemployment Insurance'!AI21+'[1]Unemployment Insurance'!AI20</f>
        <v>35.700000000000003</v>
      </c>
      <c r="AJ14" s="711">
        <f>'[1]Unemployment Insurance'!AJ21+'[1]Unemployment Insurance'!AJ20</f>
        <v>35.700000000000003</v>
      </c>
      <c r="AK14" s="711">
        <f>'[1]Unemployment Insurance'!AK21+'[1]Unemployment Insurance'!AK20</f>
        <v>36.700000000000003</v>
      </c>
      <c r="AL14" s="711">
        <f>'[1]Unemployment Insurance'!AL21+'[1]Unemployment Insurance'!AL20</f>
        <v>37.700000000000003</v>
      </c>
      <c r="AM14" s="711">
        <f>'[1]Unemployment Insurance'!AM21+'[1]Unemployment Insurance'!AM20</f>
        <v>38.700000000000003</v>
      </c>
      <c r="AN14" s="711">
        <f>'[1]Unemployment Insurance'!AN21+'[1]Unemployment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'[1]Unemployment Insurance'!V20</f>
        <v>0</v>
      </c>
      <c r="W15" s="782">
        <f>'[1]Unemployment Insurance'!W20</f>
        <v>0</v>
      </c>
      <c r="X15" s="782">
        <f>'[1]Unemployment Insurance'!X20</f>
        <v>4.632399999999997</v>
      </c>
      <c r="Y15" s="782">
        <f>'[1]Unemployment Insurance'!Y20</f>
        <v>3.0799999999999947</v>
      </c>
      <c r="Z15" s="782">
        <f>'[1]Unemployment Insurance'!Z20</f>
        <v>0</v>
      </c>
      <c r="AA15" s="782">
        <f>'[1]Unemployment Insurance'!AA20</f>
        <v>0</v>
      </c>
      <c r="AB15" s="782">
        <f>'[1]Unemployment Insurance'!AB20</f>
        <v>0.39999999999999858</v>
      </c>
      <c r="AC15" s="782">
        <f>'[1]Unemployment Insurance'!AC20</f>
        <v>9.9999999999994316E-2</v>
      </c>
      <c r="AD15" s="711"/>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'[1]Unemployment Insurance'!V21</f>
        <v>30.960000000000004</v>
      </c>
      <c r="W16" s="782">
        <f>'[1]Unemployment Insurance'!W21</f>
        <v>30.960000000000004</v>
      </c>
      <c r="X16" s="782">
        <f>'[1]Unemployment Insurance'!X21</f>
        <v>30.6676</v>
      </c>
      <c r="Y16" s="782">
        <f>'[1]Unemployment Insurance'!Y21</f>
        <v>31.820000000000004</v>
      </c>
      <c r="Z16" s="782">
        <f>'[1]Unemployment Insurance'!Z21</f>
        <v>34.9</v>
      </c>
      <c r="AA16" s="782">
        <f>'[1]Unemployment Insurance'!AA21</f>
        <v>35.700000000000003</v>
      </c>
      <c r="AB16" s="782">
        <f>'[1]Unemployment Insurance'!AB21</f>
        <v>35.700000000000003</v>
      </c>
      <c r="AC16" s="782">
        <f>'[1]Unemployment Insurance'!AC21</f>
        <v>35.700000000000003</v>
      </c>
      <c r="AD16" s="711"/>
      <c r="AE16" s="711"/>
      <c r="AF16" s="711"/>
      <c r="AG16" s="711"/>
      <c r="AH16" s="711"/>
      <c r="AI16" s="711"/>
      <c r="AJ16" s="711"/>
      <c r="AK16" s="711"/>
      <c r="AL16" s="711"/>
      <c r="AM16" s="711"/>
      <c r="AN16" s="711"/>
    </row>
    <row r="17" spans="2:102" ht="17.899999999999999" customHeight="1" x14ac:dyDescent="0.35">
      <c r="B17" s="842" t="s">
        <v>46</v>
      </c>
      <c r="C17" s="268"/>
      <c r="D17" s="705">
        <f>[1]Medicare!D10</f>
        <v>755</v>
      </c>
      <c r="E17" s="606">
        <f>[1]Medicare!E10</f>
        <v>773.5</v>
      </c>
      <c r="F17" s="606">
        <f>[1]Medicare!F10</f>
        <v>788.5</v>
      </c>
      <c r="G17" s="606">
        <f>[1]Medicare!G10</f>
        <v>798</v>
      </c>
      <c r="H17" s="606">
        <f>[1]Medicare!H10</f>
        <v>802</v>
      </c>
      <c r="I17" s="606">
        <f>[1]Medicare!I10</f>
        <v>801.9</v>
      </c>
      <c r="J17" s="606">
        <f>[1]Medicare!J10</f>
        <v>814.3</v>
      </c>
      <c r="K17" s="606">
        <f>[1]Medicare!K10</f>
        <v>826.6</v>
      </c>
      <c r="L17" s="606">
        <f>[1]Medicare!L10</f>
        <v>838.8</v>
      </c>
      <c r="M17" s="606">
        <f>[1]Medicare!M10</f>
        <v>854.9</v>
      </c>
      <c r="N17" s="606">
        <f>[1]Medicare!N10</f>
        <v>871.2</v>
      </c>
      <c r="O17" s="606">
        <f>[1]Medicare!O10</f>
        <v>887.1</v>
      </c>
      <c r="P17" s="606">
        <f>[1]Medicare!P10</f>
        <v>902.4</v>
      </c>
      <c r="Q17" s="606">
        <f>[1]Medicare!Q10</f>
        <v>917.6</v>
      </c>
      <c r="R17" s="606">
        <f>[1]Medicare!R10</f>
        <v>926.6</v>
      </c>
      <c r="S17" s="606">
        <f>[1]Medicare!S10</f>
        <v>937.4</v>
      </c>
      <c r="T17" s="606">
        <f>[1]Medicare!T10</f>
        <v>958.5</v>
      </c>
      <c r="U17" s="606">
        <f>[1]Medicare!U10</f>
        <v>981.1</v>
      </c>
      <c r="V17" s="606">
        <f>[1]Medicare!V10</f>
        <v>1001.8</v>
      </c>
      <c r="W17" s="606">
        <f>[1]Medicare!W10</f>
        <v>1019.9</v>
      </c>
      <c r="X17" s="711">
        <f>[1]Medicare!X10</f>
        <v>1035.3</v>
      </c>
      <c r="Y17" s="711">
        <f>[1]Medicare!Y10</f>
        <v>1049.2</v>
      </c>
      <c r="Z17" s="711">
        <f>[1]Medicare!Z10</f>
        <v>1067.0999999999999</v>
      </c>
      <c r="AA17" s="711">
        <f>[1]Medicare!AA10</f>
        <v>1090.2</v>
      </c>
      <c r="AB17" s="711">
        <f>[1]Medicare!AB10</f>
        <v>1118.5</v>
      </c>
      <c r="AC17" s="711">
        <f>[1]Medicare!AC10</f>
        <v>1150.3</v>
      </c>
      <c r="AD17" s="711">
        <f>[1]Medicare!AD10</f>
        <v>1179.9491604763948</v>
      </c>
      <c r="AE17" s="711">
        <f>[1]Medicare!AE10</f>
        <v>1194.9759053306122</v>
      </c>
      <c r="AF17" s="711">
        <f>[1]Medicare!AF10</f>
        <v>1212.8587157717825</v>
      </c>
      <c r="AG17" s="711">
        <f>[1]Medicare!AG10</f>
        <v>1231.0091424116126</v>
      </c>
      <c r="AH17" s="711">
        <f>[1]Medicare!AH10</f>
        <v>1249.431190125624</v>
      </c>
      <c r="AI17" s="711">
        <f>[1]Medicare!AI10</f>
        <v>1268.1289237222863</v>
      </c>
      <c r="AJ17" s="711">
        <f>[1]Medicare!AJ10</f>
        <v>1287.2701699300753</v>
      </c>
      <c r="AK17" s="711">
        <f>[1]Medicare!AK10</f>
        <v>1306.7003357418046</v>
      </c>
      <c r="AL17" s="711">
        <f>[1]Medicare!AL10</f>
        <v>1326.4237821346351</v>
      </c>
      <c r="AM17" s="711">
        <f>[1]Medicare!AM10</f>
        <v>1346.4449359106889</v>
      </c>
      <c r="AN17" s="711">
        <f>[1]Medicare!AN10</f>
        <v>1346.4449359106889</v>
      </c>
    </row>
    <row r="18" spans="2:102" ht="18" customHeight="1" x14ac:dyDescent="0.35">
      <c r="B18" s="818" t="s">
        <v>432</v>
      </c>
      <c r="C18" s="268"/>
      <c r="D18" s="392"/>
      <c r="E18" s="265"/>
      <c r="F18" s="265"/>
      <c r="G18" s="265"/>
      <c r="H18" s="606">
        <f>'[1]Rebate Checks (expired)'!H10 +'[1]Rebate Checks (expired)'!H11</f>
        <v>0</v>
      </c>
      <c r="I18" s="606">
        <f>'[1]Rebate Checks (expired)'!I10 +'[1]Rebate Checks (expired)'!I11</f>
        <v>0</v>
      </c>
      <c r="J18" s="606">
        <f>'[1]Rebate Checks (expired)'!J10 +'[1]Rebate Checks (expired)'!J11</f>
        <v>1078.0999999999999</v>
      </c>
      <c r="K18" s="606">
        <f>'[1]Rebate Checks (expired)'!K10 +'[1]Rebate Checks (expired)'!K11</f>
        <v>15.6</v>
      </c>
      <c r="L18" s="606">
        <f>'[1]Rebate Checks (expired)'!L10 +'[1]Rebate Checks (expired)'!L11</f>
        <v>5</v>
      </c>
      <c r="M18" s="606">
        <f>'[1]Rebate Checks (expired)'!M10 +'[1]Rebate Checks (expired)'!M11</f>
        <v>1933.6999999999998</v>
      </c>
      <c r="N18" s="606">
        <f>'[1]Rebate Checks (expired)'!N10 +'[1]Rebate Checks (expired)'!N11</f>
        <v>290.10000000000002</v>
      </c>
      <c r="O18" s="606">
        <f>'[1]Rebate Checks (expired)'!O10 +'[1]Rebate Checks (expired)'!O11</f>
        <v>38.9</v>
      </c>
      <c r="P18" s="606">
        <f>'[1]Rebate Checks (expired)'!P10 +'[1]Rebate Checks (expired)'!P11</f>
        <v>14.2</v>
      </c>
      <c r="Q18" s="606">
        <f>'[1]Rebate Checks (expired)'!Q10 +'[1]Rebate Checks (expired)'!Q11</f>
        <v>0</v>
      </c>
      <c r="R18" s="606">
        <f>'[1]Rebate Checks (expired)'!Q10 +'[1]Rebate Checks (expired)'!R11</f>
        <v>0</v>
      </c>
      <c r="S18" s="606">
        <f>'[1]Rebate Checks (expired)'!S10 +'[1]Rebate Checks (expired)'!S11</f>
        <v>0</v>
      </c>
      <c r="T18" s="606">
        <f>'[1]Rebate Checks (expired)'!T10 +'[1]Rebate Checks (expired)'!T11</f>
        <v>0</v>
      </c>
      <c r="U18" s="606">
        <f>'[1]Rebate Checks (expired)'!U10 +'[1]Rebate Checks (expired)'!U11</f>
        <v>0</v>
      </c>
      <c r="V18" s="782">
        <f t="shared" ref="V18:AA18" si="3">V19+V20</f>
        <v>0</v>
      </c>
      <c r="W18" s="782">
        <f t="shared" si="3"/>
        <v>0</v>
      </c>
      <c r="X18" s="782">
        <f t="shared" si="3"/>
        <v>0</v>
      </c>
      <c r="Y18" s="782">
        <f t="shared" si="3"/>
        <v>0</v>
      </c>
      <c r="Z18" s="782">
        <f t="shared" si="3"/>
        <v>0</v>
      </c>
      <c r="AA18" s="782">
        <f t="shared" si="3"/>
        <v>0</v>
      </c>
      <c r="AB18" s="782">
        <f>AB19+AB20</f>
        <v>0</v>
      </c>
      <c r="AC18" s="782">
        <f>AC19+AC20</f>
        <v>0</v>
      </c>
      <c r="AD18" s="711">
        <f>'[1]Rebate Checks (expired)'!AD10 +'[1]Rebate Checks (expired)'!AD11</f>
        <v>0</v>
      </c>
      <c r="AE18" s="711">
        <f>'[1]Rebate Checks (expired)'!AE10 +'[1]Rebate Checks (expired)'!AE11</f>
        <v>0</v>
      </c>
      <c r="AF18" s="711">
        <f>'[1]Rebate Checks (expired)'!AF10 +'[1]Rebate Checks (expired)'!AF11</f>
        <v>0</v>
      </c>
      <c r="AG18" s="711">
        <f>'[1]Rebate Checks (expired)'!AG10 +'[1]Rebate Checks (expired)'!AG11</f>
        <v>0</v>
      </c>
      <c r="AH18" s="711">
        <f>'[1]Rebate Checks (expired)'!AH10 +'[1]Rebate Checks (expired)'!AH11</f>
        <v>0</v>
      </c>
      <c r="AI18" s="711">
        <f>'[1]Rebate Checks (expired)'!AI10 +'[1]Rebate Checks (expired)'!AI11</f>
        <v>0</v>
      </c>
      <c r="AJ18" s="711">
        <f>'[1]Rebate Checks (expired)'!AJ10 +'[1]Rebate Checks (expired)'!AJ11</f>
        <v>0</v>
      </c>
      <c r="AK18" s="711">
        <f>'[1]Rebate Checks (expired)'!AK10 +'[1]Rebate Checks (expired)'!AK11</f>
        <v>0</v>
      </c>
      <c r="AL18" s="711">
        <f>'[1]Rebate Checks (expired)'!AL10 +'[1]Rebate Checks (expired)'!AL11</f>
        <v>0</v>
      </c>
      <c r="AM18" s="711">
        <f>'[1]Rebate Checks (expired)'!AM10 +'[1]Rebate Checks (expired)'!AM11</f>
        <v>0</v>
      </c>
      <c r="AN18" s="711">
        <f>'[1]Rebate Checks (expired)'!AN10 +'[1]Rebate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'[1]Provider Relief (expired)'!D11</f>
        <v>0</v>
      </c>
      <c r="E21" s="365">
        <f>'[1]Provider Relief (expired)'!E11</f>
        <v>0</v>
      </c>
      <c r="F21" s="365">
        <f>'[1]Provider Relief (expired)'!F11</f>
        <v>0</v>
      </c>
      <c r="G21" s="365">
        <f>'[1]Provider Relief (expired)'!G11</f>
        <v>0</v>
      </c>
      <c r="H21" s="365">
        <f>'[1]Provider Relief (expired)'!H11</f>
        <v>0</v>
      </c>
      <c r="I21" s="365">
        <f>'[1]Provider Relief (expired)'!I11</f>
        <v>0</v>
      </c>
      <c r="J21" s="365">
        <f>'[1]Provider Relief (expired)'!J11</f>
        <v>160.9</v>
      </c>
      <c r="K21" s="365">
        <f>'[1]Provider Relief (expired)'!K11</f>
        <v>58.4</v>
      </c>
      <c r="L21" s="365">
        <f>'[1]Provider Relief (expired)'!L11</f>
        <v>34.5</v>
      </c>
      <c r="M21" s="365">
        <f>'[1]Provider Relief (expired)'!M11</f>
        <v>21.4</v>
      </c>
      <c r="N21" s="365">
        <f>'[1]Provider Relief (expired)'!N11</f>
        <v>13.3</v>
      </c>
      <c r="O21" s="365">
        <f>'[1]Provider Relief (expired)'!O11</f>
        <v>18.7</v>
      </c>
      <c r="P21" s="365">
        <f>'[1]Provider Relief (expired)'!P11</f>
        <v>32.200000000000003</v>
      </c>
      <c r="Q21" s="365">
        <f>'[1]Provider Relief (expired)'!Q11</f>
        <v>26.9</v>
      </c>
      <c r="R21" s="365">
        <f>'[1]Provider Relief (expired)'!R11</f>
        <v>20</v>
      </c>
      <c r="S21" s="365">
        <f>'[1]Provider Relief (expired)'!S11</f>
        <v>8.1</v>
      </c>
      <c r="T21" s="365">
        <f>'[1]Provider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'[1]ARP Quarterly'!C5</f>
        <v>0</v>
      </c>
      <c r="N24" s="680">
        <f>'[1]ARP Quarterly'!D5</f>
        <v>33.921840000000024</v>
      </c>
      <c r="O24" s="680">
        <f>'[1]ARP Quarterly'!E5</f>
        <v>44.966160000000031</v>
      </c>
      <c r="P24" s="680">
        <f>'[1]ARP Quarterly'!F5</f>
        <v>52.756999999999998</v>
      </c>
      <c r="Q24" s="680">
        <f>'[1]ARP Quarterly'!G5</f>
        <v>52.756999999999998</v>
      </c>
      <c r="R24" s="680">
        <f>'[1]ARP Quarterly'!H5</f>
        <v>52.756999999999998</v>
      </c>
      <c r="S24" s="680">
        <f>'[1]ARP Quarterly'!I5</f>
        <v>52.756999999999998</v>
      </c>
      <c r="T24" s="680">
        <v>30</v>
      </c>
      <c r="U24" s="680">
        <f>'[1]ARP Quarterly'!K5</f>
        <v>12</v>
      </c>
      <c r="V24" s="680">
        <f>'[1]ARP Quarterly'!L5</f>
        <v>12</v>
      </c>
      <c r="W24" s="680">
        <f>'[1]ARP Quarterly'!M5</f>
        <v>12</v>
      </c>
      <c r="X24" s="682">
        <f>'[1]ARP Quarterly'!N5</f>
        <v>4.2219999999999995</v>
      </c>
      <c r="Y24" s="682">
        <f>'[1]ARP Quarterly'!O5</f>
        <v>4.2219999999999995</v>
      </c>
      <c r="Z24" s="682">
        <f>'[1]ARP Quarterly'!P5</f>
        <v>4.2219999999999995</v>
      </c>
      <c r="AA24" s="682">
        <f>'[1]ARP Quarterly'!Q5</f>
        <v>4.2219999999999995</v>
      </c>
      <c r="AB24" s="682">
        <f>'[1]ARP Quarterly'!R5</f>
        <v>2.3719999999999999</v>
      </c>
      <c r="AC24" s="682">
        <f>'[1]ARP Quarterly'!S5</f>
        <v>2.3719999999999999</v>
      </c>
      <c r="AD24" s="682">
        <f>'[1]ARP Quarterly'!T5</f>
        <v>2.3719999999999999</v>
      </c>
      <c r="AE24" s="682">
        <f>'[1]ARP Quarterly'!U5</f>
        <v>2.3719999999999999</v>
      </c>
      <c r="AF24" s="682">
        <f>'[1]ARP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'[1]ARP Quarterly'!C4</f>
        <v>0</v>
      </c>
      <c r="N25" s="606">
        <f>'[1]ARP Quarterly'!D4</f>
        <v>0</v>
      </c>
      <c r="O25" s="606">
        <f>'[1]ARP Quarterly'!E4</f>
        <v>3.1040000000000418</v>
      </c>
      <c r="P25" s="606">
        <f>'[1]ARP Quarterly'!F4</f>
        <v>19.719000000000005</v>
      </c>
      <c r="Q25" s="606">
        <f>'[1]ARP Quarterly'!G4</f>
        <v>19.719000000000005</v>
      </c>
      <c r="R25" s="606">
        <f>'[1]ARP Quarterly'!H4</f>
        <v>19.719000000000005</v>
      </c>
      <c r="S25" s="606">
        <f>'[1]ARP Quarterly'!I4</f>
        <v>19.719000000000005</v>
      </c>
      <c r="T25" s="606">
        <f>'[1]ARP Quarterly'!J4</f>
        <v>1.4159999999999999</v>
      </c>
      <c r="U25" s="606">
        <f>'[1]ARP Quarterly'!K4</f>
        <v>1.4159999999999999</v>
      </c>
      <c r="V25" s="606">
        <f>'[1]ARP Quarterly'!L4</f>
        <v>1.4159999999999999</v>
      </c>
      <c r="W25" s="606">
        <f>'[1]ARP Quarterly'!M4</f>
        <v>1.4159999999999999</v>
      </c>
      <c r="X25" s="711">
        <f>'[1]ARP Quarterly'!N4</f>
        <v>1.4790000000000001</v>
      </c>
      <c r="Y25" s="711">
        <f>'[1]ARP Quarterly'!O4</f>
        <v>1.4790000000000001</v>
      </c>
      <c r="Z25" s="711">
        <f>'[1]ARP Quarterly'!P4</f>
        <v>1.4790000000000001</v>
      </c>
      <c r="AA25" s="711">
        <f>'[1]ARP Quarterly'!Q4</f>
        <v>1.4790000000000001</v>
      </c>
      <c r="AB25" s="711">
        <f>'[1]ARP Quarterly'!R4</f>
        <v>1.63</v>
      </c>
      <c r="AC25" s="711">
        <f>'[1]ARP Quarterly'!S4</f>
        <v>1.63</v>
      </c>
      <c r="AD25" s="711">
        <f>'[1]ARP Quarterly'!T4</f>
        <v>1.63</v>
      </c>
      <c r="AE25" s="711">
        <f>'[1]ARP Quarterly'!U4</f>
        <v>1.63</v>
      </c>
      <c r="AF25" s="711">
        <f>'[1]ARP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D50</f>
        <v>0</v>
      </c>
      <c r="E26" s="265">
        <f t="shared" ref="E26:AF26" si="4">E50</f>
        <v>0</v>
      </c>
      <c r="F26" s="265">
        <f t="shared" si="4"/>
        <v>0</v>
      </c>
      <c r="G26" s="265">
        <f t="shared" si="4"/>
        <v>0</v>
      </c>
      <c r="H26" s="265">
        <f t="shared" si="4"/>
        <v>0</v>
      </c>
      <c r="I26" s="606">
        <f t="shared" si="4"/>
        <v>6.9120000000000061</v>
      </c>
      <c r="J26" s="606">
        <f t="shared" si="4"/>
        <v>50.955000000000005</v>
      </c>
      <c r="K26" s="606">
        <f t="shared" si="4"/>
        <v>51.173999999999999</v>
      </c>
      <c r="L26" s="606">
        <f t="shared" si="4"/>
        <v>51.893999999999998</v>
      </c>
      <c r="M26" s="606">
        <f t="shared" si="4"/>
        <v>91.075000000000017</v>
      </c>
      <c r="N26" s="606">
        <f t="shared" si="4"/>
        <v>100.63400000000001</v>
      </c>
      <c r="O26" s="606">
        <f t="shared" si="4"/>
        <v>93.89100000000002</v>
      </c>
      <c r="P26" s="606">
        <f t="shared" si="4"/>
        <v>100.22800000000001</v>
      </c>
      <c r="Q26" s="606">
        <f t="shared" si="4"/>
        <v>76.838999999999999</v>
      </c>
      <c r="R26" s="606">
        <f t="shared" si="4"/>
        <v>73.637</v>
      </c>
      <c r="S26" s="606">
        <f t="shared" si="4"/>
        <v>70.649000000000001</v>
      </c>
      <c r="T26" s="606">
        <f t="shared" si="4"/>
        <v>91.718000000000018</v>
      </c>
      <c r="U26" s="606">
        <f t="shared" si="4"/>
        <v>83.695999999999998</v>
      </c>
      <c r="V26" s="606">
        <f>V50</f>
        <v>51.979000000000006</v>
      </c>
      <c r="W26" s="606">
        <f>W50</f>
        <v>51.58400000000001</v>
      </c>
      <c r="X26" s="711">
        <f t="shared" si="4"/>
        <v>38.777999999999999</v>
      </c>
      <c r="Y26" s="711">
        <f t="shared" si="4"/>
        <v>37.295999999999999</v>
      </c>
      <c r="Z26" s="711">
        <f t="shared" si="4"/>
        <v>41.408000000000008</v>
      </c>
      <c r="AA26" s="711">
        <f t="shared" si="4"/>
        <v>48.07800000000001</v>
      </c>
      <c r="AB26" s="711">
        <f t="shared" si="4"/>
        <v>43.804000000000009</v>
      </c>
      <c r="AC26" s="711">
        <f t="shared" si="4"/>
        <v>40.554000000000009</v>
      </c>
      <c r="AD26" s="711">
        <f t="shared" si="4"/>
        <v>40.554000000000009</v>
      </c>
      <c r="AE26" s="711">
        <f t="shared" si="4"/>
        <v>40.554000000000009</v>
      </c>
      <c r="AF26" s="711">
        <f t="shared" si="4"/>
        <v>40.554000000000009</v>
      </c>
      <c r="AG26" s="711">
        <f>AG50</f>
        <v>40.554000000000009</v>
      </c>
      <c r="AH26" s="711">
        <f>AH50</f>
        <v>40.554000000000009</v>
      </c>
      <c r="AI26" s="711">
        <f>AI50</f>
        <v>40.554000000000009</v>
      </c>
      <c r="AJ26" s="711">
        <f>AJ50</f>
        <v>40.554000000000009</v>
      </c>
      <c r="AK26" s="711">
        <f t="shared" ref="AK26:AN26" si="5">AK50</f>
        <v>40.554000000000009</v>
      </c>
      <c r="AL26" s="711">
        <f t="shared" si="5"/>
        <v>40.554000000000009</v>
      </c>
      <c r="AM26" s="711">
        <f t="shared" si="5"/>
        <v>40.554000000000009</v>
      </c>
      <c r="AN26" s="711">
        <f t="shared" si="5"/>
        <v>40.554000000000009</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'[1]Haver Pivoted'!GX89</f>
        <v>34.4</v>
      </c>
      <c r="N27" s="361">
        <f>'[1]Haver Pivoted'!GY89</f>
        <v>34.4</v>
      </c>
      <c r="O27" s="361">
        <f>'[1]Haver Pivoted'!GZ89</f>
        <v>218.933333333333</v>
      </c>
      <c r="P27" s="361">
        <f>'[1]Haver Pivoted'!HA89</f>
        <v>223.13333333333301</v>
      </c>
      <c r="Q27" s="361">
        <f>'[1]Haver Pivoted'!HB89</f>
        <v>94.3</v>
      </c>
      <c r="R27" s="361">
        <f>'[1]Haver Pivoted'!HC89</f>
        <v>94.3</v>
      </c>
      <c r="S27" s="576">
        <f>'[1]Haver Pivoted'!HD89</f>
        <v>94.3</v>
      </c>
      <c r="T27" s="576">
        <f>'[1]Haver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'[1]PPP (expired)'!J53</f>
        <v>57.2</v>
      </c>
      <c r="K28" s="606">
        <f>'[1]PPP (expired)'!K53</f>
        <v>81.2</v>
      </c>
      <c r="L28" s="606">
        <f>'[1]PPP (expired)'!L53</f>
        <v>24.4</v>
      </c>
      <c r="M28" s="606">
        <f>'[1]PPP (expired)'!M53</f>
        <v>11.7</v>
      </c>
      <c r="N28" s="606">
        <f>'[1]PPP (expired)'!N53</f>
        <v>28.5</v>
      </c>
      <c r="O28" s="606">
        <f>'[1]PPP (expired)'!O53</f>
        <v>18.8</v>
      </c>
      <c r="P28" s="606">
        <f>'[1]PPP (expired)'!P53</f>
        <v>1.6</v>
      </c>
      <c r="Q28" s="606">
        <f>'[1]PPP (expired)'!Q53</f>
        <v>0</v>
      </c>
      <c r="R28" s="606">
        <f>'[1]PPP (expired)'!Q61</f>
        <v>0</v>
      </c>
      <c r="S28" s="606">
        <f>'[1]PPP (expired)'!S53</f>
        <v>0</v>
      </c>
      <c r="T28" s="606">
        <f>'[1]PPP (expired)'!T53</f>
        <v>0</v>
      </c>
      <c r="U28" s="606">
        <f>'[1]PPP (expired)'!U53</f>
        <v>0</v>
      </c>
      <c r="V28" s="606">
        <f>'[1]PPP (expired)'!V53</f>
        <v>0</v>
      </c>
      <c r="W28" s="606">
        <f>'[1]PPP (expired)'!W53</f>
        <v>0</v>
      </c>
      <c r="X28" s="711">
        <f>'[1]PPP (expired)'!X53</f>
        <v>0</v>
      </c>
      <c r="Y28" s="711">
        <f>'[1]PPP (expired)'!Y53</f>
        <v>0</v>
      </c>
      <c r="Z28" s="711">
        <f>'[1]PPP (expired)'!Z53</f>
        <v>0</v>
      </c>
      <c r="AA28" s="711">
        <f>'[1]PPP (expired)'!AA53</f>
        <v>0</v>
      </c>
      <c r="AB28" s="711">
        <f>'[1]PPP (expired)'!AB53</f>
        <v>0</v>
      </c>
      <c r="AC28" s="711">
        <f>'[1]PPP (expired)'!AC53</f>
        <v>0</v>
      </c>
      <c r="AD28" s="711">
        <f>'[1]PPP (expired)'!AD53</f>
        <v>0</v>
      </c>
      <c r="AE28" s="711">
        <f>'[1]PPP (expired)'!AE53</f>
        <v>0</v>
      </c>
      <c r="AF28" s="711">
        <f>'[1]PPP (expired)'!AF53</f>
        <v>0</v>
      </c>
      <c r="AG28" s="711">
        <f>'[1]PPP (expired)'!AG53</f>
        <v>0</v>
      </c>
      <c r="AH28" s="711">
        <f>'[1]PPP (expired)'!AH53</f>
        <v>0</v>
      </c>
      <c r="AI28" s="711">
        <f>'[1]PPP (expired)'!AI53</f>
        <v>0</v>
      </c>
      <c r="AJ28" s="711">
        <f>'[1]PPP (expired)'!AJ53</f>
        <v>0</v>
      </c>
      <c r="AK28" s="711">
        <f>'[1]PPP (expired)'!AK53</f>
        <v>0</v>
      </c>
      <c r="AL28" s="711">
        <f>'[1]PPP (expired)'!AL53</f>
        <v>0</v>
      </c>
      <c r="AM28" s="711">
        <f>'[1]PPP (expired)'!AM53</f>
        <v>0</v>
      </c>
      <c r="AN28" s="711">
        <f>'[1]PPP (expired)'!AN53</f>
        <v>0</v>
      </c>
    </row>
    <row r="29" spans="2:102" ht="21.65" customHeight="1" x14ac:dyDescent="0.35">
      <c r="B29" s="403" t="s">
        <v>762</v>
      </c>
      <c r="C29" s="268"/>
      <c r="D29" s="705">
        <f t="shared" ref="D29:AE29" si="6">D74</f>
        <v>0</v>
      </c>
      <c r="E29" s="606">
        <f t="shared" si="6"/>
        <v>0</v>
      </c>
      <c r="F29" s="606">
        <f t="shared" si="6"/>
        <v>0</v>
      </c>
      <c r="G29" s="606">
        <f t="shared" si="6"/>
        <v>0</v>
      </c>
      <c r="H29" s="606">
        <f t="shared" si="6"/>
        <v>0</v>
      </c>
      <c r="I29" s="606">
        <f t="shared" si="6"/>
        <v>-6.9120000000000346</v>
      </c>
      <c r="J29" s="606">
        <f t="shared" si="6"/>
        <v>-37.9549999999997</v>
      </c>
      <c r="K29" s="606">
        <f t="shared" si="6"/>
        <v>85.725999999999658</v>
      </c>
      <c r="L29" s="606">
        <f t="shared" si="6"/>
        <v>18.405999999999722</v>
      </c>
      <c r="M29" s="606">
        <f t="shared" si="6"/>
        <v>20.282000000000153</v>
      </c>
      <c r="N29" s="606">
        <f t="shared" si="6"/>
        <v>-8.5988400000003367</v>
      </c>
      <c r="O29" s="606">
        <f t="shared" si="6"/>
        <v>-12.537493333333487</v>
      </c>
      <c r="P29" s="606">
        <f t="shared" si="6"/>
        <v>-32.38033333333351</v>
      </c>
      <c r="Q29" s="606">
        <f t="shared" si="6"/>
        <v>72.734879999999521</v>
      </c>
      <c r="R29" s="606">
        <f t="shared" si="6"/>
        <v>75.236879999999019</v>
      </c>
      <c r="S29" s="606">
        <f t="shared" si="6"/>
        <v>66.046879999999419</v>
      </c>
      <c r="T29" s="606">
        <f t="shared" si="6"/>
        <v>90.12587999999937</v>
      </c>
      <c r="U29" s="606">
        <f t="shared" si="6"/>
        <v>55.219026999999414</v>
      </c>
      <c r="V29" s="606">
        <f>V74</f>
        <v>69.376026999999112</v>
      </c>
      <c r="W29" s="606">
        <f t="shared" si="6"/>
        <v>73.871026999999231</v>
      </c>
      <c r="X29" s="711">
        <f t="shared" si="6"/>
        <v>92.003026999999292</v>
      </c>
      <c r="Y29" s="711">
        <f t="shared" si="6"/>
        <v>133.13552299999901</v>
      </c>
      <c r="Z29" s="711">
        <f t="shared" si="6"/>
        <v>146.42352299999902</v>
      </c>
      <c r="AA29" s="711">
        <f t="shared" si="6"/>
        <v>149.85352299999886</v>
      </c>
      <c r="AB29" s="711">
        <f t="shared" si="6"/>
        <v>163.69852299999889</v>
      </c>
      <c r="AC29" s="711">
        <f t="shared" si="6"/>
        <v>214.3287979999991</v>
      </c>
      <c r="AD29" s="711">
        <f t="shared" si="6"/>
        <v>214.3287979999991</v>
      </c>
      <c r="AE29" s="711">
        <f t="shared" si="6"/>
        <v>214.3287979999991</v>
      </c>
      <c r="AF29" s="711">
        <f>AF74</f>
        <v>214.3287979999991</v>
      </c>
      <c r="AG29" s="711">
        <f>AG74</f>
        <v>214.3287979999991</v>
      </c>
      <c r="AH29" s="711">
        <f>AH74</f>
        <v>214.3287979999991</v>
      </c>
      <c r="AI29" s="711">
        <f t="shared" ref="AI29:AN29" si="7">AI74</f>
        <v>214.3287979999991</v>
      </c>
      <c r="AJ29" s="711">
        <f t="shared" si="7"/>
        <v>214.3287979999991</v>
      </c>
      <c r="AK29" s="711">
        <f t="shared" si="7"/>
        <v>214.3287979999991</v>
      </c>
      <c r="AL29" s="711">
        <f t="shared" si="7"/>
        <v>214.3287979999991</v>
      </c>
      <c r="AM29" s="711">
        <f t="shared" si="7"/>
        <v>214.3287979999991</v>
      </c>
      <c r="AN29" s="711">
        <f t="shared" si="7"/>
        <v>214.3287979999991</v>
      </c>
    </row>
    <row r="30" spans="2:102" ht="21" customHeight="1" x14ac:dyDescent="0.35">
      <c r="B30" s="389" t="s">
        <v>759</v>
      </c>
      <c r="C30" s="385"/>
      <c r="D30" s="861">
        <f t="shared" ref="D30:AB30" si="8">D25+D21</f>
        <v>0</v>
      </c>
      <c r="E30" s="747">
        <f t="shared" si="8"/>
        <v>0</v>
      </c>
      <c r="F30" s="747">
        <f t="shared" si="8"/>
        <v>0</v>
      </c>
      <c r="G30" s="747">
        <f t="shared" si="8"/>
        <v>0</v>
      </c>
      <c r="H30" s="747">
        <f t="shared" si="8"/>
        <v>0</v>
      </c>
      <c r="I30" s="747">
        <f t="shared" si="8"/>
        <v>0</v>
      </c>
      <c r="J30" s="747">
        <f t="shared" si="8"/>
        <v>160.9</v>
      </c>
      <c r="K30" s="747">
        <f t="shared" si="8"/>
        <v>58.4</v>
      </c>
      <c r="L30" s="747">
        <f t="shared" si="8"/>
        <v>34.5</v>
      </c>
      <c r="M30" s="747">
        <f t="shared" si="8"/>
        <v>21.4</v>
      </c>
      <c r="N30" s="747">
        <f t="shared" si="8"/>
        <v>13.3</v>
      </c>
      <c r="O30" s="747">
        <f t="shared" si="8"/>
        <v>21.804000000000041</v>
      </c>
      <c r="P30" s="680">
        <f t="shared" si="8"/>
        <v>51.919000000000011</v>
      </c>
      <c r="Q30" s="747">
        <f t="shared" si="8"/>
        <v>46.619</v>
      </c>
      <c r="R30" s="747">
        <f t="shared" si="8"/>
        <v>39.719000000000008</v>
      </c>
      <c r="S30" s="747">
        <f t="shared" si="8"/>
        <v>27.819000000000003</v>
      </c>
      <c r="T30" s="680">
        <f t="shared" si="8"/>
        <v>6.3160000000000007</v>
      </c>
      <c r="U30" s="680">
        <f t="shared" si="8"/>
        <v>1.4159999999999999</v>
      </c>
      <c r="V30" s="680">
        <f t="shared" si="8"/>
        <v>1.4159999999999999</v>
      </c>
      <c r="W30" s="680">
        <f t="shared" si="8"/>
        <v>1.4159999999999999</v>
      </c>
      <c r="X30" s="682">
        <f t="shared" si="8"/>
        <v>1.4790000000000001</v>
      </c>
      <c r="Y30" s="682">
        <f t="shared" si="8"/>
        <v>1.4790000000000001</v>
      </c>
      <c r="Z30" s="682">
        <f t="shared" si="8"/>
        <v>1.4790000000000001</v>
      </c>
      <c r="AA30" s="682">
        <f t="shared" si="8"/>
        <v>1.4790000000000001</v>
      </c>
      <c r="AB30" s="682">
        <f t="shared" si="8"/>
        <v>1.63</v>
      </c>
      <c r="AC30" s="682">
        <f>AC25+AC21</f>
        <v>1.63</v>
      </c>
      <c r="AD30" s="682">
        <f t="shared" ref="AD30:AE30" si="9">AD25+AD21</f>
        <v>1.63</v>
      </c>
      <c r="AE30" s="682">
        <f t="shared" si="9"/>
        <v>1.63</v>
      </c>
      <c r="AF30" s="682">
        <f>AF25+AF21</f>
        <v>1.671</v>
      </c>
      <c r="AG30" s="682">
        <f>AG25+AG21</f>
        <v>0</v>
      </c>
      <c r="AH30" s="682">
        <f>AH25+AH21</f>
        <v>0</v>
      </c>
      <c r="AI30" s="682">
        <f t="shared" ref="AI30:AN30" si="10">AI25+AI21</f>
        <v>0</v>
      </c>
      <c r="AJ30" s="682">
        <f t="shared" si="10"/>
        <v>0</v>
      </c>
      <c r="AK30" s="682">
        <f t="shared" si="10"/>
        <v>0</v>
      </c>
      <c r="AL30" s="682">
        <f t="shared" si="10"/>
        <v>0</v>
      </c>
      <c r="AM30" s="682">
        <f t="shared" si="10"/>
        <v>0</v>
      </c>
      <c r="AN30" s="682">
        <f t="shared" si="10"/>
        <v>0</v>
      </c>
    </row>
    <row r="31" spans="2:102" ht="44.9" customHeight="1" x14ac:dyDescent="0.35">
      <c r="B31" s="374" t="s">
        <v>766</v>
      </c>
      <c r="C31" s="268"/>
      <c r="D31" s="705">
        <f t="shared" ref="D31:AE31" si="11">D66</f>
        <v>1410.9</v>
      </c>
      <c r="E31" s="606">
        <f t="shared" si="11"/>
        <v>1470.7000000000003</v>
      </c>
      <c r="F31" s="606">
        <f t="shared" si="11"/>
        <v>1475.8999999999996</v>
      </c>
      <c r="G31" s="606">
        <f t="shared" si="11"/>
        <v>1482.6999999999998</v>
      </c>
      <c r="H31" s="606">
        <f t="shared" si="11"/>
        <v>1490.8000000000002</v>
      </c>
      <c r="I31" s="606">
        <f t="shared" si="11"/>
        <v>1542.4</v>
      </c>
      <c r="J31" s="606">
        <f t="shared" si="11"/>
        <v>1549.1000000000001</v>
      </c>
      <c r="K31" s="606">
        <f t="shared" si="11"/>
        <v>1555.8000000000002</v>
      </c>
      <c r="L31" s="606">
        <f t="shared" si="11"/>
        <v>1562.5000000000002</v>
      </c>
      <c r="M31" s="606">
        <f t="shared" si="11"/>
        <v>1586.8430000000003</v>
      </c>
      <c r="N31" s="606">
        <f t="shared" si="11"/>
        <v>1593.5430000000003</v>
      </c>
      <c r="O31" s="606">
        <f t="shared" si="11"/>
        <v>1600.2430000000004</v>
      </c>
      <c r="P31" s="606">
        <f t="shared" si="11"/>
        <v>1606.9430000000004</v>
      </c>
      <c r="Q31" s="606">
        <f t="shared" si="11"/>
        <v>1685.5501200000006</v>
      </c>
      <c r="R31" s="606">
        <f t="shared" si="11"/>
        <v>1692.2501200000006</v>
      </c>
      <c r="S31" s="606">
        <f t="shared" si="11"/>
        <v>1698.9501200000007</v>
      </c>
      <c r="T31" s="606">
        <f t="shared" si="11"/>
        <v>1705.6501200000007</v>
      </c>
      <c r="U31" s="606">
        <f t="shared" si="11"/>
        <v>1818.9789730000007</v>
      </c>
      <c r="V31" s="606">
        <f t="shared" si="11"/>
        <v>1825.6789730000007</v>
      </c>
      <c r="W31" s="606">
        <f t="shared" si="11"/>
        <v>1832.3789730000008</v>
      </c>
      <c r="X31" s="711">
        <f t="shared" si="11"/>
        <v>1839.0789730000008</v>
      </c>
      <c r="Y31" s="711">
        <f t="shared" si="11"/>
        <v>1891.4284770000008</v>
      </c>
      <c r="Z31" s="711">
        <f t="shared" si="11"/>
        <v>1898.1284770000009</v>
      </c>
      <c r="AA31" s="711">
        <f t="shared" si="11"/>
        <v>1904.8284770000009</v>
      </c>
      <c r="AB31" s="711">
        <f>AB66</f>
        <v>1911.528477000001</v>
      </c>
      <c r="AC31" s="711">
        <f t="shared" si="11"/>
        <v>1956.4482020000009</v>
      </c>
      <c r="AD31" s="711">
        <f t="shared" si="11"/>
        <v>1963.148202000001</v>
      </c>
      <c r="AE31" s="711">
        <f t="shared" si="11"/>
        <v>1969.848202000001</v>
      </c>
      <c r="AF31" s="711">
        <f>AF66</f>
        <v>1976.5482020000011</v>
      </c>
      <c r="AG31" s="711">
        <f>AG66</f>
        <v>2021.8053925010011</v>
      </c>
      <c r="AH31" s="711">
        <f>AH66</f>
        <v>2028.5053925010011</v>
      </c>
      <c r="AI31" s="711">
        <f t="shared" ref="AI31:AN31" si="12">AI66</f>
        <v>2035.2053925010011</v>
      </c>
      <c r="AJ31" s="711">
        <f t="shared" si="12"/>
        <v>2041.9053925010012</v>
      </c>
      <c r="AK31" s="711">
        <f t="shared" si="12"/>
        <v>2089.4772613835244</v>
      </c>
      <c r="AL31" s="711">
        <f t="shared" si="12"/>
        <v>2096.1772613835242</v>
      </c>
      <c r="AM31" s="711">
        <f t="shared" si="12"/>
        <v>2102.877261383524</v>
      </c>
      <c r="AN31" s="711">
        <f t="shared" si="12"/>
        <v>2109.5772613835238</v>
      </c>
    </row>
    <row r="32" spans="2:102" ht="44.9" customHeight="1" x14ac:dyDescent="0.35">
      <c r="B32" s="530" t="s">
        <v>1136</v>
      </c>
      <c r="D32" s="705"/>
      <c r="E32" s="606"/>
      <c r="F32" s="606"/>
      <c r="G32" s="606"/>
      <c r="H32" s="606"/>
      <c r="I32" s="606"/>
      <c r="J32" s="606"/>
      <c r="K32" s="606"/>
      <c r="L32" s="606"/>
      <c r="M32" s="606"/>
      <c r="N32" s="606"/>
      <c r="O32" s="606"/>
      <c r="P32" s="606"/>
      <c r="Q32" s="606"/>
      <c r="R32" s="606"/>
      <c r="S32" s="845">
        <f>'[1]IRA and CHIPS'!E191</f>
        <v>-0.622</v>
      </c>
      <c r="T32" s="845">
        <f>'[1]IRA and CHIPS'!F191</f>
        <v>21.89</v>
      </c>
      <c r="U32" s="845">
        <f>'[1]IRA and CHIPS'!G191</f>
        <v>21.89</v>
      </c>
      <c r="V32" s="845">
        <f>'[1]IRA and CHIPS'!H191</f>
        <v>21.89</v>
      </c>
      <c r="W32" s="845">
        <f>'[1]IRA and CHIPS'!I191</f>
        <v>21.89</v>
      </c>
      <c r="X32" s="841">
        <f>'[1]IRA and CHIPS'!J191</f>
        <v>15.439</v>
      </c>
      <c r="Y32" s="841">
        <f>'[1]IRA and CHIPS'!K191</f>
        <v>15.439</v>
      </c>
      <c r="Z32" s="841">
        <f>'[1]IRA and CHIPS'!L191</f>
        <v>15.439</v>
      </c>
      <c r="AA32" s="841">
        <f>'[1]IRA and CHIPS'!M191</f>
        <v>15.439</v>
      </c>
      <c r="AB32" s="841">
        <f>'[1]IRA and CHIPS'!N191</f>
        <v>16.966999999999999</v>
      </c>
      <c r="AC32" s="841">
        <f>'[1]IRA and CHIPS'!O191</f>
        <v>16.966999999999999</v>
      </c>
      <c r="AD32" s="841">
        <f>'[1]IRA and CHIPS'!P191</f>
        <v>16.966999999999999</v>
      </c>
      <c r="AE32" s="841">
        <f>'[1]IRA and CHIPS'!Q191</f>
        <v>16.966999999999999</v>
      </c>
      <c r="AF32" s="841">
        <f>'[1]IRA and CHIPS'!R191</f>
        <v>0.72799999999999998</v>
      </c>
      <c r="AG32" s="841">
        <f>'[1]IRA and CHIPS'!S191</f>
        <v>0.72799999999999998</v>
      </c>
      <c r="AH32" s="841">
        <f>0</f>
        <v>0</v>
      </c>
      <c r="AI32" s="841">
        <f>0</f>
        <v>0</v>
      </c>
      <c r="AJ32" s="841">
        <f>0</f>
        <v>0</v>
      </c>
      <c r="AK32" s="841">
        <f>0</f>
        <v>0</v>
      </c>
      <c r="AL32" s="841">
        <f>0</f>
        <v>0</v>
      </c>
      <c r="AM32" s="841">
        <f>0</f>
        <v>0</v>
      </c>
      <c r="AN32" s="841">
        <f>0</f>
        <v>0</v>
      </c>
    </row>
    <row r="33" spans="2:40" ht="31.4" customHeight="1" x14ac:dyDescent="0.35">
      <c r="B33" s="695" t="s">
        <v>763</v>
      </c>
      <c r="C33" s="385"/>
      <c r="D33" s="680">
        <f t="shared" ref="D33:R33" si="13">D31+SUM(D26:D29)+D32</f>
        <v>1440.9</v>
      </c>
      <c r="E33" s="680">
        <f t="shared" si="13"/>
        <v>1500.7000000000003</v>
      </c>
      <c r="F33" s="680">
        <f t="shared" si="13"/>
        <v>1505.8999999999996</v>
      </c>
      <c r="G33" s="680">
        <f t="shared" si="13"/>
        <v>1512.6999999999998</v>
      </c>
      <c r="H33" s="680">
        <f t="shared" si="13"/>
        <v>1520.8000000000002</v>
      </c>
      <c r="I33" s="680">
        <f t="shared" si="13"/>
        <v>1572.4</v>
      </c>
      <c r="J33" s="680">
        <f t="shared" si="13"/>
        <v>1649.3000000000004</v>
      </c>
      <c r="K33" s="680">
        <f t="shared" si="13"/>
        <v>1804.1</v>
      </c>
      <c r="L33" s="680">
        <f t="shared" si="13"/>
        <v>1687.3999999999999</v>
      </c>
      <c r="M33" s="680">
        <f t="shared" si="13"/>
        <v>1744.3000000000004</v>
      </c>
      <c r="N33" s="680">
        <f t="shared" si="13"/>
        <v>1748.4781600000001</v>
      </c>
      <c r="O33" s="680">
        <f t="shared" si="13"/>
        <v>1919.3298399999999</v>
      </c>
      <c r="P33" s="680">
        <f t="shared" si="13"/>
        <v>1899.5239999999999</v>
      </c>
      <c r="Q33" s="680">
        <f t="shared" si="13"/>
        <v>1929.424</v>
      </c>
      <c r="R33" s="680">
        <f t="shared" si="13"/>
        <v>1935.4239999999995</v>
      </c>
      <c r="S33" s="680">
        <f>S31+SUM(S26:S29)+S32</f>
        <v>1929.3240000000001</v>
      </c>
      <c r="T33" s="849">
        <f>T31+SUM(T26:T29)+T32</f>
        <v>2003.6840000000002</v>
      </c>
      <c r="U33" s="849">
        <f>U31+SUM(U26:U29)+U32</f>
        <v>2013.7840000000001</v>
      </c>
      <c r="V33" s="680">
        <f>V31+SUM(V26:V29)+V32</f>
        <v>2002.924</v>
      </c>
      <c r="W33" s="680">
        <f>W31+SUM(W26:W29)+W32</f>
        <v>2013.7240000000002</v>
      </c>
      <c r="X33" s="682">
        <f t="shared" ref="X33" si="14">X31+SUM(X26:X29)+X32</f>
        <v>2019.2990000000002</v>
      </c>
      <c r="Y33" s="682">
        <f>Y31+SUM(Y26:Y29)+Y32</f>
        <v>2111.2989999999995</v>
      </c>
      <c r="Z33" s="682">
        <f t="shared" ref="Z33:AB33" si="15">Z31+SUM(Z26:Z29)+Z32</f>
        <v>2135.3989999999999</v>
      </c>
      <c r="AA33" s="682">
        <f t="shared" si="15"/>
        <v>2152.1989999999996</v>
      </c>
      <c r="AB33" s="682">
        <f t="shared" si="15"/>
        <v>2169.998</v>
      </c>
      <c r="AC33" s="682">
        <f>AC31+SUM(AC26:AC29)+AC32</f>
        <v>2262.2980000000002</v>
      </c>
      <c r="AD33" s="682">
        <f>AD31+SUM(AD26:AD29)+AD32</f>
        <v>2268.998</v>
      </c>
      <c r="AE33" s="682">
        <f t="shared" ref="AE33" si="16">AE31+SUM(AE26:AE29)+AE32</f>
        <v>2275.6980000000003</v>
      </c>
      <c r="AF33" s="682">
        <f>AF31+SUM(AF26:AF29)+AF32</f>
        <v>2266.1590000000001</v>
      </c>
      <c r="AG33" s="682">
        <f>AG31+SUM(AG26:AG29)+AG32</f>
        <v>2311.4161905010001</v>
      </c>
      <c r="AH33" s="682">
        <f>AH31+SUM(AH26:AH29)+AH32</f>
        <v>2317.3881905010003</v>
      </c>
      <c r="AI33" s="682">
        <f>AI31+SUM(AI26:AI29)+AI32</f>
        <v>2325.0881905010001</v>
      </c>
      <c r="AJ33" s="682">
        <f t="shared" ref="AJ33:AN33" si="17">AJ31+SUM(AJ26:AJ29)+AJ32</f>
        <v>2332.7881905010004</v>
      </c>
      <c r="AK33" s="682">
        <f t="shared" si="17"/>
        <v>2381.3600593835235</v>
      </c>
      <c r="AL33" s="682">
        <f t="shared" si="17"/>
        <v>2389.0600593835234</v>
      </c>
      <c r="AM33" s="682">
        <f t="shared" si="17"/>
        <v>2396.7600593835232</v>
      </c>
      <c r="AN33" s="682">
        <f t="shared" si="17"/>
        <v>2404.460059383523</v>
      </c>
    </row>
    <row r="34" spans="2:40" ht="31.4" customHeight="1" x14ac:dyDescent="0.35">
      <c r="B34" s="695"/>
      <c r="C34" s="385"/>
      <c r="D34" s="680"/>
      <c r="E34" s="680"/>
      <c r="F34" s="680"/>
      <c r="G34" s="680"/>
      <c r="H34" s="680"/>
      <c r="I34" s="680"/>
      <c r="J34" s="680"/>
      <c r="K34" s="680"/>
      <c r="L34" s="680"/>
      <c r="M34" s="680"/>
      <c r="N34" s="680"/>
      <c r="O34" s="680"/>
      <c r="P34" s="680"/>
      <c r="Q34" s="680"/>
      <c r="R34" s="680"/>
      <c r="S34" s="680"/>
      <c r="T34" s="680"/>
      <c r="U34" s="680"/>
      <c r="V34" s="680"/>
      <c r="W34" s="680"/>
      <c r="X34" s="682"/>
      <c r="Y34" s="682"/>
      <c r="Z34" s="682"/>
      <c r="AA34" s="682"/>
      <c r="AB34" s="682"/>
      <c r="AC34" s="682"/>
      <c r="AD34" s="682">
        <f>AD31+AD29-AD70</f>
        <v>580.4079999999999</v>
      </c>
      <c r="AE34" s="682">
        <f t="shared" ref="AE34:AN34" si="18">AE31+AE29-AE70</f>
        <v>577.10800000000017</v>
      </c>
      <c r="AF34" s="682">
        <f t="shared" si="18"/>
        <v>567.80800000000045</v>
      </c>
      <c r="AG34" s="682">
        <f t="shared" si="18"/>
        <v>559.73460350100049</v>
      </c>
      <c r="AH34" s="682">
        <f t="shared" si="18"/>
        <v>550.43460350100031</v>
      </c>
      <c r="AI34" s="682">
        <f t="shared" si="18"/>
        <v>541.13460350100013</v>
      </c>
      <c r="AJ34" s="682">
        <f t="shared" si="18"/>
        <v>532.8346035010004</v>
      </c>
      <c r="AK34" s="682">
        <f t="shared" si="18"/>
        <v>526.76828188252352</v>
      </c>
      <c r="AL34" s="682">
        <f t="shared" si="18"/>
        <v>520.46828188252334</v>
      </c>
      <c r="AM34" s="682">
        <f t="shared" si="18"/>
        <v>515.16828188252316</v>
      </c>
      <c r="AN34" s="682">
        <f t="shared" si="18"/>
        <v>510.86828188252298</v>
      </c>
    </row>
    <row r="35" spans="2:40" ht="31.4" customHeight="1" x14ac:dyDescent="0.35">
      <c r="B35" s="1496" t="s">
        <v>436</v>
      </c>
      <c r="C35" s="1497"/>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c r="AE35" s="682"/>
      <c r="AF35" s="682"/>
      <c r="AG35" s="682"/>
      <c r="AH35" s="682"/>
      <c r="AI35" s="682"/>
      <c r="AJ35" s="682"/>
      <c r="AK35" s="682"/>
      <c r="AL35" s="682"/>
      <c r="AM35" s="682"/>
      <c r="AN35" s="682"/>
    </row>
    <row r="36" spans="2:40" x14ac:dyDescent="0.35">
      <c r="B36" s="403" t="s">
        <v>768</v>
      </c>
      <c r="C36" s="268" t="s">
        <v>437</v>
      </c>
      <c r="D36" s="392">
        <f>'[1]Haver Pivoted'!GO37</f>
        <v>733.6</v>
      </c>
      <c r="E36" s="265">
        <f>'[1]Haver Pivoted'!GP37</f>
        <v>744.3</v>
      </c>
      <c r="F36" s="265">
        <f>'[1]Haver Pivoted'!GQ37</f>
        <v>762.3</v>
      </c>
      <c r="G36" s="265">
        <f>'[1]Haver Pivoted'!GR37</f>
        <v>772.2</v>
      </c>
      <c r="H36" s="265">
        <f>'[1]Haver Pivoted'!GS37</f>
        <v>772.1</v>
      </c>
      <c r="I36" s="265">
        <f>'[1]Haver Pivoted'!GT37</f>
        <v>760.8</v>
      </c>
      <c r="J36" s="265">
        <f>'[1]Haver Pivoted'!GU37</f>
        <v>811.3</v>
      </c>
      <c r="K36" s="265">
        <f>'[1]Haver Pivoted'!GV37</f>
        <v>850.3</v>
      </c>
      <c r="L36" s="265">
        <f>'[1]Haver Pivoted'!GW37</f>
        <v>840.3</v>
      </c>
      <c r="M36" s="265">
        <f>'[1]Haver Pivoted'!GX37</f>
        <v>869.7</v>
      </c>
      <c r="N36" s="265">
        <f>'[1]Haver Pivoted'!GY37</f>
        <v>913.8</v>
      </c>
      <c r="O36" s="265">
        <f>'[1]Haver Pivoted'!GZ37</f>
        <v>923.8</v>
      </c>
      <c r="P36" s="265">
        <f>'[1]Haver Pivoted'!HA37</f>
        <v>923.5</v>
      </c>
      <c r="Q36" s="265">
        <f>'[1]Haver Pivoted'!HB37</f>
        <v>973.6</v>
      </c>
      <c r="R36" s="265">
        <f>'[1]Haver Pivoted'!HC37</f>
        <v>1010.5</v>
      </c>
      <c r="S36" s="745">
        <f>'[1]Haver Pivoted'!HD37</f>
        <v>1032.5999999999999</v>
      </c>
      <c r="T36" s="745">
        <f>'[1]Haver Pivoted'!HE37</f>
        <v>1096.5999999999999</v>
      </c>
      <c r="U36" s="745">
        <f>'[1]Haver Pivoted'!HF37</f>
        <v>1083.2</v>
      </c>
      <c r="V36" s="607">
        <f>'[1]Haver Pivoted'!HG37</f>
        <v>1111.0999999999999</v>
      </c>
      <c r="W36" s="607">
        <f>'[1]Haver Pivoted'!HH37</f>
        <v>1069.4000000000001</v>
      </c>
      <c r="X36" s="607">
        <f>'[1]Haver Pivoted'!HI37</f>
        <v>1061</v>
      </c>
      <c r="Y36" s="607">
        <f>'[1]Haver Pivoted'!HJ37</f>
        <v>1113.5</v>
      </c>
      <c r="Z36" s="607">
        <f>'[1]Haver Pivoted'!HK37</f>
        <v>1136.9000000000001</v>
      </c>
      <c r="AA36" s="607">
        <f>'[1]Haver Pivoted'!HL37</f>
        <v>1154</v>
      </c>
      <c r="AB36" s="607">
        <f>'[1]Haver Pivoted'!HM37</f>
        <v>1162.5</v>
      </c>
      <c r="AC36" s="607">
        <f>'[1]Haver Pivoted'!HN37</f>
        <v>1176.2</v>
      </c>
      <c r="AD36" s="405"/>
      <c r="AE36" s="405"/>
      <c r="AF36" s="405"/>
      <c r="AG36" s="405"/>
      <c r="AH36" s="405"/>
      <c r="AI36" s="405"/>
      <c r="AJ36" s="405"/>
      <c r="AK36" s="405"/>
      <c r="AL36" s="405"/>
      <c r="AM36" s="405"/>
      <c r="AN36" s="405"/>
    </row>
    <row r="37" spans="2:40" x14ac:dyDescent="0.35">
      <c r="B37" s="679" t="s">
        <v>197</v>
      </c>
      <c r="C37" s="268"/>
      <c r="D37" s="705">
        <f>[1]Medicaid!D27</f>
        <v>589.5</v>
      </c>
      <c r="E37" s="606">
        <f>[1]Medicaid!E27</f>
        <v>598.70000000000005</v>
      </c>
      <c r="F37" s="606">
        <f>[1]Medicaid!F27</f>
        <v>614.4</v>
      </c>
      <c r="G37" s="606">
        <f>[1]Medicaid!G27</f>
        <v>622.4</v>
      </c>
      <c r="H37" s="606">
        <f>[1]Medicaid!H27</f>
        <v>620.6</v>
      </c>
      <c r="I37" s="606">
        <f>[1]Medicaid!I27</f>
        <v>606.5</v>
      </c>
      <c r="J37" s="606">
        <f>[1]Medicaid!J27</f>
        <v>654.6</v>
      </c>
      <c r="K37" s="606">
        <f>[1]Medicaid!K27</f>
        <v>690.8</v>
      </c>
      <c r="L37" s="606">
        <f>[1]Medicaid!L27</f>
        <v>678.6</v>
      </c>
      <c r="M37" s="606">
        <f>[1]Medicaid!M27</f>
        <v>704.9</v>
      </c>
      <c r="N37" s="606">
        <f>[1]Medicaid!N27</f>
        <v>745.6</v>
      </c>
      <c r="O37" s="606">
        <f>[1]Medicaid!O27</f>
        <v>749.2</v>
      </c>
      <c r="P37" s="606">
        <f>[1]Medicaid!P27</f>
        <v>746.3</v>
      </c>
      <c r="Q37" s="606">
        <f>[1]Medicaid!Q27</f>
        <v>791.9</v>
      </c>
      <c r="R37" s="606">
        <f>[1]Medicaid!R27</f>
        <v>819.2</v>
      </c>
      <c r="S37" s="745">
        <f>[1]Medicaid!S27</f>
        <v>819</v>
      </c>
      <c r="T37" s="606">
        <f>[1]Medicaid!T27</f>
        <v>827.5</v>
      </c>
      <c r="U37" s="606">
        <f>[1]Medicaid!U27</f>
        <v>877.6</v>
      </c>
      <c r="V37" s="606">
        <f>[1]Medicaid!V27</f>
        <v>911.6</v>
      </c>
      <c r="W37" s="606">
        <f>[1]Medicaid!W27</f>
        <v>867.2</v>
      </c>
      <c r="X37" s="711">
        <f>[1]Medicaid!X27</f>
        <v>856.2</v>
      </c>
      <c r="Y37" s="711">
        <f>[1]Medicaid!Y27</f>
        <v>904.8</v>
      </c>
      <c r="Z37" s="711">
        <f>[1]Medicaid!Z27</f>
        <v>924.7</v>
      </c>
      <c r="AA37" s="711">
        <f>[1]Medicaid!AA27</f>
        <v>932.4</v>
      </c>
      <c r="AB37" s="711">
        <f>[1]Medicaid!AB27</f>
        <v>944.8</v>
      </c>
      <c r="AC37" s="711">
        <f>[1]Medicaid!AC27</f>
        <v>957.6</v>
      </c>
      <c r="AD37" s="711">
        <f>[1]Medicaid!AD27</f>
        <v>969.02169234293717</v>
      </c>
      <c r="AE37" s="711">
        <f>[1]Medicaid!AE27</f>
        <v>985.63925302097391</v>
      </c>
      <c r="AF37" s="711">
        <f>[1]Medicaid!AF27</f>
        <v>1000.6374493152194</v>
      </c>
      <c r="AG37" s="711">
        <f>[1]Medicaid!AG27</f>
        <v>1015.8638689593278</v>
      </c>
      <c r="AH37" s="711">
        <f>[1]Medicaid!AH27</f>
        <v>1031.3219847640555</v>
      </c>
      <c r="AI37" s="711">
        <f>[1]Medicaid!AI27</f>
        <v>1047.0153223849477</v>
      </c>
      <c r="AJ37" s="711">
        <f>[1]Medicaid!AJ27</f>
        <v>1062.6373302089942</v>
      </c>
      <c r="AK37" s="711">
        <f>[1]Medicaid!AK27</f>
        <v>1078.4924264351268</v>
      </c>
      <c r="AL37" s="711">
        <f>[1]Medicaid!AL27</f>
        <v>1094.5840888623457</v>
      </c>
      <c r="AM37" s="711">
        <f>[1]Medicaid!AM27</f>
        <v>1110.9158471802029</v>
      </c>
      <c r="AN37" s="711" t="e">
        <f>[1]Medicaid!AN27</f>
        <v>#DIV/0!</v>
      </c>
    </row>
    <row r="38" spans="2:40" ht="14.9" customHeight="1" x14ac:dyDescent="0.35">
      <c r="B38" s="695" t="s">
        <v>769</v>
      </c>
      <c r="C38" s="385"/>
      <c r="D38" s="704">
        <f>D36-D37</f>
        <v>144.10000000000002</v>
      </c>
      <c r="E38" s="680">
        <f t="shared" ref="E38:O38" si="19">E36-E37</f>
        <v>145.59999999999991</v>
      </c>
      <c r="F38" s="680">
        <f t="shared" si="19"/>
        <v>147.89999999999998</v>
      </c>
      <c r="G38" s="680">
        <f t="shared" si="19"/>
        <v>149.80000000000007</v>
      </c>
      <c r="H38" s="680">
        <f t="shared" si="19"/>
        <v>151.5</v>
      </c>
      <c r="I38" s="680">
        <f t="shared" si="19"/>
        <v>154.29999999999995</v>
      </c>
      <c r="J38" s="680">
        <f t="shared" si="19"/>
        <v>156.69999999999993</v>
      </c>
      <c r="K38" s="680">
        <f t="shared" si="19"/>
        <v>159.5</v>
      </c>
      <c r="L38" s="680">
        <f t="shared" si="19"/>
        <v>161.69999999999993</v>
      </c>
      <c r="M38" s="680">
        <f t="shared" si="19"/>
        <v>164.80000000000007</v>
      </c>
      <c r="N38" s="680">
        <f t="shared" si="19"/>
        <v>168.19999999999993</v>
      </c>
      <c r="O38" s="680">
        <f t="shared" si="19"/>
        <v>174.59999999999991</v>
      </c>
      <c r="P38" s="680">
        <f>P36-P37</f>
        <v>177.20000000000005</v>
      </c>
      <c r="Q38" s="680">
        <f>Q36-Q37</f>
        <v>181.70000000000005</v>
      </c>
      <c r="R38" s="680">
        <f>R36-R37</f>
        <v>191.29999999999995</v>
      </c>
      <c r="S38" s="745">
        <f>S36-S37</f>
        <v>213.59999999999991</v>
      </c>
      <c r="T38" s="745">
        <f>T36-T37</f>
        <v>269.09999999999991</v>
      </c>
      <c r="U38" s="680">
        <f>T38*(1+AVERAGE($F$40:$I$40))+U39</f>
        <v>203.03380700109631</v>
      </c>
      <c r="V38" s="680">
        <f>U38*(1+AVERAGE($F$40:$I$40))+V39</f>
        <v>206.0018330562437</v>
      </c>
      <c r="W38" s="680">
        <f t="shared" ref="W38:AA38" si="20">V38*(1+AVERAGE($F$40:$I$40))</f>
        <v>209.01324685451698</v>
      </c>
      <c r="X38" s="682">
        <f>W38*(1+AVERAGE($F$40:$I$40))</f>
        <v>212.06868265458453</v>
      </c>
      <c r="Y38" s="682">
        <f t="shared" si="20"/>
        <v>215.16878398695127</v>
      </c>
      <c r="Z38" s="682">
        <f t="shared" si="20"/>
        <v>218.31420378949775</v>
      </c>
      <c r="AA38" s="682">
        <f t="shared" si="20"/>
        <v>221.50560454500092</v>
      </c>
      <c r="AB38" s="682">
        <f>AA38*(1+AVERAGE($F$40:$I$40))</f>
        <v>224.74365842066501</v>
      </c>
      <c r="AC38" s="682">
        <f>AB38*(1+AVERAGE($F$40:$I$40))</f>
        <v>228.02904740969223</v>
      </c>
      <c r="AD38" s="682">
        <f>AC38*(1+AVERAGE($F$40:$I$40))</f>
        <v>231.36246347492295</v>
      </c>
      <c r="AE38" s="682">
        <f>AD38*(1+AVERAGE($F$40:$I$40))</f>
        <v>234.7446086945757</v>
      </c>
      <c r="AF38" s="682">
        <f t="shared" ref="AF38:AI38" si="21">AE38*(1+AVERAGE($F$40:$I$40))</f>
        <v>238.17619541011769</v>
      </c>
      <c r="AG38" s="682">
        <f t="shared" si="21"/>
        <v>241.65794637629688</v>
      </c>
      <c r="AH38" s="682">
        <f t="shared" si="21"/>
        <v>245.19059491336728</v>
      </c>
      <c r="AI38" s="682">
        <f t="shared" si="21"/>
        <v>248.77488506153966</v>
      </c>
      <c r="AJ38" s="682">
        <f>AI38*(1+AVERAGE($F$40:$I$40))</f>
        <v>252.41157173768991</v>
      </c>
      <c r="AK38" s="682">
        <f t="shared" ref="AK38:AN38" si="22">AJ38*(1+AVERAGE($F$40:$I$40))</f>
        <v>256.10142089435828</v>
      </c>
      <c r="AL38" s="682">
        <f t="shared" si="22"/>
        <v>259.84520968107307</v>
      </c>
      <c r="AM38" s="682">
        <f t="shared" si="22"/>
        <v>263.64372660803241</v>
      </c>
      <c r="AN38" s="682">
        <f t="shared" si="22"/>
        <v>267.49777171217886</v>
      </c>
    </row>
    <row r="39" spans="2:40" ht="14.9" customHeight="1" x14ac:dyDescent="0.35">
      <c r="B39" s="695" t="s">
        <v>1644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682"/>
      <c r="AF39" s="682"/>
      <c r="AG39" s="682"/>
      <c r="AH39" s="682"/>
      <c r="AI39" s="682"/>
      <c r="AJ39" s="682"/>
      <c r="AK39" s="682"/>
      <c r="AL39" s="682"/>
      <c r="AM39" s="682"/>
      <c r="AN39" s="682"/>
    </row>
    <row r="40" spans="2:40" x14ac:dyDescent="0.35">
      <c r="B40" s="860" t="s">
        <v>770</v>
      </c>
      <c r="C40" s="468"/>
      <c r="D40" s="706"/>
      <c r="E40" s="694">
        <f>E38/D38-1</f>
        <v>1.0409437890353201E-2</v>
      </c>
      <c r="F40" s="694">
        <f t="shared" ref="F40:N40" si="23">F38/E38-1</f>
        <v>1.5796703296703685E-2</v>
      </c>
      <c r="G40" s="694">
        <f t="shared" si="23"/>
        <v>1.2846517917512346E-2</v>
      </c>
      <c r="H40" s="694">
        <f t="shared" si="23"/>
        <v>1.1348464619492127E-2</v>
      </c>
      <c r="I40" s="694">
        <f t="shared" si="23"/>
        <v>1.8481848184818128E-2</v>
      </c>
      <c r="J40" s="694">
        <f t="shared" si="23"/>
        <v>1.5554115359688758E-2</v>
      </c>
      <c r="K40" s="694">
        <f t="shared" si="23"/>
        <v>1.7868538608807105E-2</v>
      </c>
      <c r="L40" s="694">
        <f t="shared" si="23"/>
        <v>1.3793103448275446E-2</v>
      </c>
      <c r="M40" s="694">
        <f t="shared" si="23"/>
        <v>1.9171304885591489E-2</v>
      </c>
      <c r="N40" s="694">
        <f t="shared" si="23"/>
        <v>2.0631067961164318E-2</v>
      </c>
      <c r="O40" s="694">
        <f>O38/N38-1</f>
        <v>3.8049940546967864E-2</v>
      </c>
      <c r="P40" s="694">
        <f t="shared" ref="P40:S40" si="24">P38/O38-1</f>
        <v>1.4891179839634283E-2</v>
      </c>
      <c r="Q40" s="694">
        <f t="shared" si="24"/>
        <v>2.5395033860045046E-2</v>
      </c>
      <c r="R40" s="694">
        <f t="shared" si="24"/>
        <v>5.2834342322509054E-2</v>
      </c>
      <c r="S40" s="766">
        <f t="shared" si="24"/>
        <v>0.11657083115525335</v>
      </c>
      <c r="T40" s="681"/>
      <c r="U40" s="681"/>
      <c r="V40" s="681"/>
      <c r="W40" s="681"/>
      <c r="X40" s="702"/>
      <c r="Y40" s="702"/>
      <c r="Z40" s="702"/>
      <c r="AA40" s="702"/>
      <c r="AB40" s="702"/>
      <c r="AC40" s="702"/>
      <c r="AD40" s="702"/>
      <c r="AE40" s="702"/>
      <c r="AF40" s="702"/>
      <c r="AG40" s="702"/>
      <c r="AH40" s="702"/>
      <c r="AI40" s="702"/>
      <c r="AJ40" s="702"/>
      <c r="AK40" s="702"/>
      <c r="AL40" s="702"/>
      <c r="AM40" s="702"/>
      <c r="AN40" s="702"/>
    </row>
    <row r="44" spans="2:40" x14ac:dyDescent="0.35">
      <c r="P44" s="597"/>
      <c r="Q44" s="597"/>
    </row>
    <row r="45" spans="2:40" x14ac:dyDescent="0.35">
      <c r="B45" s="630" t="s">
        <v>318</v>
      </c>
      <c r="D45" s="606"/>
      <c r="E45" s="606"/>
      <c r="F45" s="606"/>
      <c r="G45" s="606"/>
      <c r="H45" s="606"/>
      <c r="I45" s="606"/>
      <c r="J45" s="606"/>
      <c r="K45" s="606"/>
      <c r="L45" s="606"/>
      <c r="M45" s="606"/>
      <c r="N45" s="606"/>
      <c r="O45" s="606"/>
      <c r="P45" s="606"/>
      <c r="Q45" s="606"/>
      <c r="R45" s="606"/>
      <c r="S45" s="606"/>
      <c r="T45" s="606"/>
      <c r="U45" s="606"/>
      <c r="V45" s="606"/>
      <c r="W45" s="606"/>
      <c r="X45" s="606"/>
      <c r="Y45" s="606"/>
      <c r="Z45" s="606"/>
      <c r="AA45" s="606"/>
      <c r="AB45" s="606"/>
      <c r="AC45" s="606"/>
    </row>
    <row r="46" spans="2:40" ht="45.75" customHeight="1" x14ac:dyDescent="0.35">
      <c r="B46" s="1416" t="s">
        <v>440</v>
      </c>
      <c r="C46" s="1416"/>
      <c r="D46" s="1388"/>
      <c r="E46" s="1388"/>
      <c r="F46" s="1388"/>
      <c r="G46" s="1388"/>
      <c r="H46" s="1388"/>
      <c r="I46" s="1388"/>
      <c r="J46" s="1388"/>
      <c r="K46" s="1388"/>
      <c r="L46" s="1388"/>
      <c r="M46" s="1388"/>
      <c r="N46" s="1388"/>
      <c r="O46" s="1388"/>
      <c r="P46" s="1388"/>
      <c r="Q46" s="1388"/>
      <c r="R46" s="1388"/>
      <c r="S46" s="1388"/>
      <c r="T46" s="1388"/>
      <c r="U46" s="1388"/>
      <c r="V46" s="1388"/>
      <c r="W46" s="1388"/>
      <c r="X46" s="1388"/>
      <c r="Y46" s="1388"/>
      <c r="Z46" s="1388"/>
      <c r="AA46" s="1388"/>
      <c r="AB46" s="1388"/>
      <c r="AC46" s="1388"/>
    </row>
    <row r="47" spans="2:40" ht="14.9" customHeight="1" x14ac:dyDescent="0.35">
      <c r="B47" s="1391" t="s">
        <v>441</v>
      </c>
      <c r="C47" s="1392"/>
      <c r="D47" s="1427" t="s">
        <v>246</v>
      </c>
      <c r="E47" s="1427"/>
      <c r="F47" s="1427"/>
      <c r="G47" s="1427"/>
      <c r="H47" s="1427"/>
      <c r="I47" s="1427"/>
      <c r="J47" s="1427"/>
      <c r="K47" s="1427"/>
      <c r="L47" s="1427"/>
      <c r="M47" s="1427"/>
      <c r="N47" s="1427"/>
      <c r="O47" s="1427"/>
      <c r="P47" s="1427"/>
      <c r="Q47" s="1427"/>
      <c r="R47" s="1427"/>
      <c r="S47" s="1427"/>
      <c r="T47" s="1427"/>
      <c r="U47" s="1427"/>
      <c r="V47" s="1427"/>
      <c r="W47" s="1427"/>
      <c r="X47" s="1427"/>
      <c r="Y47" s="1427"/>
      <c r="Z47" s="1427"/>
      <c r="AA47" s="1427"/>
      <c r="AB47" s="1427"/>
      <c r="AC47" s="1440" t="s">
        <v>247</v>
      </c>
      <c r="AD47" s="1441"/>
      <c r="AE47" s="1441"/>
      <c r="AF47" s="1441"/>
      <c r="AG47" s="1441"/>
      <c r="AH47" s="1441"/>
      <c r="AI47" s="1441"/>
      <c r="AJ47" s="1441"/>
      <c r="AK47" s="1441"/>
      <c r="AL47" s="1441"/>
      <c r="AM47" s="1441"/>
      <c r="AN47" s="1442"/>
    </row>
    <row r="48" spans="2:40" x14ac:dyDescent="0.35">
      <c r="B48" s="1391"/>
      <c r="C48" s="1392"/>
      <c r="D48" s="249">
        <v>2018</v>
      </c>
      <c r="E48" s="1398">
        <v>2019</v>
      </c>
      <c r="F48" s="1399"/>
      <c r="G48" s="1399"/>
      <c r="H48" s="1400"/>
      <c r="I48" s="1398">
        <v>2020</v>
      </c>
      <c r="J48" s="1399"/>
      <c r="K48" s="1399"/>
      <c r="L48" s="1399"/>
      <c r="M48" s="1398">
        <v>2021</v>
      </c>
      <c r="N48" s="1399"/>
      <c r="O48" s="1399"/>
      <c r="P48" s="1399"/>
      <c r="Q48" s="1398">
        <v>2022</v>
      </c>
      <c r="R48" s="1399"/>
      <c r="S48" s="1399"/>
      <c r="T48" s="1400"/>
      <c r="U48" s="277"/>
      <c r="V48" s="277">
        <v>2023</v>
      </c>
      <c r="W48" s="277"/>
      <c r="X48" s="279"/>
      <c r="Y48" s="283"/>
      <c r="Z48" s="277">
        <v>2024</v>
      </c>
      <c r="AA48" s="277"/>
      <c r="AB48" s="279"/>
      <c r="AC48" s="1412">
        <v>2025</v>
      </c>
      <c r="AD48" s="1424"/>
      <c r="AE48" s="1424"/>
      <c r="AF48" s="1414"/>
      <c r="AG48" s="1412">
        <v>2026</v>
      </c>
      <c r="AH48" s="1424"/>
      <c r="AI48" s="1424"/>
      <c r="AJ48" s="1414"/>
      <c r="AK48" s="1412">
        <v>2027</v>
      </c>
      <c r="AL48" s="1424"/>
      <c r="AM48" s="1424"/>
      <c r="AN48" s="1414"/>
    </row>
    <row r="49" spans="2:40" x14ac:dyDescent="0.35">
      <c r="B49" s="1393"/>
      <c r="C49" s="1394"/>
      <c r="D49" s="244" t="s">
        <v>248</v>
      </c>
      <c r="E49" s="244" t="s">
        <v>249</v>
      </c>
      <c r="F49" s="245" t="s">
        <v>250</v>
      </c>
      <c r="G49" s="245" t="s">
        <v>226</v>
      </c>
      <c r="H49" s="246" t="s">
        <v>248</v>
      </c>
      <c r="I49" s="245" t="s">
        <v>249</v>
      </c>
      <c r="J49" s="245" t="s">
        <v>250</v>
      </c>
      <c r="K49" s="245" t="s">
        <v>226</v>
      </c>
      <c r="L49" s="245" t="s">
        <v>248</v>
      </c>
      <c r="M49" s="244" t="s">
        <v>249</v>
      </c>
      <c r="N49" s="245" t="s">
        <v>250</v>
      </c>
      <c r="O49" s="245" t="s">
        <v>226</v>
      </c>
      <c r="P49" s="245" t="s">
        <v>248</v>
      </c>
      <c r="Q49" s="244" t="s">
        <v>249</v>
      </c>
      <c r="R49" s="245" t="s">
        <v>250</v>
      </c>
      <c r="S49" s="245" t="s">
        <v>226</v>
      </c>
      <c r="T49" s="246" t="s">
        <v>248</v>
      </c>
      <c r="U49" s="245" t="s">
        <v>249</v>
      </c>
      <c r="V49" s="273" t="s">
        <v>250</v>
      </c>
      <c r="W49" s="273" t="s">
        <v>226</v>
      </c>
      <c r="X49" s="271" t="s">
        <v>248</v>
      </c>
      <c r="Y49" s="272" t="s">
        <v>249</v>
      </c>
      <c r="Z49" s="274" t="s">
        <v>250</v>
      </c>
      <c r="AA49" s="273" t="s">
        <v>226</v>
      </c>
      <c r="AB49" s="273" t="s">
        <v>248</v>
      </c>
      <c r="AC49" s="272" t="s">
        <v>249</v>
      </c>
      <c r="AD49" s="269" t="s">
        <v>250</v>
      </c>
      <c r="AE49" s="270" t="s">
        <v>226</v>
      </c>
      <c r="AF49" s="270" t="s">
        <v>248</v>
      </c>
      <c r="AG49" s="275" t="s">
        <v>249</v>
      </c>
      <c r="AH49" s="269" t="s">
        <v>250</v>
      </c>
      <c r="AI49" s="270" t="s">
        <v>226</v>
      </c>
      <c r="AJ49" s="276" t="s">
        <v>248</v>
      </c>
      <c r="AK49" s="275" t="s">
        <v>249</v>
      </c>
      <c r="AL49" s="269" t="s">
        <v>250</v>
      </c>
      <c r="AM49" s="270" t="s">
        <v>226</v>
      </c>
      <c r="AN49" s="276" t="s">
        <v>248</v>
      </c>
    </row>
    <row r="50" spans="2:40" x14ac:dyDescent="0.35">
      <c r="B50" s="679" t="s">
        <v>1384</v>
      </c>
      <c r="D50" s="378"/>
      <c r="E50" s="422"/>
      <c r="F50" s="422"/>
      <c r="G50" s="422"/>
      <c r="H50" s="422"/>
      <c r="I50" s="689">
        <f>(I51-AVERAGE($E51:$H51))</f>
        <v>6.9120000000000061</v>
      </c>
      <c r="J50" s="689">
        <f t="shared" ref="J50:AC50" si="25">(J51-AVERAGE($E51:$H51))</f>
        <v>50.955000000000005</v>
      </c>
      <c r="K50" s="689">
        <f t="shared" si="25"/>
        <v>51.173999999999999</v>
      </c>
      <c r="L50" s="689">
        <f t="shared" si="25"/>
        <v>51.893999999999998</v>
      </c>
      <c r="M50" s="689">
        <f t="shared" si="25"/>
        <v>91.075000000000017</v>
      </c>
      <c r="N50" s="689">
        <f t="shared" si="25"/>
        <v>100.63400000000001</v>
      </c>
      <c r="O50" s="689">
        <f t="shared" si="25"/>
        <v>93.89100000000002</v>
      </c>
      <c r="P50" s="689">
        <f t="shared" si="25"/>
        <v>100.22800000000001</v>
      </c>
      <c r="Q50" s="689">
        <f t="shared" si="25"/>
        <v>76.838999999999999</v>
      </c>
      <c r="R50" s="689">
        <f t="shared" si="25"/>
        <v>73.637</v>
      </c>
      <c r="S50" s="690">
        <f t="shared" si="25"/>
        <v>70.649000000000001</v>
      </c>
      <c r="T50" s="690">
        <f t="shared" si="25"/>
        <v>91.718000000000018</v>
      </c>
      <c r="U50" s="690">
        <f t="shared" si="25"/>
        <v>83.695999999999998</v>
      </c>
      <c r="V50" s="690">
        <f t="shared" si="25"/>
        <v>51.979000000000006</v>
      </c>
      <c r="W50" s="690">
        <f t="shared" si="25"/>
        <v>51.58400000000001</v>
      </c>
      <c r="X50" s="690">
        <f t="shared" si="25"/>
        <v>38.777999999999999</v>
      </c>
      <c r="Y50" s="690">
        <f t="shared" si="25"/>
        <v>37.295999999999999</v>
      </c>
      <c r="Z50" s="690">
        <f t="shared" si="25"/>
        <v>41.408000000000008</v>
      </c>
      <c r="AA50" s="690">
        <f t="shared" si="25"/>
        <v>48.07800000000001</v>
      </c>
      <c r="AB50" s="690">
        <f t="shared" si="25"/>
        <v>43.804000000000009</v>
      </c>
      <c r="AC50" s="690">
        <f t="shared" si="25"/>
        <v>40.554000000000009</v>
      </c>
      <c r="AD50" s="840">
        <f t="shared" ref="AD50:AG50" si="26">AC50</f>
        <v>40.554000000000009</v>
      </c>
      <c r="AE50" s="840">
        <f t="shared" si="26"/>
        <v>40.554000000000009</v>
      </c>
      <c r="AF50" s="840">
        <f t="shared" si="26"/>
        <v>40.554000000000009</v>
      </c>
      <c r="AG50" s="711">
        <f t="shared" si="26"/>
        <v>40.554000000000009</v>
      </c>
      <c r="AH50" s="711">
        <f>AG50</f>
        <v>40.554000000000009</v>
      </c>
      <c r="AI50" s="711">
        <f t="shared" ref="AI50" si="27">AH50</f>
        <v>40.554000000000009</v>
      </c>
      <c r="AJ50" s="711">
        <f>AI50</f>
        <v>40.554000000000009</v>
      </c>
      <c r="AK50" s="711">
        <f t="shared" ref="AK50:AN50" si="28">AJ50</f>
        <v>40.554000000000009</v>
      </c>
      <c r="AL50" s="711">
        <f t="shared" si="28"/>
        <v>40.554000000000009</v>
      </c>
      <c r="AM50" s="711">
        <f t="shared" si="28"/>
        <v>40.554000000000009</v>
      </c>
      <c r="AN50" s="711">
        <f t="shared" si="28"/>
        <v>40.554000000000009</v>
      </c>
    </row>
    <row r="51" spans="2:40" x14ac:dyDescent="0.35">
      <c r="B51" s="679" t="s">
        <v>148</v>
      </c>
      <c r="C51" s="268" t="s">
        <v>442</v>
      </c>
      <c r="D51" s="392">
        <f>'[1]Haver Pivoted'!GO66</f>
        <v>57.017000000000003</v>
      </c>
      <c r="E51" s="265">
        <f>'[1]Haver Pivoted'!GP66</f>
        <v>55.875</v>
      </c>
      <c r="F51" s="265">
        <f>'[1]Haver Pivoted'!GQ66</f>
        <v>54.335999999999999</v>
      </c>
      <c r="G51" s="265">
        <f>'[1]Haver Pivoted'!GR66</f>
        <v>54.345999999999997</v>
      </c>
      <c r="H51" s="265">
        <f>'[1]Haver Pivoted'!GS66</f>
        <v>54.290999999999997</v>
      </c>
      <c r="I51" s="265">
        <f>'[1]Haver Pivoted'!GT66</f>
        <v>61.624000000000002</v>
      </c>
      <c r="J51" s="265">
        <f>'[1]Haver Pivoted'!GU66</f>
        <v>105.667</v>
      </c>
      <c r="K51" s="265">
        <f>'[1]Haver Pivoted'!GV66</f>
        <v>105.886</v>
      </c>
      <c r="L51" s="265">
        <f>'[1]Haver Pivoted'!GW66</f>
        <v>106.60599999999999</v>
      </c>
      <c r="M51" s="265">
        <f>'[1]Haver Pivoted'!GX66</f>
        <v>145.78700000000001</v>
      </c>
      <c r="N51" s="265">
        <f>'[1]Haver Pivoted'!GY66</f>
        <v>155.346</v>
      </c>
      <c r="O51" s="265">
        <f>'[1]Haver Pivoted'!GZ66</f>
        <v>148.60300000000001</v>
      </c>
      <c r="P51" s="265">
        <f>'[1]Haver Pivoted'!HA66</f>
        <v>154.94</v>
      </c>
      <c r="Q51" s="265">
        <f>'[1]Haver Pivoted'!HB66</f>
        <v>131.55099999999999</v>
      </c>
      <c r="R51" s="265">
        <f>'[1]Haver Pivoted'!HC66</f>
        <v>128.34899999999999</v>
      </c>
      <c r="S51" s="245">
        <f>'[1]Haver Pivoted'!HD66</f>
        <v>125.361</v>
      </c>
      <c r="T51" s="245">
        <f>'[1]Haver Pivoted'!HE66</f>
        <v>146.43</v>
      </c>
      <c r="U51" s="245">
        <f>'[1]Haver Pivoted'!HF66</f>
        <v>138.40799999999999</v>
      </c>
      <c r="V51" s="245">
        <f>'[1]Haver Pivoted'!HG66</f>
        <v>106.691</v>
      </c>
      <c r="W51" s="245">
        <f>'[1]Haver Pivoted'!HH66</f>
        <v>106.29600000000001</v>
      </c>
      <c r="X51" s="245">
        <f>'[1]Haver Pivoted'!HI66</f>
        <v>93.49</v>
      </c>
      <c r="Y51" s="245">
        <f>'[1]Haver Pivoted'!HJ66</f>
        <v>92.007999999999996</v>
      </c>
      <c r="Z51" s="245">
        <f>'[1]Haver Pivoted'!HK66</f>
        <v>96.12</v>
      </c>
      <c r="AA51" s="245">
        <f>'[1]Haver Pivoted'!HL66</f>
        <v>102.79</v>
      </c>
      <c r="AB51" s="245">
        <f>'[1]Haver Pivoted'!HM66</f>
        <v>98.516000000000005</v>
      </c>
      <c r="AC51" s="245">
        <f>'[1]Haver Pivoted'!HN66</f>
        <v>95.266000000000005</v>
      </c>
      <c r="AD51" s="353"/>
      <c r="AE51" s="353"/>
      <c r="AF51" s="353"/>
      <c r="AG51" s="353"/>
      <c r="AH51" s="353"/>
      <c r="AI51" s="353"/>
      <c r="AJ51" s="353"/>
      <c r="AK51" s="353"/>
      <c r="AL51" s="353"/>
      <c r="AM51" s="353"/>
      <c r="AN51" s="353"/>
    </row>
    <row r="52" spans="2:40" ht="29.15" customHeight="1" x14ac:dyDescent="0.35">
      <c r="B52" s="678" t="s">
        <v>443</v>
      </c>
      <c r="C52" s="468"/>
      <c r="D52" s="838"/>
      <c r="E52" s="676"/>
      <c r="F52" s="676"/>
      <c r="G52" s="676"/>
      <c r="H52" s="676"/>
      <c r="I52" s="676"/>
      <c r="J52" s="676">
        <f t="shared" ref="J52:AC52" si="29">J51-$H51</f>
        <v>51.376000000000005</v>
      </c>
      <c r="K52" s="676">
        <f t="shared" si="29"/>
        <v>51.594999999999999</v>
      </c>
      <c r="L52" s="676">
        <f t="shared" si="29"/>
        <v>52.314999999999998</v>
      </c>
      <c r="M52" s="676">
        <f t="shared" si="29"/>
        <v>91.496000000000009</v>
      </c>
      <c r="N52" s="676">
        <f>N51-$H51</f>
        <v>101.05500000000001</v>
      </c>
      <c r="O52" s="676">
        <f>O51-$H51</f>
        <v>94.312000000000012</v>
      </c>
      <c r="P52" s="676">
        <f t="shared" si="29"/>
        <v>100.649</v>
      </c>
      <c r="Q52" s="676">
        <f t="shared" si="29"/>
        <v>77.259999999999991</v>
      </c>
      <c r="R52" s="676">
        <f t="shared" si="29"/>
        <v>74.057999999999993</v>
      </c>
      <c r="S52" s="273">
        <f t="shared" si="29"/>
        <v>71.070000000000007</v>
      </c>
      <c r="T52" s="273">
        <f t="shared" si="29"/>
        <v>92.13900000000001</v>
      </c>
      <c r="U52" s="273">
        <f t="shared" si="29"/>
        <v>84.11699999999999</v>
      </c>
      <c r="V52" s="273">
        <f t="shared" si="29"/>
        <v>52.400000000000006</v>
      </c>
      <c r="W52" s="273">
        <f t="shared" si="29"/>
        <v>52.00500000000001</v>
      </c>
      <c r="X52" s="273">
        <f t="shared" si="29"/>
        <v>39.198999999999998</v>
      </c>
      <c r="Y52" s="273">
        <f t="shared" si="29"/>
        <v>37.716999999999999</v>
      </c>
      <c r="Z52" s="273">
        <f t="shared" si="29"/>
        <v>41.829000000000008</v>
      </c>
      <c r="AA52" s="273">
        <f t="shared" si="29"/>
        <v>48.499000000000009</v>
      </c>
      <c r="AB52" s="273">
        <f t="shared" si="29"/>
        <v>44.225000000000009</v>
      </c>
      <c r="AC52" s="273">
        <f t="shared" si="29"/>
        <v>40.975000000000009</v>
      </c>
      <c r="AD52" s="813"/>
      <c r="AE52" s="813"/>
      <c r="AF52" s="813"/>
      <c r="AG52" s="813"/>
      <c r="AH52" s="813"/>
      <c r="AI52" s="813"/>
      <c r="AJ52" s="813"/>
      <c r="AK52" s="813"/>
      <c r="AL52" s="813"/>
      <c r="AM52" s="813"/>
      <c r="AN52" s="813"/>
    </row>
    <row r="53" spans="2:40" ht="29.15" customHeight="1" x14ac:dyDescent="0.35">
      <c r="B53" s="268"/>
      <c r="C53" s="268"/>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row>
    <row r="54" spans="2:40" ht="29.15" customHeight="1"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5" spans="2:40" ht="29.15" customHeight="1" x14ac:dyDescent="0.35">
      <c r="B55" s="268"/>
      <c r="C55" s="268"/>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row>
    <row r="56" spans="2:40" ht="35.9" customHeight="1" x14ac:dyDescent="0.35"/>
    <row r="57" spans="2:40" x14ac:dyDescent="0.35">
      <c r="B57" s="630" t="s">
        <v>331</v>
      </c>
    </row>
    <row r="58" spans="2:40" x14ac:dyDescent="0.35">
      <c r="B58" s="1491" t="s">
        <v>767</v>
      </c>
      <c r="C58" s="1492"/>
      <c r="D58" s="1427" t="s">
        <v>246</v>
      </c>
      <c r="E58" s="1427"/>
      <c r="F58" s="1427"/>
      <c r="G58" s="1427"/>
      <c r="H58" s="1427"/>
      <c r="I58" s="1427"/>
      <c r="J58" s="1427"/>
      <c r="K58" s="1427"/>
      <c r="L58" s="1427"/>
      <c r="M58" s="1427"/>
      <c r="N58" s="1427"/>
      <c r="O58" s="1427"/>
      <c r="P58" s="1427"/>
      <c r="Q58" s="1427"/>
      <c r="R58" s="1427"/>
      <c r="S58" s="1427"/>
      <c r="T58" s="1427"/>
      <c r="U58" s="1427"/>
      <c r="V58" s="1427"/>
      <c r="W58" s="1427"/>
      <c r="X58" s="1427"/>
      <c r="Y58" s="1427"/>
      <c r="Z58" s="1427"/>
      <c r="AA58" s="1427"/>
      <c r="AB58" s="1427"/>
      <c r="AC58" s="1440" t="s">
        <v>247</v>
      </c>
      <c r="AD58" s="1441"/>
      <c r="AE58" s="1441"/>
      <c r="AF58" s="1441"/>
      <c r="AG58" s="1441"/>
      <c r="AH58" s="1441"/>
      <c r="AI58" s="1441"/>
      <c r="AJ58" s="1441"/>
      <c r="AK58" s="1441"/>
      <c r="AL58" s="1441"/>
      <c r="AM58" s="1441"/>
      <c r="AN58" s="1442"/>
    </row>
    <row r="59" spans="2:40" x14ac:dyDescent="0.35">
      <c r="B59" s="1493"/>
      <c r="C59" s="1494"/>
      <c r="D59" s="249">
        <v>2018</v>
      </c>
      <c r="E59" s="1398">
        <v>2019</v>
      </c>
      <c r="F59" s="1399"/>
      <c r="G59" s="1399"/>
      <c r="H59" s="1400"/>
      <c r="I59" s="1398">
        <v>2020</v>
      </c>
      <c r="J59" s="1399"/>
      <c r="K59" s="1399"/>
      <c r="L59" s="1399"/>
      <c r="M59" s="1398">
        <v>2021</v>
      </c>
      <c r="N59" s="1399"/>
      <c r="O59" s="1399"/>
      <c r="P59" s="1399"/>
      <c r="Q59" s="1398">
        <v>2022</v>
      </c>
      <c r="R59" s="1399"/>
      <c r="S59" s="1399"/>
      <c r="T59" s="1400"/>
      <c r="U59" s="277"/>
      <c r="V59" s="277">
        <v>2023</v>
      </c>
      <c r="W59" s="277"/>
      <c r="X59" s="279"/>
      <c r="Y59" s="283"/>
      <c r="Z59" s="277">
        <v>2024</v>
      </c>
      <c r="AA59" s="277"/>
      <c r="AB59" s="279"/>
      <c r="AC59" s="1412">
        <v>2025</v>
      </c>
      <c r="AD59" s="1424"/>
      <c r="AE59" s="1424"/>
      <c r="AF59" s="1414"/>
      <c r="AG59" s="1412">
        <v>2026</v>
      </c>
      <c r="AH59" s="1424"/>
      <c r="AI59" s="1424"/>
      <c r="AJ59" s="1414"/>
      <c r="AK59" s="1412">
        <v>2027</v>
      </c>
      <c r="AL59" s="1424"/>
      <c r="AM59" s="1424"/>
      <c r="AN59" s="1414"/>
    </row>
    <row r="60" spans="2:40" x14ac:dyDescent="0.35">
      <c r="B60" s="1493"/>
      <c r="C60" s="1494"/>
      <c r="D60" s="244" t="s">
        <v>248</v>
      </c>
      <c r="E60" s="244" t="s">
        <v>249</v>
      </c>
      <c r="F60" s="245" t="s">
        <v>250</v>
      </c>
      <c r="G60" s="245" t="s">
        <v>226</v>
      </c>
      <c r="H60" s="246" t="s">
        <v>248</v>
      </c>
      <c r="I60" s="245" t="s">
        <v>249</v>
      </c>
      <c r="J60" s="245" t="s">
        <v>250</v>
      </c>
      <c r="K60" s="245" t="s">
        <v>226</v>
      </c>
      <c r="L60" s="245" t="s">
        <v>248</v>
      </c>
      <c r="M60" s="244" t="s">
        <v>249</v>
      </c>
      <c r="N60" s="245" t="s">
        <v>250</v>
      </c>
      <c r="O60" s="245" t="s">
        <v>226</v>
      </c>
      <c r="P60" s="245" t="s">
        <v>248</v>
      </c>
      <c r="Q60" s="244" t="s">
        <v>249</v>
      </c>
      <c r="R60" s="245" t="s">
        <v>250</v>
      </c>
      <c r="S60" s="245" t="s">
        <v>226</v>
      </c>
      <c r="T60" s="246" t="s">
        <v>248</v>
      </c>
      <c r="U60" s="245" t="s">
        <v>249</v>
      </c>
      <c r="V60" s="273" t="s">
        <v>250</v>
      </c>
      <c r="W60" s="273" t="s">
        <v>226</v>
      </c>
      <c r="X60" s="271" t="s">
        <v>248</v>
      </c>
      <c r="Y60" s="272" t="s">
        <v>249</v>
      </c>
      <c r="Z60" s="274" t="s">
        <v>250</v>
      </c>
      <c r="AA60" s="273" t="s">
        <v>226</v>
      </c>
      <c r="AB60" s="273" t="s">
        <v>248</v>
      </c>
      <c r="AC60" s="272" t="s">
        <v>249</v>
      </c>
      <c r="AD60" s="269" t="s">
        <v>250</v>
      </c>
      <c r="AE60" s="270" t="s">
        <v>226</v>
      </c>
      <c r="AF60" s="270" t="s">
        <v>248</v>
      </c>
      <c r="AG60" s="275" t="s">
        <v>249</v>
      </c>
      <c r="AH60" s="269" t="s">
        <v>250</v>
      </c>
      <c r="AI60" s="270" t="s">
        <v>226</v>
      </c>
      <c r="AJ60" s="276" t="s">
        <v>248</v>
      </c>
      <c r="AK60" s="275" t="s">
        <v>249</v>
      </c>
      <c r="AL60" s="269" t="s">
        <v>250</v>
      </c>
      <c r="AM60" s="270" t="s">
        <v>226</v>
      </c>
      <c r="AN60" s="276" t="s">
        <v>248</v>
      </c>
    </row>
    <row r="61" spans="2:40" ht="25.75" customHeight="1" x14ac:dyDescent="0.35">
      <c r="B61" s="822" t="s">
        <v>430</v>
      </c>
      <c r="C61" s="710" t="s">
        <v>431</v>
      </c>
      <c r="D61" s="475">
        <f>'[1]Haver Pivoted'!GO31</f>
        <v>2223</v>
      </c>
      <c r="E61" s="476">
        <f>'[1]Haver Pivoted'!GP31</f>
        <v>2303.8000000000002</v>
      </c>
      <c r="F61" s="476">
        <f>'[1]Haver Pivoted'!GQ31</f>
        <v>2321.6999999999998</v>
      </c>
      <c r="G61" s="476">
        <f>'[1]Haver Pivoted'!GR31</f>
        <v>2337.1</v>
      </c>
      <c r="H61" s="476">
        <f>'[1]Haver Pivoted'!GS31</f>
        <v>2349.5</v>
      </c>
      <c r="I61" s="476">
        <f>'[1]Haver Pivoted'!GT31</f>
        <v>2414.4</v>
      </c>
      <c r="J61" s="476">
        <f>'[1]Haver Pivoted'!GU31</f>
        <v>4654.1000000000004</v>
      </c>
      <c r="K61" s="476">
        <f>'[1]Haver Pivoted'!GV31</f>
        <v>3504.7</v>
      </c>
      <c r="L61" s="476">
        <f>'[1]Haver Pivoted'!GW31</f>
        <v>2888.4</v>
      </c>
      <c r="M61" s="476">
        <f>'[1]Haver Pivoted'!GX31</f>
        <v>5138.1000000000004</v>
      </c>
      <c r="N61" s="476">
        <f>'[1]Haver Pivoted'!GY31</f>
        <v>3397.8</v>
      </c>
      <c r="O61" s="476">
        <f>'[1]Haver Pivoted'!GZ31</f>
        <v>3124.9</v>
      </c>
      <c r="P61" s="476">
        <f>'[1]Haver Pivoted'!HA31</f>
        <v>2952.6</v>
      </c>
      <c r="Q61" s="476">
        <f>'[1]Haver Pivoted'!HB31</f>
        <v>2970.9</v>
      </c>
      <c r="R61" s="476">
        <f>'[1]Haver Pivoted'!HC31</f>
        <v>2976.2</v>
      </c>
      <c r="S61" s="477">
        <f>'[1]Haver Pivoted'!HD31</f>
        <v>2970.4</v>
      </c>
      <c r="T61" s="477">
        <f>'[1]Haver Pivoted'!HE31</f>
        <v>3024.4</v>
      </c>
      <c r="U61" s="477">
        <f>'[1]Haver Pivoted'!HF31</f>
        <v>3038.4</v>
      </c>
      <c r="V61" s="477">
        <f>'[1]Haver Pivoted'!HG31</f>
        <v>3049.1</v>
      </c>
      <c r="W61" s="477">
        <f>'[1]Haver Pivoted'!HH31</f>
        <v>3078</v>
      </c>
      <c r="X61" s="477">
        <f>'[1]Haver Pivoted'!HI31</f>
        <v>3095.6</v>
      </c>
      <c r="Y61" s="477">
        <f>'[1]Haver Pivoted'!HJ31</f>
        <v>3201.1</v>
      </c>
      <c r="Z61" s="477">
        <f>'[1]Haver Pivoted'!HK31</f>
        <v>3243.1</v>
      </c>
      <c r="AA61" s="477">
        <f>'[1]Haver Pivoted'!HL31</f>
        <v>3283.8</v>
      </c>
      <c r="AB61" s="477">
        <f>'[1]Haver Pivoted'!HM31</f>
        <v>3328.6</v>
      </c>
      <c r="AC61" s="477">
        <f>'[1]Haver Pivoted'!HN31</f>
        <v>3452.4</v>
      </c>
      <c r="AD61" s="844"/>
      <c r="AE61" s="844"/>
      <c r="AF61" s="844"/>
      <c r="AG61" s="353"/>
      <c r="AH61" s="353"/>
      <c r="AI61" s="353"/>
      <c r="AJ61" s="353"/>
      <c r="AK61" s="353"/>
      <c r="AL61" s="353"/>
      <c r="AM61" s="353"/>
      <c r="AN61" s="353"/>
    </row>
    <row r="62" spans="2:40" ht="25.75" customHeight="1" x14ac:dyDescent="0.35">
      <c r="B62" s="592" t="s">
        <v>1794</v>
      </c>
      <c r="C62" s="268"/>
      <c r="D62" s="837">
        <f>D63+D64</f>
        <v>812.1</v>
      </c>
      <c r="E62" s="575">
        <f>E63+E64</f>
        <v>833.1</v>
      </c>
      <c r="F62" s="575">
        <f>F63+F64</f>
        <v>845.8</v>
      </c>
      <c r="G62" s="575">
        <f t="shared" ref="G62:N62" si="30">G63+G64</f>
        <v>854.4</v>
      </c>
      <c r="H62" s="575">
        <f t="shared" si="30"/>
        <v>858.7</v>
      </c>
      <c r="I62" s="575">
        <f t="shared" si="30"/>
        <v>878.91200000000003</v>
      </c>
      <c r="J62" s="575">
        <f t="shared" si="30"/>
        <v>3142.9549999999999</v>
      </c>
      <c r="K62" s="575">
        <f t="shared" si="30"/>
        <v>1863.174</v>
      </c>
      <c r="L62" s="575">
        <f t="shared" si="30"/>
        <v>1307.4940000000001</v>
      </c>
      <c r="M62" s="575">
        <f t="shared" si="30"/>
        <v>3530.9749999999999</v>
      </c>
      <c r="N62" s="575">
        <f t="shared" si="30"/>
        <v>1812.8558400000002</v>
      </c>
      <c r="O62" s="575">
        <f>O63+O64</f>
        <v>1537.1944933333332</v>
      </c>
      <c r="P62" s="575">
        <f t="shared" ref="P62:R62" si="31">P63+P64</f>
        <v>1378.037333333333</v>
      </c>
      <c r="Q62" s="575">
        <f t="shared" si="31"/>
        <v>1212.615</v>
      </c>
      <c r="R62" s="575">
        <f t="shared" si="31"/>
        <v>1208.7130000000002</v>
      </c>
      <c r="S62" s="824">
        <f>S63+S64</f>
        <v>1205.403</v>
      </c>
      <c r="T62" s="824">
        <f t="shared" ref="T62:AC62" si="32">T63+T64</f>
        <v>1228.624</v>
      </c>
      <c r="U62" s="824">
        <f t="shared" si="32"/>
        <v>1164.202</v>
      </c>
      <c r="V62" s="824">
        <f t="shared" si="32"/>
        <v>1154.0450000000001</v>
      </c>
      <c r="W62" s="824">
        <f t="shared" si="32"/>
        <v>1171.75</v>
      </c>
      <c r="X62" s="824">
        <f t="shared" si="32"/>
        <v>1164.5179999999998</v>
      </c>
      <c r="Y62" s="824">
        <f t="shared" si="32"/>
        <v>1176.5360000000001</v>
      </c>
      <c r="Z62" s="824">
        <f t="shared" si="32"/>
        <v>1198.548</v>
      </c>
      <c r="AA62" s="824">
        <f t="shared" si="32"/>
        <v>1229.1180000000002</v>
      </c>
      <c r="AB62" s="824">
        <f t="shared" si="32"/>
        <v>1253.3729999999998</v>
      </c>
      <c r="AC62" s="824">
        <f t="shared" si="32"/>
        <v>1281.6229999999998</v>
      </c>
      <c r="AD62" s="814"/>
      <c r="AE62" s="814"/>
      <c r="AF62" s="814"/>
      <c r="AG62" s="353"/>
      <c r="AH62" s="353"/>
      <c r="AI62" s="353"/>
      <c r="AJ62" s="353"/>
      <c r="AK62" s="353"/>
      <c r="AL62" s="353"/>
      <c r="AM62" s="353"/>
      <c r="AN62" s="353"/>
    </row>
    <row r="63" spans="2:40" ht="25.75" customHeight="1" x14ac:dyDescent="0.35">
      <c r="B63" s="529" t="s">
        <v>1792</v>
      </c>
      <c r="C63" s="268"/>
      <c r="D63" s="837">
        <f t="shared" ref="D63:AC63" si="33">D14+D17+D27</f>
        <v>812.1</v>
      </c>
      <c r="E63" s="837">
        <f t="shared" si="33"/>
        <v>833.1</v>
      </c>
      <c r="F63" s="575">
        <f t="shared" si="33"/>
        <v>845.8</v>
      </c>
      <c r="G63" s="575">
        <f t="shared" si="33"/>
        <v>854.4</v>
      </c>
      <c r="H63" s="575">
        <f t="shared" si="33"/>
        <v>858.7</v>
      </c>
      <c r="I63" s="575">
        <f t="shared" si="33"/>
        <v>872</v>
      </c>
      <c r="J63" s="575">
        <f t="shared" si="33"/>
        <v>1795.8</v>
      </c>
      <c r="K63" s="575">
        <f t="shared" si="33"/>
        <v>1656.8</v>
      </c>
      <c r="L63" s="575">
        <f t="shared" si="33"/>
        <v>1191.7</v>
      </c>
      <c r="M63" s="575">
        <f t="shared" si="33"/>
        <v>1473.1</v>
      </c>
      <c r="N63" s="575">
        <f t="shared" si="33"/>
        <v>1346.4</v>
      </c>
      <c r="O63" s="575">
        <f t="shared" si="33"/>
        <v>1318.833333333333</v>
      </c>
      <c r="P63" s="575">
        <f t="shared" si="33"/>
        <v>1157.333333333333</v>
      </c>
      <c r="Q63" s="575">
        <f t="shared" si="33"/>
        <v>1036.4000000000001</v>
      </c>
      <c r="R63" s="575">
        <f t="shared" si="33"/>
        <v>1042.6000000000001</v>
      </c>
      <c r="S63" s="824">
        <f t="shared" si="33"/>
        <v>1054.8</v>
      </c>
      <c r="T63" s="824">
        <f t="shared" si="33"/>
        <v>1078.7</v>
      </c>
      <c r="U63" s="824">
        <f t="shared" si="33"/>
        <v>1045.2</v>
      </c>
      <c r="V63" s="824">
        <f t="shared" si="33"/>
        <v>1066.76</v>
      </c>
      <c r="W63" s="824">
        <f t="shared" si="33"/>
        <v>1084.8599999999999</v>
      </c>
      <c r="X63" s="824">
        <f t="shared" si="33"/>
        <v>1104.5999999999999</v>
      </c>
      <c r="Y63" s="824">
        <f t="shared" si="33"/>
        <v>1118.1000000000001</v>
      </c>
      <c r="Z63" s="824">
        <f t="shared" si="33"/>
        <v>1136</v>
      </c>
      <c r="AA63" s="824">
        <f t="shared" si="33"/>
        <v>1159.9000000000001</v>
      </c>
      <c r="AB63" s="824">
        <f t="shared" si="33"/>
        <v>1188.5999999999999</v>
      </c>
      <c r="AC63" s="824">
        <f t="shared" si="33"/>
        <v>1220.0999999999999</v>
      </c>
      <c r="AD63" s="814"/>
      <c r="AE63" s="814"/>
      <c r="AF63" s="814"/>
      <c r="AG63" s="814"/>
      <c r="AH63" s="814"/>
      <c r="AI63" s="814"/>
      <c r="AJ63" s="814"/>
      <c r="AK63" s="814"/>
      <c r="AL63" s="814"/>
      <c r="AM63" s="814"/>
      <c r="AN63" s="814"/>
    </row>
    <row r="64" spans="2:40" ht="36" customHeight="1" x14ac:dyDescent="0.35">
      <c r="B64" s="529" t="s">
        <v>1793</v>
      </c>
      <c r="C64" s="268"/>
      <c r="D64" s="575">
        <f t="shared" ref="D64:AF64" si="34">D18+D21+D24+D25+D26+D28+D32</f>
        <v>0</v>
      </c>
      <c r="E64" s="575">
        <f t="shared" si="34"/>
        <v>0</v>
      </c>
      <c r="F64" s="575">
        <f t="shared" si="34"/>
        <v>0</v>
      </c>
      <c r="G64" s="575">
        <f t="shared" si="34"/>
        <v>0</v>
      </c>
      <c r="H64" s="575">
        <f t="shared" si="34"/>
        <v>0</v>
      </c>
      <c r="I64" s="575">
        <f t="shared" si="34"/>
        <v>6.9120000000000061</v>
      </c>
      <c r="J64" s="575">
        <f t="shared" si="34"/>
        <v>1347.155</v>
      </c>
      <c r="K64" s="575">
        <f t="shared" si="34"/>
        <v>206.37400000000002</v>
      </c>
      <c r="L64" s="575">
        <f t="shared" si="34"/>
        <v>115.79400000000001</v>
      </c>
      <c r="M64" s="575">
        <f t="shared" si="34"/>
        <v>2057.875</v>
      </c>
      <c r="N64" s="575">
        <f t="shared" si="34"/>
        <v>466.45584000000008</v>
      </c>
      <c r="O64" s="575">
        <f t="shared" si="34"/>
        <v>218.3611600000001</v>
      </c>
      <c r="P64" s="575">
        <f t="shared" si="34"/>
        <v>220.70400000000004</v>
      </c>
      <c r="Q64" s="575">
        <f t="shared" si="34"/>
        <v>176.215</v>
      </c>
      <c r="R64" s="575">
        <f t="shared" si="34"/>
        <v>166.113</v>
      </c>
      <c r="S64" s="575">
        <f t="shared" si="34"/>
        <v>150.60300000000001</v>
      </c>
      <c r="T64" s="575">
        <f t="shared" si="34"/>
        <v>149.92400000000004</v>
      </c>
      <c r="U64" s="575">
        <f t="shared" si="34"/>
        <v>119.002</v>
      </c>
      <c r="V64" s="575">
        <f t="shared" si="34"/>
        <v>87.285000000000011</v>
      </c>
      <c r="W64" s="575">
        <f t="shared" si="34"/>
        <v>86.890000000000015</v>
      </c>
      <c r="X64" s="814">
        <f t="shared" si="34"/>
        <v>59.917999999999999</v>
      </c>
      <c r="Y64" s="814">
        <f t="shared" si="34"/>
        <v>58.436</v>
      </c>
      <c r="Z64" s="814">
        <f t="shared" si="34"/>
        <v>62.548000000000009</v>
      </c>
      <c r="AA64" s="814">
        <f t="shared" si="34"/>
        <v>69.218000000000018</v>
      </c>
      <c r="AB64" s="814">
        <f>AB18+AB21+AB24+AB25+AB26+AB28+AB32</f>
        <v>64.77300000000001</v>
      </c>
      <c r="AC64" s="814">
        <f t="shared" si="34"/>
        <v>61.52300000000001</v>
      </c>
      <c r="AD64" s="814">
        <f t="shared" si="34"/>
        <v>61.52300000000001</v>
      </c>
      <c r="AE64" s="814">
        <f t="shared" si="34"/>
        <v>61.52300000000001</v>
      </c>
      <c r="AF64" s="814">
        <f t="shared" si="34"/>
        <v>43.443000000000012</v>
      </c>
      <c r="AG64" s="814">
        <f>AG18+AG21+AG24+AG25+AG26+AG28+AG32</f>
        <v>41.282000000000011</v>
      </c>
      <c r="AH64" s="814">
        <f t="shared" ref="AH64:AI64" si="35">AH18+AH21+AH24+AH25+AH26+AH28+AH32</f>
        <v>40.554000000000009</v>
      </c>
      <c r="AI64" s="814">
        <f t="shared" si="35"/>
        <v>40.554000000000009</v>
      </c>
      <c r="AJ64" s="814">
        <f>AJ18+AJ21+AJ24+AJ25+AJ26+AJ28+AJ32</f>
        <v>40.554000000000009</v>
      </c>
      <c r="AK64" s="814">
        <f t="shared" ref="AK64:AN64" si="36">AK18+AK21+AK24+AK25+AK26+AK28+AK32</f>
        <v>40.554000000000009</v>
      </c>
      <c r="AL64" s="814">
        <f t="shared" si="36"/>
        <v>40.554000000000009</v>
      </c>
      <c r="AM64" s="814">
        <f t="shared" si="36"/>
        <v>40.554000000000009</v>
      </c>
      <c r="AN64" s="814">
        <f t="shared" si="36"/>
        <v>40.554000000000009</v>
      </c>
    </row>
    <row r="65" spans="2:40" ht="25.75" customHeight="1" x14ac:dyDescent="0.35">
      <c r="B65" s="592" t="s">
        <v>764</v>
      </c>
      <c r="C65" s="268"/>
      <c r="D65" s="824">
        <f t="shared" ref="D65:AC65" si="37">D61-D62</f>
        <v>1410.9</v>
      </c>
      <c r="E65" s="824">
        <f t="shared" si="37"/>
        <v>1470.7000000000003</v>
      </c>
      <c r="F65" s="824">
        <f t="shared" si="37"/>
        <v>1475.8999999999999</v>
      </c>
      <c r="G65" s="824">
        <f t="shared" si="37"/>
        <v>1482.6999999999998</v>
      </c>
      <c r="H65" s="824">
        <f t="shared" si="37"/>
        <v>1490.8</v>
      </c>
      <c r="I65" s="824">
        <f t="shared" si="37"/>
        <v>1535.4880000000001</v>
      </c>
      <c r="J65" s="824">
        <f t="shared" si="37"/>
        <v>1511.1450000000004</v>
      </c>
      <c r="K65" s="824">
        <f t="shared" si="37"/>
        <v>1641.5259999999998</v>
      </c>
      <c r="L65" s="824">
        <f t="shared" si="37"/>
        <v>1580.9059999999999</v>
      </c>
      <c r="M65" s="824">
        <f t="shared" si="37"/>
        <v>1607.1250000000005</v>
      </c>
      <c r="N65" s="824">
        <f t="shared" si="37"/>
        <v>1584.94416</v>
      </c>
      <c r="O65" s="824">
        <f t="shared" si="37"/>
        <v>1587.7055066666669</v>
      </c>
      <c r="P65" s="824">
        <f t="shared" si="37"/>
        <v>1574.5626666666669</v>
      </c>
      <c r="Q65" s="824">
        <f t="shared" si="37"/>
        <v>1758.2850000000001</v>
      </c>
      <c r="R65" s="824">
        <f t="shared" si="37"/>
        <v>1767.4869999999996</v>
      </c>
      <c r="S65" s="824">
        <f t="shared" si="37"/>
        <v>1764.9970000000001</v>
      </c>
      <c r="T65" s="824">
        <f t="shared" si="37"/>
        <v>1795.7760000000001</v>
      </c>
      <c r="U65" s="824">
        <f t="shared" si="37"/>
        <v>1874.1980000000001</v>
      </c>
      <c r="V65" s="824">
        <f t="shared" si="37"/>
        <v>1895.0549999999998</v>
      </c>
      <c r="W65" s="824">
        <f t="shared" si="37"/>
        <v>1906.25</v>
      </c>
      <c r="X65" s="824">
        <f t="shared" si="37"/>
        <v>1931.0820000000001</v>
      </c>
      <c r="Y65" s="824">
        <f t="shared" si="37"/>
        <v>2024.5639999999999</v>
      </c>
      <c r="Z65" s="824">
        <f t="shared" si="37"/>
        <v>2044.5519999999999</v>
      </c>
      <c r="AA65" s="824">
        <f t="shared" si="37"/>
        <v>2054.6819999999998</v>
      </c>
      <c r="AB65" s="824">
        <f t="shared" si="37"/>
        <v>2075.2269999999999</v>
      </c>
      <c r="AC65" s="824">
        <f t="shared" si="37"/>
        <v>2170.777</v>
      </c>
      <c r="AD65" s="814"/>
      <c r="AE65" s="814"/>
      <c r="AF65" s="814"/>
      <c r="AG65" s="353"/>
      <c r="AH65" s="353"/>
      <c r="AI65" s="353"/>
      <c r="AJ65" s="353"/>
      <c r="AK65" s="353"/>
      <c r="AL65" s="353"/>
      <c r="AM65" s="353"/>
      <c r="AN65" s="353"/>
    </row>
    <row r="66" spans="2:40" ht="20.5" customHeight="1" x14ac:dyDescent="0.35">
      <c r="B66" s="850" t="s">
        <v>765</v>
      </c>
      <c r="C66" s="851"/>
      <c r="D66" s="855">
        <f t="shared" ref="D66:I66" si="38">D12-D14-D17-D27</f>
        <v>1410.9</v>
      </c>
      <c r="E66" s="846">
        <f t="shared" si="38"/>
        <v>1470.7000000000003</v>
      </c>
      <c r="F66" s="846">
        <f t="shared" si="38"/>
        <v>1475.8999999999996</v>
      </c>
      <c r="G66" s="846">
        <f t="shared" si="38"/>
        <v>1482.6999999999998</v>
      </c>
      <c r="H66" s="846">
        <f t="shared" si="38"/>
        <v>1490.8000000000002</v>
      </c>
      <c r="I66" s="846">
        <f t="shared" si="38"/>
        <v>1542.4</v>
      </c>
      <c r="J66" s="856">
        <f>I66+($H$66-$E$66)/3</f>
        <v>1549.1000000000001</v>
      </c>
      <c r="K66" s="856">
        <f>J66+($H$66-$E$66)/3</f>
        <v>1555.8000000000002</v>
      </c>
      <c r="L66" s="856">
        <f>K66+($H$66-$E$66)/3</f>
        <v>1562.5000000000002</v>
      </c>
      <c r="M66" s="857">
        <f>L66+($H$66-$E$66)/3 +(M70-L70)</f>
        <v>1586.8430000000003</v>
      </c>
      <c r="N66" s="856">
        <f>M66+($H$66-$E$66)/3</f>
        <v>1593.5430000000003</v>
      </c>
      <c r="O66" s="856">
        <f>N66+($H$66-$E$66)/3</f>
        <v>1600.2430000000004</v>
      </c>
      <c r="P66" s="856">
        <f>O66+($H$66-$E$66)/3</f>
        <v>1606.9430000000004</v>
      </c>
      <c r="Q66" s="857">
        <f>P66+($H$66-$E$66)/3 + 0.06*Q70</f>
        <v>1685.5501200000006</v>
      </c>
      <c r="R66" s="856">
        <f>Q66+($H$66-$E$66)/3</f>
        <v>1692.2501200000006</v>
      </c>
      <c r="S66" s="856">
        <f>R66+($H$66-$E$66)/3</f>
        <v>1698.9501200000007</v>
      </c>
      <c r="T66" s="856">
        <f>S66+($H$66-$E$66)/3</f>
        <v>1705.6501200000007</v>
      </c>
      <c r="U66" s="856">
        <f t="shared" ref="U66:AN66" si="39">T66+U67</f>
        <v>1818.9789730000007</v>
      </c>
      <c r="V66" s="856">
        <f t="shared" si="39"/>
        <v>1825.6789730000007</v>
      </c>
      <c r="W66" s="846">
        <f t="shared" si="39"/>
        <v>1832.3789730000008</v>
      </c>
      <c r="X66" s="852">
        <f t="shared" si="39"/>
        <v>1839.0789730000008</v>
      </c>
      <c r="Y66" s="852">
        <f t="shared" si="39"/>
        <v>1891.4284770000008</v>
      </c>
      <c r="Z66" s="852">
        <f t="shared" si="39"/>
        <v>1898.1284770000009</v>
      </c>
      <c r="AA66" s="852">
        <f t="shared" si="39"/>
        <v>1904.8284770000009</v>
      </c>
      <c r="AB66" s="852">
        <f t="shared" si="39"/>
        <v>1911.528477000001</v>
      </c>
      <c r="AC66" s="852">
        <f t="shared" si="39"/>
        <v>1956.4482020000009</v>
      </c>
      <c r="AD66" s="852">
        <f t="shared" si="39"/>
        <v>1963.148202000001</v>
      </c>
      <c r="AE66" s="852">
        <f t="shared" si="39"/>
        <v>1969.848202000001</v>
      </c>
      <c r="AF66" s="852">
        <f t="shared" si="39"/>
        <v>1976.5482020000011</v>
      </c>
      <c r="AG66" s="852">
        <f t="shared" si="39"/>
        <v>2021.8053925010011</v>
      </c>
      <c r="AH66" s="852">
        <f t="shared" si="39"/>
        <v>2028.5053925010011</v>
      </c>
      <c r="AI66" s="852">
        <f t="shared" si="39"/>
        <v>2035.2053925010011</v>
      </c>
      <c r="AJ66" s="852">
        <f t="shared" si="39"/>
        <v>2041.9053925010012</v>
      </c>
      <c r="AK66" s="852">
        <f t="shared" si="39"/>
        <v>2089.4772613835244</v>
      </c>
      <c r="AL66" s="852">
        <f t="shared" si="39"/>
        <v>2096.1772613835242</v>
      </c>
      <c r="AM66" s="852">
        <f t="shared" si="39"/>
        <v>2102.877261383524</v>
      </c>
      <c r="AN66" s="852">
        <f t="shared" si="39"/>
        <v>2109.5772613835238</v>
      </c>
    </row>
    <row r="67" spans="2:40" ht="20.5" customHeight="1" x14ac:dyDescent="0.35">
      <c r="B67" s="853" t="s">
        <v>1754</v>
      </c>
      <c r="C67" s="268"/>
      <c r="D67" s="837"/>
      <c r="E67" s="575"/>
      <c r="F67" s="575"/>
      <c r="G67" s="575"/>
      <c r="H67" s="575"/>
      <c r="I67" s="575"/>
      <c r="J67" s="848"/>
      <c r="K67" s="848"/>
      <c r="L67" s="848"/>
      <c r="M67" s="858"/>
      <c r="N67" s="848"/>
      <c r="O67" s="848"/>
      <c r="P67" s="848"/>
      <c r="Q67" s="858"/>
      <c r="R67" s="848"/>
      <c r="S67" s="848"/>
      <c r="T67" s="848"/>
      <c r="U67" s="848">
        <f>U68+U69</f>
        <v>113.32885299999995</v>
      </c>
      <c r="V67" s="848">
        <f>V68+V69</f>
        <v>6.69999999999997</v>
      </c>
      <c r="W67" s="848">
        <f>W68+W69</f>
        <v>6.69999999999997</v>
      </c>
      <c r="X67" s="814">
        <f t="shared" ref="X67:AN67" si="40">X68+X73*X70</f>
        <v>6.69999999999997</v>
      </c>
      <c r="Y67" s="814">
        <f t="shared" si="40"/>
        <v>52.349503999999968</v>
      </c>
      <c r="Z67" s="814">
        <f t="shared" si="40"/>
        <v>6.69999999999997</v>
      </c>
      <c r="AA67" s="814">
        <f t="shared" si="40"/>
        <v>6.69999999999997</v>
      </c>
      <c r="AB67" s="814">
        <f t="shared" si="40"/>
        <v>6.69999999999997</v>
      </c>
      <c r="AC67" s="814">
        <f t="shared" si="40"/>
        <v>44.919724999999971</v>
      </c>
      <c r="AD67" s="814">
        <f t="shared" si="40"/>
        <v>6.69999999999997</v>
      </c>
      <c r="AE67" s="814">
        <f t="shared" si="40"/>
        <v>6.69999999999997</v>
      </c>
      <c r="AF67" s="814">
        <f t="shared" si="40"/>
        <v>6.69999999999997</v>
      </c>
      <c r="AG67" s="814">
        <f t="shared" si="40"/>
        <v>45.257190500999961</v>
      </c>
      <c r="AH67" s="814">
        <f t="shared" si="40"/>
        <v>6.69999999999997</v>
      </c>
      <c r="AI67" s="814">
        <f t="shared" si="40"/>
        <v>6.69999999999997</v>
      </c>
      <c r="AJ67" s="814">
        <f t="shared" si="40"/>
        <v>6.69999999999997</v>
      </c>
      <c r="AK67" s="814">
        <f t="shared" si="40"/>
        <v>47.571868882522963</v>
      </c>
      <c r="AL67" s="814">
        <f t="shared" si="40"/>
        <v>6.69999999999997</v>
      </c>
      <c r="AM67" s="814">
        <f t="shared" si="40"/>
        <v>6.69999999999997</v>
      </c>
      <c r="AN67" s="814">
        <f t="shared" si="40"/>
        <v>6.69999999999997</v>
      </c>
    </row>
    <row r="68" spans="2:40" ht="28.4" customHeight="1" x14ac:dyDescent="0.35">
      <c r="B68" s="854" t="s">
        <v>1751</v>
      </c>
      <c r="C68" s="268"/>
      <c r="D68" s="837"/>
      <c r="E68" s="575"/>
      <c r="F68" s="575"/>
      <c r="G68" s="575"/>
      <c r="H68" s="575"/>
      <c r="I68" s="575"/>
      <c r="J68" s="848"/>
      <c r="K68" s="848"/>
      <c r="L68" s="848"/>
      <c r="M68" s="858"/>
      <c r="N68" s="848"/>
      <c r="O68" s="848"/>
      <c r="P68" s="848"/>
      <c r="Q68" s="858"/>
      <c r="R68" s="848"/>
      <c r="S68" s="848"/>
      <c r="T68" s="848"/>
      <c r="U68" s="848">
        <f>($H$66-$E$66)/3</f>
        <v>6.69999999999997</v>
      </c>
      <c r="V68" s="848">
        <f>($H$66-$E$66)/3</f>
        <v>6.69999999999997</v>
      </c>
      <c r="W68" s="848">
        <f>($H$66-$E$66)/3</f>
        <v>6.69999999999997</v>
      </c>
      <c r="X68" s="814">
        <f t="shared" ref="X68:AE68" si="41">W68</f>
        <v>6.69999999999997</v>
      </c>
      <c r="Y68" s="814">
        <f t="shared" si="41"/>
        <v>6.69999999999997</v>
      </c>
      <c r="Z68" s="814">
        <f t="shared" si="41"/>
        <v>6.69999999999997</v>
      </c>
      <c r="AA68" s="814">
        <f t="shared" si="41"/>
        <v>6.69999999999997</v>
      </c>
      <c r="AB68" s="814">
        <f t="shared" si="41"/>
        <v>6.69999999999997</v>
      </c>
      <c r="AC68" s="814">
        <f t="shared" si="41"/>
        <v>6.69999999999997</v>
      </c>
      <c r="AD68" s="814">
        <f t="shared" si="41"/>
        <v>6.69999999999997</v>
      </c>
      <c r="AE68" s="814">
        <f t="shared" si="41"/>
        <v>6.69999999999997</v>
      </c>
      <c r="AF68" s="814">
        <f>AE68</f>
        <v>6.69999999999997</v>
      </c>
      <c r="AG68" s="814">
        <f>AF68</f>
        <v>6.69999999999997</v>
      </c>
      <c r="AH68" s="814">
        <f>AG68</f>
        <v>6.69999999999997</v>
      </c>
      <c r="AI68" s="814">
        <f t="shared" ref="AI68:AN68" si="42">AH68</f>
        <v>6.69999999999997</v>
      </c>
      <c r="AJ68" s="814">
        <f t="shared" si="42"/>
        <v>6.69999999999997</v>
      </c>
      <c r="AK68" s="814">
        <f t="shared" si="42"/>
        <v>6.69999999999997</v>
      </c>
      <c r="AL68" s="814">
        <f t="shared" si="42"/>
        <v>6.69999999999997</v>
      </c>
      <c r="AM68" s="814">
        <f t="shared" si="42"/>
        <v>6.69999999999997</v>
      </c>
      <c r="AN68" s="814">
        <f t="shared" si="42"/>
        <v>6.69999999999997</v>
      </c>
    </row>
    <row r="69" spans="2:40" ht="30.65" customHeight="1" x14ac:dyDescent="0.35">
      <c r="B69" s="843" t="s">
        <v>1752</v>
      </c>
      <c r="C69" s="831"/>
      <c r="D69" s="832"/>
      <c r="E69" s="816"/>
      <c r="F69" s="816"/>
      <c r="G69" s="816"/>
      <c r="H69" s="816"/>
      <c r="I69" s="816"/>
      <c r="J69" s="833"/>
      <c r="K69" s="833"/>
      <c r="L69" s="833"/>
      <c r="M69" s="834"/>
      <c r="N69" s="833"/>
      <c r="O69" s="833"/>
      <c r="P69" s="833"/>
      <c r="Q69" s="834"/>
      <c r="R69" s="833"/>
      <c r="S69" s="833"/>
      <c r="T69" s="833"/>
      <c r="U69" s="833">
        <f t="shared" ref="U69:AN69" si="43">U73*T70</f>
        <v>106.62885299999998</v>
      </c>
      <c r="V69" s="833">
        <f t="shared" si="43"/>
        <v>0</v>
      </c>
      <c r="W69" s="816">
        <f t="shared" si="43"/>
        <v>0</v>
      </c>
      <c r="X69" s="859">
        <f t="shared" si="43"/>
        <v>0</v>
      </c>
      <c r="Y69" s="859">
        <f t="shared" si="43"/>
        <v>43.967424000000001</v>
      </c>
      <c r="Z69" s="859">
        <f t="shared" si="43"/>
        <v>0</v>
      </c>
      <c r="AA69" s="859">
        <f t="shared" si="43"/>
        <v>0</v>
      </c>
      <c r="AB69" s="859">
        <f t="shared" si="43"/>
        <v>0</v>
      </c>
      <c r="AC69" s="859">
        <f t="shared" si="43"/>
        <v>36.697899999999997</v>
      </c>
      <c r="AD69" s="859">
        <f t="shared" si="43"/>
        <v>0</v>
      </c>
      <c r="AE69" s="859">
        <f t="shared" si="43"/>
        <v>0</v>
      </c>
      <c r="AF69" s="859">
        <f t="shared" si="43"/>
        <v>0</v>
      </c>
      <c r="AG69" s="859">
        <f t="shared" si="43"/>
        <v>37.330587000000001</v>
      </c>
      <c r="AH69" s="859">
        <f t="shared" si="43"/>
        <v>0</v>
      </c>
      <c r="AI69" s="859">
        <f t="shared" si="43"/>
        <v>0</v>
      </c>
      <c r="AJ69" s="859">
        <f t="shared" si="43"/>
        <v>0</v>
      </c>
      <c r="AK69" s="859">
        <f t="shared" si="43"/>
        <v>39.638190500999997</v>
      </c>
      <c r="AL69" s="859">
        <f t="shared" si="43"/>
        <v>0</v>
      </c>
      <c r="AM69" s="859">
        <f t="shared" si="43"/>
        <v>0</v>
      </c>
      <c r="AN69" s="859">
        <f t="shared" si="43"/>
        <v>0</v>
      </c>
    </row>
    <row r="70" spans="2:40" ht="17.5" customHeight="1" x14ac:dyDescent="0.35">
      <c r="B70" s="679" t="s">
        <v>438</v>
      </c>
      <c r="C70" s="268" t="s">
        <v>439</v>
      </c>
      <c r="D70" s="837">
        <f>'[1]Haver Pivoted'!GO88/1000</f>
        <v>983.86099999999999</v>
      </c>
      <c r="E70" s="575">
        <f>'[1]Haver Pivoted'!GP88/1000</f>
        <v>1019.19</v>
      </c>
      <c r="F70" s="575">
        <f>'[1]Haver Pivoted'!GQ88/1000</f>
        <v>1026.704</v>
      </c>
      <c r="G70" s="575">
        <f>'[1]Haver Pivoted'!GR88/1000</f>
        <v>1034.4169999999999</v>
      </c>
      <c r="H70" s="575">
        <f>'[1]Haver Pivoted'!GS88/1000</f>
        <v>1042.6610000000001</v>
      </c>
      <c r="I70" s="575">
        <f>'[1]Haver Pivoted'!GT88/1000</f>
        <v>1068.201</v>
      </c>
      <c r="J70" s="575">
        <f>'[1]Haver Pivoted'!GU88/1000</f>
        <v>1075.075</v>
      </c>
      <c r="K70" s="575">
        <f>'[1]Haver Pivoted'!GV88/1000</f>
        <v>1080.441</v>
      </c>
      <c r="L70" s="575">
        <f>'[1]Haver Pivoted'!GW88/1000</f>
        <v>1087.9949999999999</v>
      </c>
      <c r="M70" s="575">
        <f>'[1]Haver Pivoted'!GX88/1000</f>
        <v>1105.6379999999999</v>
      </c>
      <c r="N70" s="575">
        <f>'[1]Haver Pivoted'!GY88/1000</f>
        <v>1109.6400000000001</v>
      </c>
      <c r="O70" s="575">
        <f>'[1]Haver Pivoted'!GZ88/1000</f>
        <v>1116.9480000000001</v>
      </c>
      <c r="P70" s="575">
        <f>'[1]Haver Pivoted'!HA88/1000</f>
        <v>1126.174</v>
      </c>
      <c r="Q70" s="575">
        <f>'[1]Haver Pivoted'!HB88/1000</f>
        <v>1198.452</v>
      </c>
      <c r="R70" s="575">
        <f>'[1]Haver Pivoted'!HC88/1000</f>
        <v>1207.163</v>
      </c>
      <c r="S70" s="824">
        <f>'[1]Haver Pivoted'!HD88/1000</f>
        <v>1214.7809999999999</v>
      </c>
      <c r="T70" s="824">
        <f>'[1]Haver Pivoted'!HE88/1000</f>
        <v>1225.6189999999999</v>
      </c>
      <c r="U70" s="824">
        <f>'[1]Haver Pivoted'!HF88/1000</f>
        <v>1339.904</v>
      </c>
      <c r="V70" s="824">
        <f>'[1]Haver Pivoted'!HG88/1000</f>
        <v>1353.2829999999999</v>
      </c>
      <c r="W70" s="824">
        <f>'[1]Haver Pivoted'!HH88/1000</f>
        <v>1360.723</v>
      </c>
      <c r="X70" s="824">
        <f>'[1]Haver Pivoted'!HI88/1000</f>
        <v>1373.982</v>
      </c>
      <c r="Y70" s="824">
        <f>'[1]Haver Pivoted'!HJ88/1000</f>
        <v>1426.547</v>
      </c>
      <c r="Z70" s="824">
        <f>'[1]Haver Pivoted'!HK88/1000</f>
        <v>1439.73</v>
      </c>
      <c r="AA70" s="824">
        <f>'[1]Haver Pivoted'!HL88/1000</f>
        <v>1453.1369999999999</v>
      </c>
      <c r="AB70" s="824">
        <f>'[1]Haver Pivoted'!HM88/1000</f>
        <v>1467.9159999999999</v>
      </c>
      <c r="AC70" s="824">
        <f>'[1]Haver Pivoted'!HN88/1000</f>
        <v>1528.789</v>
      </c>
      <c r="AD70" s="814">
        <f t="shared" ref="AD70:AN70" si="44">AC70+AD71</f>
        <v>1597.069</v>
      </c>
      <c r="AE70" s="814">
        <f t="shared" si="44"/>
        <v>1607.069</v>
      </c>
      <c r="AF70" s="814">
        <f t="shared" si="44"/>
        <v>1623.069</v>
      </c>
      <c r="AG70" s="814">
        <f t="shared" si="44"/>
        <v>1676.3995869999999</v>
      </c>
      <c r="AH70" s="814">
        <f t="shared" si="44"/>
        <v>1692.3995869999999</v>
      </c>
      <c r="AI70" s="814">
        <f t="shared" si="44"/>
        <v>1708.3995869999999</v>
      </c>
      <c r="AJ70" s="814">
        <f t="shared" si="44"/>
        <v>1723.3995869999999</v>
      </c>
      <c r="AK70" s="814">
        <f t="shared" si="44"/>
        <v>1777.0377775009999</v>
      </c>
      <c r="AL70" s="814">
        <f t="shared" si="44"/>
        <v>1790.0377775009999</v>
      </c>
      <c r="AM70" s="814">
        <f t="shared" si="44"/>
        <v>1802.0377775009999</v>
      </c>
      <c r="AN70" s="814">
        <f t="shared" si="44"/>
        <v>1813.0377775009999</v>
      </c>
    </row>
    <row r="71" spans="2:40" ht="17.5" customHeight="1" x14ac:dyDescent="0.35">
      <c r="B71" s="529" t="s">
        <v>1753</v>
      </c>
      <c r="C71" s="268"/>
      <c r="D71" s="837"/>
      <c r="E71" s="575"/>
      <c r="F71" s="575"/>
      <c r="G71" s="575"/>
      <c r="H71" s="575"/>
      <c r="I71" s="575"/>
      <c r="J71" s="575"/>
      <c r="K71" s="575"/>
      <c r="L71" s="575"/>
      <c r="M71" s="575"/>
      <c r="N71" s="575"/>
      <c r="O71" s="575"/>
      <c r="P71" s="575"/>
      <c r="Q71" s="575"/>
      <c r="R71" s="575"/>
      <c r="S71" s="824"/>
      <c r="T71" s="824"/>
      <c r="U71" s="824">
        <f t="shared" ref="U71:AN71" si="45">U69+U72</f>
        <v>114.62885299999998</v>
      </c>
      <c r="V71" s="575">
        <f t="shared" si="45"/>
        <v>8</v>
      </c>
      <c r="W71" s="575">
        <f t="shared" si="45"/>
        <v>11</v>
      </c>
      <c r="X71" s="814">
        <f t="shared" si="45"/>
        <v>14</v>
      </c>
      <c r="Y71" s="814">
        <f t="shared" si="45"/>
        <v>52.967424000000001</v>
      </c>
      <c r="Z71" s="814">
        <f t="shared" si="45"/>
        <v>13</v>
      </c>
      <c r="AA71" s="814">
        <f t="shared" si="45"/>
        <v>11</v>
      </c>
      <c r="AB71" s="814">
        <f t="shared" si="45"/>
        <v>14</v>
      </c>
      <c r="AC71" s="814">
        <f>AC69+AC72</f>
        <v>43.697899999999997</v>
      </c>
      <c r="AD71" s="814">
        <f t="shared" si="45"/>
        <v>68.28</v>
      </c>
      <c r="AE71" s="814">
        <f t="shared" si="45"/>
        <v>10</v>
      </c>
      <c r="AF71" s="814">
        <f t="shared" si="45"/>
        <v>16</v>
      </c>
      <c r="AG71" s="814">
        <f t="shared" si="45"/>
        <v>53.330587000000001</v>
      </c>
      <c r="AH71" s="814">
        <f t="shared" si="45"/>
        <v>16</v>
      </c>
      <c r="AI71" s="814">
        <f t="shared" si="45"/>
        <v>16</v>
      </c>
      <c r="AJ71" s="814">
        <f t="shared" si="45"/>
        <v>15</v>
      </c>
      <c r="AK71" s="814">
        <f t="shared" si="45"/>
        <v>53.638190500999997</v>
      </c>
      <c r="AL71" s="814">
        <f t="shared" si="45"/>
        <v>13</v>
      </c>
      <c r="AM71" s="814">
        <f t="shared" si="45"/>
        <v>12</v>
      </c>
      <c r="AN71" s="814">
        <f t="shared" si="45"/>
        <v>11</v>
      </c>
    </row>
    <row r="72" spans="2:40" ht="17.5" customHeight="1" x14ac:dyDescent="0.35">
      <c r="B72" s="521" t="s">
        <v>1756</v>
      </c>
      <c r="C72" s="268"/>
      <c r="D72" s="824" t="e">
        <f t="shared" ref="D72:S72" si="46">D70-C70</f>
        <v>#VALUE!</v>
      </c>
      <c r="E72" s="824">
        <f t="shared" si="46"/>
        <v>35.329000000000065</v>
      </c>
      <c r="F72" s="824">
        <f t="shared" si="46"/>
        <v>7.5139999999998963</v>
      </c>
      <c r="G72" s="824">
        <f t="shared" si="46"/>
        <v>7.7129999999999654</v>
      </c>
      <c r="H72" s="824">
        <f t="shared" si="46"/>
        <v>8.2440000000001419</v>
      </c>
      <c r="I72" s="824">
        <f t="shared" si="46"/>
        <v>25.539999999999964</v>
      </c>
      <c r="J72" s="824">
        <f t="shared" si="46"/>
        <v>6.8740000000000236</v>
      </c>
      <c r="K72" s="824">
        <f t="shared" si="46"/>
        <v>5.3659999999999854</v>
      </c>
      <c r="L72" s="824">
        <f t="shared" si="46"/>
        <v>7.5539999999998599</v>
      </c>
      <c r="M72" s="824">
        <f t="shared" si="46"/>
        <v>17.643000000000029</v>
      </c>
      <c r="N72" s="824">
        <f t="shared" si="46"/>
        <v>4.0020000000001801</v>
      </c>
      <c r="O72" s="824">
        <f t="shared" si="46"/>
        <v>7.3079999999999927</v>
      </c>
      <c r="P72" s="824">
        <f t="shared" si="46"/>
        <v>9.2259999999998854</v>
      </c>
      <c r="Q72" s="824">
        <f t="shared" si="46"/>
        <v>72.27800000000002</v>
      </c>
      <c r="R72" s="824">
        <f t="shared" si="46"/>
        <v>8.7110000000000127</v>
      </c>
      <c r="S72" s="824">
        <f t="shared" si="46"/>
        <v>7.6179999999999382</v>
      </c>
      <c r="T72" s="824">
        <f>T70-S70</f>
        <v>10.837999999999965</v>
      </c>
      <c r="U72" s="824">
        <v>8</v>
      </c>
      <c r="V72" s="575">
        <v>8</v>
      </c>
      <c r="W72" s="575">
        <v>11</v>
      </c>
      <c r="X72" s="814">
        <v>14</v>
      </c>
      <c r="Y72" s="814">
        <v>9</v>
      </c>
      <c r="Z72" s="814">
        <v>13</v>
      </c>
      <c r="AA72" s="814">
        <v>11</v>
      </c>
      <c r="AB72" s="814">
        <v>14</v>
      </c>
      <c r="AC72" s="814">
        <v>7</v>
      </c>
      <c r="AD72" s="814">
        <f>158-89.72</f>
        <v>68.28</v>
      </c>
      <c r="AE72" s="814">
        <v>10</v>
      </c>
      <c r="AF72" s="814">
        <v>16</v>
      </c>
      <c r="AG72" s="814">
        <v>16</v>
      </c>
      <c r="AH72" s="814">
        <v>16</v>
      </c>
      <c r="AI72" s="814">
        <v>16</v>
      </c>
      <c r="AJ72" s="814">
        <v>15</v>
      </c>
      <c r="AK72" s="814">
        <v>14</v>
      </c>
      <c r="AL72" s="814">
        <v>13</v>
      </c>
      <c r="AM72" s="814">
        <v>12</v>
      </c>
      <c r="AN72" s="814">
        <v>11</v>
      </c>
    </row>
    <row r="73" spans="2:40" ht="39" customHeight="1" x14ac:dyDescent="0.35">
      <c r="B73" s="521" t="s">
        <v>1757</v>
      </c>
      <c r="C73" s="268"/>
      <c r="D73" s="837"/>
      <c r="E73" s="575"/>
      <c r="F73" s="575"/>
      <c r="G73" s="575"/>
      <c r="H73" s="575"/>
      <c r="I73" s="816"/>
      <c r="J73" s="816"/>
      <c r="K73" s="816"/>
      <c r="L73" s="816"/>
      <c r="M73" s="816"/>
      <c r="N73" s="816"/>
      <c r="O73" s="816"/>
      <c r="P73" s="816"/>
      <c r="Q73" s="816"/>
      <c r="R73" s="816"/>
      <c r="S73" s="835"/>
      <c r="T73" s="835"/>
      <c r="U73" s="825">
        <v>8.6999999999999994E-2</v>
      </c>
      <c r="V73" s="817">
        <v>0</v>
      </c>
      <c r="W73" s="817">
        <v>0</v>
      </c>
      <c r="X73" s="836">
        <v>0</v>
      </c>
      <c r="Y73" s="836">
        <v>3.2000000000000001E-2</v>
      </c>
      <c r="Z73" s="836">
        <v>0</v>
      </c>
      <c r="AA73" s="836">
        <v>0</v>
      </c>
      <c r="AB73" s="836">
        <v>0</v>
      </c>
      <c r="AC73" s="836">
        <v>2.5000000000000001E-2</v>
      </c>
      <c r="AD73" s="836">
        <v>0</v>
      </c>
      <c r="AE73" s="836">
        <v>0</v>
      </c>
      <c r="AF73" s="836">
        <v>0</v>
      </c>
      <c r="AG73" s="836">
        <v>2.3E-2</v>
      </c>
      <c r="AH73" s="836">
        <v>0</v>
      </c>
      <c r="AI73" s="836">
        <v>0</v>
      </c>
      <c r="AJ73" s="836">
        <v>0</v>
      </c>
      <c r="AK73" s="836">
        <v>2.3E-2</v>
      </c>
      <c r="AL73" s="836">
        <v>0</v>
      </c>
      <c r="AM73" s="836">
        <v>0</v>
      </c>
      <c r="AN73" s="836">
        <v>0</v>
      </c>
    </row>
    <row r="74" spans="2:40" ht="49.75" customHeight="1" x14ac:dyDescent="0.35">
      <c r="B74" s="592" t="s">
        <v>1382</v>
      </c>
      <c r="C74" s="268"/>
      <c r="D74" s="837">
        <f t="shared" ref="D74:AC74" si="47">D65-D66</f>
        <v>0</v>
      </c>
      <c r="E74" s="575">
        <f t="shared" si="47"/>
        <v>0</v>
      </c>
      <c r="F74" s="575">
        <f t="shared" si="47"/>
        <v>0</v>
      </c>
      <c r="G74" s="575">
        <f t="shared" si="47"/>
        <v>0</v>
      </c>
      <c r="H74" s="575">
        <f t="shared" si="47"/>
        <v>0</v>
      </c>
      <c r="I74" s="575">
        <f t="shared" si="47"/>
        <v>-6.9120000000000346</v>
      </c>
      <c r="J74" s="575">
        <f t="shared" si="47"/>
        <v>-37.9549999999997</v>
      </c>
      <c r="K74" s="575">
        <f t="shared" si="47"/>
        <v>85.725999999999658</v>
      </c>
      <c r="L74" s="575">
        <f t="shared" si="47"/>
        <v>18.405999999999722</v>
      </c>
      <c r="M74" s="575">
        <f t="shared" si="47"/>
        <v>20.282000000000153</v>
      </c>
      <c r="N74" s="575">
        <f t="shared" si="47"/>
        <v>-8.5988400000003367</v>
      </c>
      <c r="O74" s="575">
        <f t="shared" si="47"/>
        <v>-12.537493333333487</v>
      </c>
      <c r="P74" s="575">
        <f t="shared" si="47"/>
        <v>-32.38033333333351</v>
      </c>
      <c r="Q74" s="575">
        <f t="shared" si="47"/>
        <v>72.734879999999521</v>
      </c>
      <c r="R74" s="575">
        <f t="shared" si="47"/>
        <v>75.236879999999019</v>
      </c>
      <c r="S74" s="824">
        <f t="shared" si="47"/>
        <v>66.046879999999419</v>
      </c>
      <c r="T74" s="824">
        <f t="shared" si="47"/>
        <v>90.12587999999937</v>
      </c>
      <c r="U74" s="824">
        <f t="shared" si="47"/>
        <v>55.219026999999414</v>
      </c>
      <c r="V74" s="824">
        <f t="shared" si="47"/>
        <v>69.376026999999112</v>
      </c>
      <c r="W74" s="824">
        <f t="shared" si="47"/>
        <v>73.871026999999231</v>
      </c>
      <c r="X74" s="824">
        <f t="shared" si="47"/>
        <v>92.003026999999292</v>
      </c>
      <c r="Y74" s="824">
        <f t="shared" si="47"/>
        <v>133.13552299999901</v>
      </c>
      <c r="Z74" s="824">
        <f t="shared" si="47"/>
        <v>146.42352299999902</v>
      </c>
      <c r="AA74" s="824">
        <f t="shared" si="47"/>
        <v>149.85352299999886</v>
      </c>
      <c r="AB74" s="824">
        <f t="shared" si="47"/>
        <v>163.69852299999889</v>
      </c>
      <c r="AC74" s="824">
        <f t="shared" si="47"/>
        <v>214.3287979999991</v>
      </c>
      <c r="AD74" s="814">
        <f t="shared" ref="AD74:AN74" si="48">AC74</f>
        <v>214.3287979999991</v>
      </c>
      <c r="AE74" s="814">
        <f t="shared" si="48"/>
        <v>214.3287979999991</v>
      </c>
      <c r="AF74" s="814">
        <f t="shared" si="48"/>
        <v>214.3287979999991</v>
      </c>
      <c r="AG74" s="814">
        <f t="shared" si="48"/>
        <v>214.3287979999991</v>
      </c>
      <c r="AH74" s="814">
        <f t="shared" si="48"/>
        <v>214.3287979999991</v>
      </c>
      <c r="AI74" s="814">
        <f t="shared" si="48"/>
        <v>214.3287979999991</v>
      </c>
      <c r="AJ74" s="814">
        <f t="shared" si="48"/>
        <v>214.3287979999991</v>
      </c>
      <c r="AK74" s="814">
        <f t="shared" si="48"/>
        <v>214.3287979999991</v>
      </c>
      <c r="AL74" s="814">
        <f t="shared" si="48"/>
        <v>214.3287979999991</v>
      </c>
      <c r="AM74" s="814">
        <f t="shared" si="48"/>
        <v>214.3287979999991</v>
      </c>
      <c r="AN74" s="814">
        <f t="shared" si="48"/>
        <v>214.3287979999991</v>
      </c>
    </row>
    <row r="75" spans="2:40" ht="29.5" customHeight="1" x14ac:dyDescent="0.35">
      <c r="B75" s="399"/>
      <c r="C75" s="268"/>
      <c r="D75" s="360"/>
      <c r="E75" s="360"/>
      <c r="F75" s="360"/>
      <c r="G75" s="360"/>
      <c r="H75" s="360"/>
      <c r="I75" s="360"/>
      <c r="J75" s="360"/>
      <c r="K75" s="360"/>
      <c r="L75" s="360"/>
      <c r="M75" s="360"/>
      <c r="N75" s="360"/>
      <c r="O75" s="360"/>
      <c r="P75" s="360"/>
      <c r="Q75" s="360"/>
      <c r="R75" s="360"/>
      <c r="S75" s="360"/>
      <c r="T75" s="360"/>
      <c r="U75" s="360"/>
      <c r="V75" s="360"/>
      <c r="W75" s="360"/>
      <c r="X75" s="360"/>
      <c r="Y75" s="360"/>
      <c r="Z75" s="360"/>
      <c r="AA75" s="360"/>
      <c r="AB75" s="360"/>
      <c r="AC75" s="360"/>
    </row>
    <row r="76" spans="2:40" ht="16.75" customHeight="1" x14ac:dyDescent="0.35">
      <c r="B76" s="679" t="s">
        <v>438</v>
      </c>
      <c r="C76" s="268" t="s">
        <v>439</v>
      </c>
      <c r="D76" s="837">
        <v>983.86099999999999</v>
      </c>
      <c r="E76" s="575">
        <v>1019.19</v>
      </c>
      <c r="F76" s="575">
        <v>1026.704</v>
      </c>
      <c r="G76" s="575">
        <v>1034.4169999999999</v>
      </c>
      <c r="H76" s="575">
        <v>1042.6610000000001</v>
      </c>
      <c r="I76" s="575">
        <v>1068.201</v>
      </c>
      <c r="J76" s="575">
        <v>1075.075</v>
      </c>
      <c r="K76" s="575">
        <v>1080.441</v>
      </c>
      <c r="L76" s="575">
        <v>1087.9949999999999</v>
      </c>
      <c r="M76" s="575">
        <v>1105.6379999999999</v>
      </c>
      <c r="N76" s="575">
        <v>1109.6400000000001</v>
      </c>
      <c r="O76" s="575">
        <v>1116.9480000000001</v>
      </c>
      <c r="P76" s="575">
        <v>1126.174</v>
      </c>
      <c r="Q76" s="575">
        <v>1198.452</v>
      </c>
      <c r="R76" s="575">
        <v>1207.163</v>
      </c>
      <c r="S76" s="824">
        <v>1214.7809999999999</v>
      </c>
      <c r="T76" s="824">
        <v>1225.6189999999999</v>
      </c>
      <c r="U76" s="824">
        <v>1339.904</v>
      </c>
      <c r="V76" s="824">
        <v>1353.2829999999999</v>
      </c>
      <c r="W76" s="824">
        <v>1360.723</v>
      </c>
      <c r="X76" s="824">
        <v>1373.982</v>
      </c>
      <c r="Y76" s="824">
        <v>1426.547</v>
      </c>
      <c r="Z76" s="824">
        <v>1439.73</v>
      </c>
      <c r="AA76" s="824">
        <v>1453.1369999999999</v>
      </c>
      <c r="AB76" s="824">
        <v>1467.9159999999999</v>
      </c>
      <c r="AC76" s="814">
        <v>1511.6139000000001</v>
      </c>
      <c r="AD76" s="814">
        <v>1525.6138999999998</v>
      </c>
      <c r="AE76" s="814">
        <v>1540.6138999999998</v>
      </c>
      <c r="AF76" s="814">
        <v>1556.6138999999998</v>
      </c>
      <c r="AG76" s="814">
        <v>1608.4160196999999</v>
      </c>
      <c r="AH76" s="814">
        <v>1624.4160196999999</v>
      </c>
      <c r="AI76" s="814">
        <v>1640.4160196999999</v>
      </c>
      <c r="AJ76" s="814">
        <v>1655.4160196999999</v>
      </c>
      <c r="AK76" s="814">
        <v>1707.4905881530999</v>
      </c>
      <c r="AL76" s="814">
        <v>1720.4905881530999</v>
      </c>
      <c r="AM76" s="814">
        <v>1732.4905881530999</v>
      </c>
      <c r="AN76" s="814">
        <v>1743.4905881530999</v>
      </c>
    </row>
    <row r="77" spans="2:40" ht="16.75" customHeight="1" x14ac:dyDescent="0.35">
      <c r="B77" s="529" t="s">
        <v>1753</v>
      </c>
      <c r="C77" s="268"/>
      <c r="D77" s="837"/>
      <c r="E77" s="575"/>
      <c r="F77" s="575"/>
      <c r="G77" s="575"/>
      <c r="H77" s="575"/>
      <c r="I77" s="575"/>
      <c r="J77" s="575"/>
      <c r="K77" s="575"/>
      <c r="L77" s="575"/>
      <c r="M77" s="575"/>
      <c r="N77" s="575"/>
      <c r="O77" s="575"/>
      <c r="P77" s="575"/>
      <c r="Q77" s="575"/>
      <c r="R77" s="575"/>
      <c r="S77" s="824"/>
      <c r="T77" s="824"/>
      <c r="U77" s="824">
        <v>114.62885299999998</v>
      </c>
      <c r="V77" s="575">
        <v>8</v>
      </c>
      <c r="W77" s="575">
        <v>11</v>
      </c>
      <c r="X77" s="814">
        <v>14</v>
      </c>
      <c r="Y77" s="814">
        <v>52.967424000000001</v>
      </c>
      <c r="Z77" s="814">
        <v>13</v>
      </c>
      <c r="AA77" s="814">
        <v>11</v>
      </c>
      <c r="AB77" s="814">
        <v>14</v>
      </c>
      <c r="AC77" s="814">
        <v>43.697899999999997</v>
      </c>
      <c r="AD77" s="814">
        <v>14</v>
      </c>
      <c r="AE77" s="814">
        <v>15</v>
      </c>
      <c r="AF77" s="814">
        <v>16</v>
      </c>
      <c r="AG77" s="814">
        <v>51.802119699999999</v>
      </c>
      <c r="AH77" s="814">
        <v>16</v>
      </c>
      <c r="AI77" s="814">
        <v>16</v>
      </c>
      <c r="AJ77" s="814">
        <v>15</v>
      </c>
      <c r="AK77" s="814">
        <v>52.074568453099999</v>
      </c>
      <c r="AL77" s="814">
        <v>13</v>
      </c>
      <c r="AM77" s="814">
        <v>12</v>
      </c>
      <c r="AN77" s="814">
        <v>11</v>
      </c>
    </row>
    <row r="78" spans="2:40" ht="16.75" customHeight="1" x14ac:dyDescent="0.35">
      <c r="B78" s="521" t="s">
        <v>1916</v>
      </c>
      <c r="C78" s="268"/>
      <c r="D78" s="837"/>
      <c r="E78" s="575"/>
      <c r="F78" s="824"/>
      <c r="G78" s="824"/>
      <c r="H78" s="824"/>
      <c r="I78" s="824"/>
      <c r="J78" s="824"/>
      <c r="K78" s="824"/>
      <c r="L78" s="824"/>
      <c r="M78" s="824"/>
      <c r="N78" s="824"/>
      <c r="O78" s="824"/>
      <c r="P78" s="824"/>
      <c r="Q78" s="824"/>
      <c r="R78" s="824"/>
      <c r="S78" s="824"/>
      <c r="T78" s="824"/>
      <c r="U78" s="824">
        <v>8</v>
      </c>
      <c r="V78" s="575">
        <v>8</v>
      </c>
      <c r="W78" s="575">
        <v>11</v>
      </c>
      <c r="X78" s="814">
        <v>14</v>
      </c>
      <c r="Y78" s="814">
        <v>9</v>
      </c>
      <c r="Z78" s="814">
        <v>13</v>
      </c>
      <c r="AA78" s="814">
        <v>11</v>
      </c>
      <c r="AB78" s="814">
        <v>14</v>
      </c>
      <c r="AC78" s="814">
        <v>7</v>
      </c>
      <c r="AD78" s="814">
        <v>14</v>
      </c>
      <c r="AE78" s="814">
        <v>15</v>
      </c>
      <c r="AF78" s="814">
        <v>16</v>
      </c>
      <c r="AG78" s="814">
        <v>16</v>
      </c>
      <c r="AH78" s="814">
        <v>16</v>
      </c>
      <c r="AI78" s="814">
        <v>16</v>
      </c>
      <c r="AJ78" s="814">
        <v>15</v>
      </c>
      <c r="AK78" s="814">
        <v>14</v>
      </c>
      <c r="AL78" s="814">
        <v>13</v>
      </c>
      <c r="AM78" s="814">
        <v>12</v>
      </c>
      <c r="AN78" s="814">
        <v>11</v>
      </c>
    </row>
    <row r="79" spans="2:40" ht="16.75" customHeight="1" x14ac:dyDescent="0.35">
      <c r="B79" s="521" t="s">
        <v>1917</v>
      </c>
      <c r="C79" s="268"/>
      <c r="D79" s="837"/>
      <c r="E79" s="575"/>
      <c r="F79" s="575"/>
      <c r="G79" s="575"/>
      <c r="H79" s="575"/>
      <c r="I79" s="816"/>
      <c r="J79" s="816"/>
      <c r="K79" s="816"/>
      <c r="L79" s="816"/>
      <c r="M79" s="816"/>
      <c r="N79" s="816"/>
      <c r="O79" s="816"/>
      <c r="P79" s="816"/>
      <c r="Q79" s="816"/>
      <c r="R79" s="816"/>
      <c r="S79" s="835"/>
      <c r="T79" s="835"/>
      <c r="U79" s="825">
        <v>8.6999999999999994E-2</v>
      </c>
      <c r="V79" s="817">
        <v>0</v>
      </c>
      <c r="W79" s="817">
        <v>0</v>
      </c>
      <c r="X79" s="836">
        <v>0</v>
      </c>
      <c r="Y79" s="836">
        <v>3.2000000000000001E-2</v>
      </c>
      <c r="Z79" s="836">
        <v>0</v>
      </c>
      <c r="AA79" s="836">
        <v>0</v>
      </c>
      <c r="AB79" s="836">
        <v>0</v>
      </c>
      <c r="AC79" s="836">
        <v>2.5000000000000001E-2</v>
      </c>
      <c r="AD79" s="836">
        <v>0</v>
      </c>
      <c r="AE79" s="836">
        <v>0</v>
      </c>
      <c r="AF79" s="836">
        <v>0</v>
      </c>
      <c r="AG79" s="836">
        <v>2.3E-2</v>
      </c>
      <c r="AH79" s="836">
        <v>0</v>
      </c>
      <c r="AI79" s="836">
        <v>0</v>
      </c>
      <c r="AJ79" s="836">
        <v>0</v>
      </c>
      <c r="AK79" s="836">
        <v>2.3E-2</v>
      </c>
      <c r="AL79" s="836">
        <v>0</v>
      </c>
      <c r="AM79" s="836">
        <v>0</v>
      </c>
      <c r="AN79" s="836">
        <v>0</v>
      </c>
    </row>
    <row r="80" spans="2:40" ht="16.75" customHeight="1" x14ac:dyDescent="0.35">
      <c r="B80" s="592" t="s">
        <v>1382</v>
      </c>
      <c r="C80" s="268"/>
      <c r="D80" s="837">
        <v>0</v>
      </c>
      <c r="E80" s="575">
        <v>0</v>
      </c>
      <c r="F80" s="575">
        <v>0</v>
      </c>
      <c r="G80" s="575">
        <v>0</v>
      </c>
      <c r="H80" s="575">
        <v>0</v>
      </c>
      <c r="I80" s="575">
        <v>-6.9120000000000346</v>
      </c>
      <c r="J80" s="575">
        <v>-37.9549999999997</v>
      </c>
      <c r="K80" s="575">
        <v>85.725999999999658</v>
      </c>
      <c r="L80" s="575">
        <v>18.405999999999722</v>
      </c>
      <c r="M80" s="575">
        <v>20.282000000000153</v>
      </c>
      <c r="N80" s="575">
        <v>-8.5988400000003367</v>
      </c>
      <c r="O80" s="575">
        <v>-12.537493333333487</v>
      </c>
      <c r="P80" s="575">
        <v>-32.38033333333351</v>
      </c>
      <c r="Q80" s="575">
        <v>72.734879999999521</v>
      </c>
      <c r="R80" s="575">
        <v>75.236879999999019</v>
      </c>
      <c r="S80" s="824">
        <v>66.046879999999419</v>
      </c>
      <c r="T80" s="824">
        <v>90.12587999999937</v>
      </c>
      <c r="U80" s="824">
        <v>55.219026999999414</v>
      </c>
      <c r="V80" s="824">
        <v>69.376026999999112</v>
      </c>
      <c r="W80" s="824">
        <v>73.871026999999231</v>
      </c>
      <c r="X80" s="824">
        <v>92.003026999999292</v>
      </c>
      <c r="Y80" s="824">
        <v>133.13552299999901</v>
      </c>
      <c r="Z80" s="824">
        <v>146.42352299999902</v>
      </c>
      <c r="AA80" s="824">
        <v>149.85352299999886</v>
      </c>
      <c r="AB80" s="824">
        <v>163.69852299999889</v>
      </c>
      <c r="AC80" s="814">
        <v>163.69852299999889</v>
      </c>
      <c r="AD80" s="814">
        <v>163.69852299999889</v>
      </c>
      <c r="AE80" s="814">
        <v>163.69852299999889</v>
      </c>
      <c r="AF80" s="814">
        <v>163.69852299999889</v>
      </c>
      <c r="AG80" s="814">
        <v>163.69852299999889</v>
      </c>
      <c r="AH80" s="814">
        <v>163.69852299999889</v>
      </c>
      <c r="AI80" s="814">
        <v>163.69852299999889</v>
      </c>
      <c r="AJ80" s="814">
        <v>163.69852299999889</v>
      </c>
      <c r="AK80" s="814">
        <v>163.69852299999889</v>
      </c>
      <c r="AL80" s="814">
        <v>163.69852299999889</v>
      </c>
      <c r="AM80" s="814">
        <v>163.69852299999889</v>
      </c>
      <c r="AN80" s="814">
        <v>163.69852299999889</v>
      </c>
    </row>
    <row r="81" spans="2:30" ht="16.75" customHeight="1" x14ac:dyDescent="0.35">
      <c r="B81" s="356"/>
      <c r="C81" s="268"/>
      <c r="S81" s="360"/>
      <c r="T81" s="360"/>
      <c r="U81" s="360"/>
      <c r="V81" s="360"/>
      <c r="W81" s="360"/>
      <c r="X81" s="360"/>
      <c r="Y81" s="360"/>
      <c r="Z81" s="360"/>
      <c r="AA81" s="360"/>
      <c r="AB81" s="360"/>
      <c r="AC81" s="360"/>
      <c r="AD81" s="633"/>
    </row>
    <row r="82" spans="2:30" ht="16.75" customHeight="1" x14ac:dyDescent="0.35">
      <c r="B82" s="356"/>
      <c r="C82" s="268"/>
      <c r="S82" s="360"/>
      <c r="T82" s="360"/>
      <c r="U82" s="360"/>
      <c r="V82" s="360"/>
      <c r="W82" s="360"/>
      <c r="X82" s="360"/>
      <c r="Y82" s="360"/>
      <c r="Z82" s="360"/>
      <c r="AA82" s="360"/>
      <c r="AB82" s="360"/>
      <c r="AC82" s="360"/>
      <c r="AD82" s="633"/>
    </row>
    <row r="83" spans="2:30" ht="16.75" customHeight="1" x14ac:dyDescent="0.35">
      <c r="B83" s="268"/>
      <c r="C83" s="268"/>
      <c r="S83" s="268"/>
      <c r="T83" s="268"/>
      <c r="U83" s="575"/>
      <c r="V83" s="575"/>
      <c r="W83" s="575"/>
      <c r="X83" s="575"/>
      <c r="Y83" s="575"/>
      <c r="Z83" s="575"/>
      <c r="AA83" s="575"/>
      <c r="AB83" s="575"/>
      <c r="AC83" s="575"/>
      <c r="AD83" s="633"/>
    </row>
    <row r="84" spans="2:30" ht="16.75" customHeight="1" x14ac:dyDescent="0.35">
      <c r="B84" s="356"/>
      <c r="C84" s="268"/>
      <c r="S84" s="268"/>
      <c r="T84" s="268"/>
      <c r="U84" s="575"/>
      <c r="V84" s="575"/>
      <c r="W84" s="575"/>
      <c r="X84" s="575"/>
      <c r="Y84" s="575"/>
      <c r="Z84" s="575"/>
      <c r="AA84" s="575"/>
      <c r="AB84" s="575"/>
      <c r="AC84" s="575"/>
      <c r="AD84" s="633"/>
    </row>
    <row r="85" spans="2:30" ht="16.75" customHeight="1" x14ac:dyDescent="0.35">
      <c r="B85" s="356"/>
      <c r="C85" s="268"/>
      <c r="S85" s="268"/>
      <c r="T85" s="268"/>
      <c r="U85" s="360"/>
      <c r="V85" s="360"/>
      <c r="W85" s="360"/>
      <c r="X85" s="360"/>
      <c r="Y85" s="360"/>
      <c r="Z85" s="360"/>
      <c r="AA85" s="360"/>
      <c r="AB85" s="360"/>
      <c r="AC85" s="360"/>
      <c r="AD85" s="633"/>
    </row>
    <row r="86" spans="2:30" ht="16.75" customHeight="1" x14ac:dyDescent="0.35">
      <c r="B86" s="356"/>
      <c r="C86" s="268"/>
      <c r="S86" s="268"/>
      <c r="T86" s="268"/>
      <c r="U86" s="826"/>
      <c r="V86" s="826"/>
      <c r="W86" s="826"/>
      <c r="X86" s="826"/>
      <c r="Y86" s="826"/>
      <c r="Z86" s="826"/>
      <c r="AA86" s="826"/>
      <c r="AB86" s="826"/>
      <c r="AC86" s="826"/>
      <c r="AD86" s="633"/>
    </row>
    <row r="87" spans="2:30" ht="16.75" customHeight="1" x14ac:dyDescent="0.35">
      <c r="B87" s="268"/>
      <c r="C87" s="268"/>
      <c r="S87" s="360"/>
      <c r="T87" s="360"/>
      <c r="U87" s="360"/>
      <c r="V87" s="360"/>
      <c r="W87" s="360"/>
      <c r="X87" s="360"/>
      <c r="Y87" s="360"/>
      <c r="Z87" s="360"/>
      <c r="AA87" s="360"/>
      <c r="AB87" s="360"/>
      <c r="AC87" s="360"/>
      <c r="AD87" s="633"/>
    </row>
    <row r="88" spans="2:30" ht="22.5" customHeight="1" x14ac:dyDescent="0.35">
      <c r="B88" s="399"/>
      <c r="C88" s="268"/>
      <c r="D88" s="360"/>
      <c r="E88" s="360"/>
      <c r="F88" s="360"/>
      <c r="G88" s="360"/>
      <c r="H88" s="360"/>
      <c r="I88" s="360"/>
      <c r="J88" s="360"/>
      <c r="K88" s="360"/>
      <c r="L88" s="360"/>
      <c r="M88" s="360"/>
      <c r="N88" s="360"/>
      <c r="O88" s="360"/>
      <c r="P88" s="360"/>
      <c r="Q88" s="360"/>
      <c r="R88" s="360"/>
      <c r="S88" s="360"/>
      <c r="T88" s="360"/>
      <c r="U88" s="360"/>
      <c r="V88" s="360"/>
      <c r="W88" s="360"/>
      <c r="X88" s="360"/>
      <c r="Y88" s="360"/>
      <c r="Z88" s="360"/>
      <c r="AA88" s="360"/>
      <c r="AB88" s="360"/>
      <c r="AC88" s="360"/>
    </row>
    <row r="89" spans="2:30" ht="22.5" customHeight="1" x14ac:dyDescent="0.35">
      <c r="B89" s="399"/>
      <c r="C89" s="268"/>
      <c r="D89" s="360"/>
      <c r="E89" s="360"/>
      <c r="F89" s="360"/>
      <c r="G89" s="360"/>
      <c r="H89" s="360"/>
      <c r="I89" s="360"/>
      <c r="J89" s="360"/>
      <c r="K89" s="360"/>
      <c r="L89" s="360"/>
      <c r="M89" s="360"/>
      <c r="N89" s="360"/>
      <c r="O89" s="360"/>
      <c r="P89" s="360"/>
      <c r="Q89" s="360"/>
      <c r="R89" s="360"/>
      <c r="S89" s="360"/>
      <c r="T89" s="360"/>
      <c r="U89" s="360"/>
      <c r="V89" s="360"/>
      <c r="W89" s="360"/>
      <c r="X89" s="360"/>
      <c r="Y89" s="360"/>
      <c r="Z89" s="360"/>
      <c r="AA89" s="360"/>
      <c r="AB89" s="360"/>
      <c r="AC89" s="360"/>
    </row>
    <row r="90" spans="2:30" ht="38.5" customHeight="1" x14ac:dyDescent="0.35">
      <c r="B90" s="810"/>
      <c r="C90" s="811">
        <v>2016</v>
      </c>
      <c r="D90" s="812">
        <f>C90+1</f>
        <v>2017</v>
      </c>
      <c r="E90" s="812">
        <f t="shared" ref="E90:R90" si="49">D90+1</f>
        <v>2018</v>
      </c>
      <c r="F90" s="812">
        <f t="shared" si="49"/>
        <v>2019</v>
      </c>
      <c r="G90" s="812">
        <f t="shared" si="49"/>
        <v>2020</v>
      </c>
      <c r="H90" s="812">
        <f t="shared" si="49"/>
        <v>2021</v>
      </c>
      <c r="I90" s="812">
        <f t="shared" si="49"/>
        <v>2022</v>
      </c>
      <c r="J90" s="812">
        <f t="shared" si="49"/>
        <v>2023</v>
      </c>
      <c r="K90" s="812">
        <f t="shared" si="49"/>
        <v>2024</v>
      </c>
      <c r="L90" s="812">
        <f t="shared" si="49"/>
        <v>2025</v>
      </c>
      <c r="M90" s="812">
        <f t="shared" si="49"/>
        <v>2026</v>
      </c>
      <c r="N90" s="812">
        <f t="shared" si="49"/>
        <v>2027</v>
      </c>
      <c r="O90" s="812">
        <f t="shared" si="49"/>
        <v>2028</v>
      </c>
      <c r="P90" s="812">
        <f t="shared" si="49"/>
        <v>2029</v>
      </c>
      <c r="Q90" s="812">
        <f t="shared" si="49"/>
        <v>2030</v>
      </c>
      <c r="R90" s="812">
        <f t="shared" si="49"/>
        <v>2031</v>
      </c>
      <c r="S90" s="360"/>
      <c r="T90" s="360"/>
      <c r="U90" s="360"/>
      <c r="V90" s="360"/>
      <c r="W90" s="360"/>
      <c r="X90" s="360"/>
      <c r="Y90" s="360"/>
      <c r="Z90" s="360"/>
      <c r="AA90" s="360"/>
      <c r="AB90" s="360"/>
      <c r="AC90" s="360"/>
    </row>
    <row r="91" spans="2:30" ht="38.5" customHeight="1" x14ac:dyDescent="0.35">
      <c r="B91" s="815" t="s">
        <v>1912</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8">
        <v>2288.683</v>
      </c>
      <c r="T91" s="388">
        <v>2399.4650000000001</v>
      </c>
      <c r="U91" s="388">
        <v>2510.5969999999998</v>
      </c>
      <c r="V91" s="360">
        <v>2623.808</v>
      </c>
      <c r="W91" s="360"/>
      <c r="X91" s="360"/>
      <c r="Y91" s="360"/>
      <c r="Z91" s="360"/>
      <c r="AA91" s="360"/>
      <c r="AB91" s="360"/>
      <c r="AC91" s="360"/>
    </row>
    <row r="92" spans="2:30" ht="38.5" customHeight="1" x14ac:dyDescent="0.35">
      <c r="B92" s="506" t="s">
        <v>1913</v>
      </c>
      <c r="C92">
        <v>890.39374999999995</v>
      </c>
      <c r="D92">
        <v>918.71375</v>
      </c>
      <c r="E92">
        <v>960.61400000000003</v>
      </c>
      <c r="F92">
        <v>1016.043</v>
      </c>
      <c r="G92">
        <v>1066.5944999999999</v>
      </c>
      <c r="H92">
        <v>1105.0552499999999</v>
      </c>
      <c r="I92">
        <v>1186.6424999999999</v>
      </c>
      <c r="J92">
        <v>1319.8822500000001</v>
      </c>
      <c r="K92">
        <v>1423.3489999999999</v>
      </c>
      <c r="L92" s="388">
        <f>AVERAGE(AB70:AE70)</f>
        <v>1550.2107499999997</v>
      </c>
      <c r="M92" s="388">
        <f>AVERAGE(AF70:AI70)</f>
        <v>1675.0669402499998</v>
      </c>
      <c r="N92" s="388">
        <f>AVERAGE(AJ70:AM70)</f>
        <v>1773.1282298757501</v>
      </c>
      <c r="S92" s="360"/>
      <c r="T92" s="360"/>
      <c r="U92" s="360"/>
      <c r="V92" s="360"/>
      <c r="W92" s="360"/>
      <c r="X92" s="360"/>
      <c r="Y92" s="360"/>
      <c r="Z92" s="360"/>
      <c r="AA92" s="360"/>
      <c r="AB92" s="360"/>
      <c r="AC92" s="360"/>
    </row>
    <row r="93" spans="2:30" ht="69" customHeight="1" x14ac:dyDescent="0.35">
      <c r="B93" s="399" t="s">
        <v>1914</v>
      </c>
      <c r="C93" s="268">
        <f>C92/C91</f>
        <v>0.97813220916181476</v>
      </c>
      <c r="D93" s="268">
        <f t="shared" ref="D93:N93" si="50">D92/D91</f>
        <v>0.97818755323679718</v>
      </c>
      <c r="E93" s="268">
        <f t="shared" si="50"/>
        <v>0.97822199592668024</v>
      </c>
      <c r="F93" s="268">
        <f t="shared" si="50"/>
        <v>0.97837554164660567</v>
      </c>
      <c r="G93" s="268">
        <f t="shared" si="50"/>
        <v>0.97861684558216333</v>
      </c>
      <c r="H93" s="268">
        <f t="shared" si="50"/>
        <v>0.9789646084337349</v>
      </c>
      <c r="I93" s="268">
        <f t="shared" si="50"/>
        <v>0.97867422680412364</v>
      </c>
      <c r="J93" s="268">
        <f t="shared" si="50"/>
        <v>0.97914113501483691</v>
      </c>
      <c r="K93" s="268">
        <f t="shared" si="50"/>
        <v>0.97863415345181315</v>
      </c>
      <c r="L93" s="268">
        <f t="shared" si="50"/>
        <v>0.98607140858007192</v>
      </c>
      <c r="M93" s="268">
        <f t="shared" si="50"/>
        <v>1.0065159177886616</v>
      </c>
      <c r="N93" s="268">
        <f t="shared" si="50"/>
        <v>1.0069568873458299</v>
      </c>
      <c r="P93" s="360"/>
      <c r="Q93" s="360"/>
      <c r="R93" s="360"/>
      <c r="S93" s="360"/>
      <c r="T93" s="360"/>
      <c r="U93" s="360"/>
      <c r="V93" s="360"/>
      <c r="W93" s="360"/>
      <c r="X93" s="360"/>
      <c r="Y93" s="360"/>
      <c r="Z93" s="360"/>
      <c r="AA93" s="360"/>
      <c r="AB93" s="360"/>
      <c r="AC93" s="360"/>
    </row>
    <row r="94" spans="2:30" x14ac:dyDescent="0.35">
      <c r="I94" s="268"/>
      <c r="J94" s="268"/>
      <c r="K94" s="268"/>
      <c r="L94" s="268">
        <f>L91*$K$93</f>
        <v>1538.5185817148231</v>
      </c>
      <c r="M94" s="268">
        <f t="shared" ref="M94:N94" si="51">M91*$K$93</f>
        <v>1628.6654667600367</v>
      </c>
      <c r="N94" s="268">
        <f t="shared" si="51"/>
        <v>1723.2553508619217</v>
      </c>
      <c r="P94" s="268"/>
    </row>
    <row r="95" spans="2:30" x14ac:dyDescent="0.35">
      <c r="L95" s="81">
        <f>L94-L92</f>
        <v>-11.692168285176649</v>
      </c>
      <c r="M95" s="81">
        <f t="shared" ref="M95:N95" si="52">M94-M92</f>
        <v>-46.401473489963109</v>
      </c>
      <c r="N95" s="81">
        <f t="shared" si="52"/>
        <v>-49.872879013828424</v>
      </c>
      <c r="R95" s="633"/>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95" t="s">
        <v>428</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row>
    <row r="2" spans="2:40" ht="34.5" hidden="1" customHeight="1" outlineLevel="1" x14ac:dyDescent="0.35">
      <c r="B2" s="1426" t="s">
        <v>817</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row>
    <row r="3" spans="2:40" ht="3" hidden="1" customHeight="1" outlineLevel="1"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row>
    <row r="4" spans="2:40" ht="10.4" hidden="1" customHeight="1" outlineLevel="1"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row>
    <row r="5" spans="2:40" ht="14.25" hidden="1" customHeight="1" outlineLevel="1" x14ac:dyDescent="0.35">
      <c r="B5" s="1388"/>
      <c r="C5" s="1388"/>
      <c r="D5" s="1388"/>
      <c r="E5" s="1388"/>
      <c r="F5" s="1388"/>
      <c r="G5" s="1388"/>
      <c r="H5" s="1388"/>
      <c r="I5" s="1388"/>
      <c r="J5" s="1388"/>
      <c r="K5" s="1388"/>
      <c r="L5" s="1388"/>
      <c r="M5" s="1388"/>
      <c r="N5" s="1388"/>
      <c r="O5" s="1388"/>
      <c r="P5" s="1388"/>
      <c r="Q5" s="1388"/>
      <c r="R5" s="1388"/>
      <c r="S5" s="1388"/>
      <c r="T5" s="1388"/>
      <c r="U5" s="1388"/>
      <c r="V5" s="1388"/>
      <c r="W5" s="1388"/>
      <c r="X5" s="1388"/>
      <c r="Y5" s="1388"/>
      <c r="Z5" s="1388"/>
      <c r="AA5" s="1388"/>
      <c r="AB5" s="1388"/>
      <c r="AC5" s="1388"/>
    </row>
    <row r="6" spans="2:40" ht="14.25" hidden="1" customHeight="1" outlineLevel="1" x14ac:dyDescent="0.35">
      <c r="B6" s="1388"/>
      <c r="C6" s="1388"/>
      <c r="D6" s="1388"/>
      <c r="E6" s="1388"/>
      <c r="F6" s="1388"/>
      <c r="G6" s="1388"/>
      <c r="H6" s="1388"/>
      <c r="I6" s="1388"/>
      <c r="J6" s="1388"/>
      <c r="K6" s="1388"/>
      <c r="L6" s="1388"/>
      <c r="M6" s="1388"/>
      <c r="N6" s="1388"/>
      <c r="O6" s="1388"/>
      <c r="P6" s="1388"/>
      <c r="Q6" s="1388"/>
      <c r="R6" s="1388"/>
      <c r="S6" s="1388"/>
      <c r="T6" s="1388"/>
      <c r="U6" s="1388"/>
      <c r="V6" s="1388"/>
      <c r="W6" s="1388"/>
      <c r="X6" s="1388"/>
      <c r="Y6" s="1388"/>
      <c r="Z6" s="1388"/>
      <c r="AA6" s="1388"/>
      <c r="AB6" s="1388"/>
      <c r="AC6" s="1388"/>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09" t="s">
        <v>246</v>
      </c>
      <c r="E8" s="1410"/>
      <c r="F8" s="1410"/>
      <c r="G8" s="1410"/>
      <c r="H8" s="1410"/>
      <c r="I8" s="1410"/>
      <c r="J8" s="1410"/>
      <c r="K8" s="1410"/>
      <c r="L8" s="1410"/>
      <c r="M8" s="1410"/>
      <c r="N8" s="1410"/>
      <c r="O8" s="1410"/>
      <c r="P8" s="1410"/>
      <c r="Q8" s="1410"/>
      <c r="R8" s="1410"/>
      <c r="S8" s="1410"/>
      <c r="T8" s="1410"/>
      <c r="U8" s="1410"/>
      <c r="V8" s="1410"/>
      <c r="W8" s="1410"/>
      <c r="X8" s="1410"/>
      <c r="Y8" s="1410"/>
      <c r="Z8" s="1410"/>
      <c r="AA8" s="1410"/>
      <c r="AB8" s="1411"/>
      <c r="AC8" s="1440" t="s">
        <v>247</v>
      </c>
      <c r="AD8" s="1441"/>
      <c r="AE8" s="1441"/>
      <c r="AF8" s="1441"/>
      <c r="AG8" s="1441"/>
      <c r="AH8" s="1441"/>
      <c r="AI8" s="1441"/>
      <c r="AJ8" s="1441"/>
      <c r="AK8" s="1441"/>
      <c r="AL8" s="1441"/>
      <c r="AM8" s="1441"/>
      <c r="AN8" s="1442"/>
    </row>
    <row r="9" spans="2:40" ht="14.9" customHeight="1" x14ac:dyDescent="0.35">
      <c r="B9" s="829"/>
      <c r="C9" s="830"/>
      <c r="D9" s="249">
        <v>2018</v>
      </c>
      <c r="E9" s="1398">
        <v>2019</v>
      </c>
      <c r="F9" s="1415"/>
      <c r="G9" s="1415"/>
      <c r="H9" s="1400"/>
      <c r="I9" s="1398">
        <v>2020</v>
      </c>
      <c r="J9" s="1415"/>
      <c r="K9" s="1415"/>
      <c r="L9" s="1415"/>
      <c r="M9" s="1398">
        <v>2021</v>
      </c>
      <c r="N9" s="1415"/>
      <c r="O9" s="1415"/>
      <c r="P9" s="1415"/>
      <c r="Q9" s="1398">
        <v>2022</v>
      </c>
      <c r="R9" s="1399"/>
      <c r="S9" s="1399"/>
      <c r="T9" s="1400"/>
      <c r="U9" s="1398">
        <v>2023</v>
      </c>
      <c r="V9" s="1399"/>
      <c r="W9" s="1399"/>
      <c r="X9" s="1400"/>
      <c r="Y9" s="80"/>
      <c r="Z9" s="277">
        <v>2024</v>
      </c>
      <c r="AA9" s="282"/>
      <c r="AB9" s="279"/>
      <c r="AC9" s="1412">
        <v>2025</v>
      </c>
      <c r="AD9" s="1413"/>
      <c r="AE9" s="1413"/>
      <c r="AF9" s="1424"/>
      <c r="AG9" s="1412">
        <v>2026</v>
      </c>
      <c r="AH9" s="1413"/>
      <c r="AI9" s="1413"/>
      <c r="AJ9" s="1414"/>
      <c r="AK9" s="1412">
        <v>2027</v>
      </c>
      <c r="AL9" s="1413"/>
      <c r="AM9" s="1413"/>
      <c r="AN9" s="1414"/>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496" t="s">
        <v>429</v>
      </c>
      <c r="C11" s="1498"/>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82">
        <f>'Haver Pivoted'!HH31</f>
        <v>3097.1</v>
      </c>
      <c r="X12" s="782">
        <f>'Haver Pivoted'!HI31</f>
        <v>3119.8</v>
      </c>
      <c r="Y12" s="782">
        <f>'Haver Pivoted'!HJ31</f>
        <v>3242.2</v>
      </c>
      <c r="Z12" s="782">
        <f>'Haver Pivoted'!HK31</f>
        <v>3291</v>
      </c>
      <c r="AA12" s="782">
        <f>'Haver Pivoted'!HL31</f>
        <v>3335.9</v>
      </c>
      <c r="AB12" s="782">
        <f>'Haver Pivoted'!HM31</f>
        <v>3393.7</v>
      </c>
      <c r="AC12" s="782">
        <f>'Haver Pivoted'!HN31</f>
        <v>3526.5</v>
      </c>
      <c r="AD12" s="782">
        <f>'Haver Pivoted'!HO31</f>
        <v>3657</v>
      </c>
      <c r="AE12" s="711">
        <f t="shared" ref="AE12:AN12" si="0">SUM(AE14:AE32)-AE30</f>
        <v>3696.5</v>
      </c>
      <c r="AF12" s="711">
        <f t="shared" si="0"/>
        <v>3708.8590000000004</v>
      </c>
      <c r="AG12" s="711">
        <f t="shared" si="0"/>
        <v>3784.8214381344987</v>
      </c>
      <c r="AH12" s="711">
        <f t="shared" si="0"/>
        <v>3826.9908694361593</v>
      </c>
      <c r="AI12" s="711">
        <f t="shared" si="0"/>
        <v>3871.8925420559372</v>
      </c>
      <c r="AJ12" s="711">
        <f t="shared" si="0"/>
        <v>3894.1592988567213</v>
      </c>
      <c r="AK12" s="711">
        <f t="shared" si="0"/>
        <v>3967.0791551776638</v>
      </c>
      <c r="AL12" s="711">
        <f t="shared" si="0"/>
        <v>3999.2563389786774</v>
      </c>
      <c r="AM12" s="711">
        <f t="shared" si="0"/>
        <v>4031.8206030715473</v>
      </c>
      <c r="AN12" s="711">
        <f t="shared" si="0"/>
        <v>4018.8756030715467</v>
      </c>
    </row>
    <row r="13" spans="2:40" x14ac:dyDescent="0.35">
      <c r="B13" s="403"/>
      <c r="C13" s="268"/>
      <c r="D13" s="705"/>
      <c r="E13" s="606"/>
      <c r="F13" s="606"/>
      <c r="G13" s="606"/>
      <c r="H13" s="606"/>
      <c r="I13" s="606"/>
      <c r="J13" s="606"/>
      <c r="K13" s="606"/>
      <c r="L13" s="606"/>
      <c r="M13" s="606"/>
      <c r="N13" s="606"/>
      <c r="O13" s="606"/>
      <c r="P13" s="268"/>
      <c r="Q13" s="265"/>
      <c r="R13" s="265"/>
      <c r="S13" s="265"/>
      <c r="T13" s="711">
        <f t="shared" ref="T13:AC13" si="1">T12-S12</f>
        <v>56.299999999999727</v>
      </c>
      <c r="U13" s="711">
        <f t="shared" si="1"/>
        <v>22.100000000000364</v>
      </c>
      <c r="V13" s="711">
        <f t="shared" si="1"/>
        <v>11.599999999999909</v>
      </c>
      <c r="W13" s="711">
        <f t="shared" si="1"/>
        <v>30.199999999999818</v>
      </c>
      <c r="X13" s="711">
        <f t="shared" si="1"/>
        <v>22.700000000000273</v>
      </c>
      <c r="Y13" s="711">
        <f t="shared" si="1"/>
        <v>122.39999999999964</v>
      </c>
      <c r="Z13" s="711">
        <f t="shared" si="1"/>
        <v>48.800000000000182</v>
      </c>
      <c r="AA13" s="711">
        <f t="shared" si="1"/>
        <v>44.900000000000091</v>
      </c>
      <c r="AB13" s="711">
        <f t="shared" si="1"/>
        <v>57.799999999999727</v>
      </c>
      <c r="AC13" s="711">
        <f t="shared" si="1"/>
        <v>132.80000000000018</v>
      </c>
      <c r="AD13" s="711">
        <f>AD12-AC12</f>
        <v>130.5</v>
      </c>
      <c r="AE13" s="247"/>
      <c r="AF13" s="247"/>
      <c r="AG13" s="247"/>
      <c r="AH13" s="247"/>
      <c r="AI13" s="247"/>
      <c r="AJ13" s="247"/>
      <c r="AK13" s="247"/>
      <c r="AL13" s="247"/>
      <c r="AM13" s="247"/>
      <c r="AN13" s="247"/>
    </row>
    <row r="14" spans="2:40" x14ac:dyDescent="0.35">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782">
        <f t="shared" ref="V14:AA14" si="2">V15+V16</f>
        <v>30.857142857142858</v>
      </c>
      <c r="W14" s="782">
        <f t="shared" si="2"/>
        <v>30.857142857142858</v>
      </c>
      <c r="X14" s="782">
        <f t="shared" si="2"/>
        <v>35.5</v>
      </c>
      <c r="Y14" s="782">
        <f t="shared" si="2"/>
        <v>35.5</v>
      </c>
      <c r="Z14" s="782">
        <f t="shared" si="2"/>
        <v>36.1</v>
      </c>
      <c r="AA14" s="782">
        <f t="shared" si="2"/>
        <v>37</v>
      </c>
      <c r="AB14" s="782">
        <f t="shared" ref="AB14:AC14" si="3">AB15+AB16</f>
        <v>37.299999999999997</v>
      </c>
      <c r="AC14" s="782">
        <f t="shared" si="3"/>
        <v>37.1</v>
      </c>
      <c r="AD14" s="782">
        <f>AD15+AD16</f>
        <v>38</v>
      </c>
      <c r="AE14" s="711">
        <f>'Unemployment Insurance'!AE21+'Unemployment Insurance'!AE20</f>
        <v>38.5</v>
      </c>
      <c r="AF14" s="711">
        <f>'Unemployment Insurance'!AF21+'Unemployment Insurance'!AF20</f>
        <v>38.299999999999997</v>
      </c>
      <c r="AG14" s="711">
        <f>'Unemployment Insurance'!AG21+'Unemployment Insurance'!AG20</f>
        <v>35.700000000000003</v>
      </c>
      <c r="AH14" s="711">
        <f>'Unemployment Insurance'!AH21+'Unemployment Insurance'!AH20</f>
        <v>35.700000000000003</v>
      </c>
      <c r="AI14" s="711">
        <f>'Unemployment Insurance'!AI21+'Unemployment Insurance'!AI20</f>
        <v>35.700000000000003</v>
      </c>
      <c r="AJ14" s="711">
        <f>'Unemployment Insurance'!AJ21+'Unemployment Insurance'!AJ20</f>
        <v>35.700000000000003</v>
      </c>
      <c r="AK14" s="711">
        <f>'Unemployment Insurance'!AK21+'Unemployment Insurance'!AK20</f>
        <v>36.700000000000003</v>
      </c>
      <c r="AL14" s="711">
        <f>'Unemployment Insurance'!AL21+'Unemployment Insurance'!AL20</f>
        <v>37.700000000000003</v>
      </c>
      <c r="AM14" s="711">
        <f>'Unemployment Insurance'!AM21+'Unemployment Insurance'!AM20</f>
        <v>38.700000000000003</v>
      </c>
      <c r="AN14" s="711">
        <f>'Unemployment Insurance'!AN21+'Unemployment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'Unemployment Insurance'!V20</f>
        <v>0</v>
      </c>
      <c r="W15" s="782">
        <f>'Unemployment Insurance'!W20</f>
        <v>0</v>
      </c>
      <c r="X15" s="782">
        <f>'Unemployment Insurance'!X20</f>
        <v>5.2171428571428606</v>
      </c>
      <c r="Y15" s="782">
        <f>'Unemployment Insurance'!Y20</f>
        <v>4.0771428571428601</v>
      </c>
      <c r="Z15" s="782">
        <f>'Unemployment Insurance'!Z20</f>
        <v>1.2000000000000028</v>
      </c>
      <c r="AA15" s="782">
        <f>'Unemployment Insurance'!AA20</f>
        <v>1.2999999999999972</v>
      </c>
      <c r="AB15" s="782">
        <f>'Unemployment Insurance'!AB20</f>
        <v>1.5999999999999943</v>
      </c>
      <c r="AC15" s="782">
        <f>'Unemployment Insurance'!AC20</f>
        <v>1.3999999999999986</v>
      </c>
      <c r="AD15" s="782">
        <f>'Unemployment Insurance'!AD20</f>
        <v>2.2999999999999972</v>
      </c>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'Unemployment Insurance'!V21</f>
        <v>30.857142857142858</v>
      </c>
      <c r="W16" s="782">
        <f>'Unemployment Insurance'!W21</f>
        <v>30.857142857142858</v>
      </c>
      <c r="X16" s="782">
        <f>'Unemployment Insurance'!X21</f>
        <v>30.282857142857139</v>
      </c>
      <c r="Y16" s="782">
        <f>'Unemployment Insurance'!Y21</f>
        <v>31.42285714285714</v>
      </c>
      <c r="Z16" s="782">
        <f>'Unemployment Insurance'!Z21</f>
        <v>34.9</v>
      </c>
      <c r="AA16" s="782">
        <f>'Unemployment Insurance'!AA21</f>
        <v>35.700000000000003</v>
      </c>
      <c r="AB16" s="782">
        <f>'Unemployment Insurance'!AB21</f>
        <v>35.700000000000003</v>
      </c>
      <c r="AC16" s="782">
        <f>'Unemployment Insurance'!AC21</f>
        <v>35.700000000000003</v>
      </c>
      <c r="AD16" s="782">
        <f>'Unemployment Insurance'!AD21</f>
        <v>35.700000000000003</v>
      </c>
      <c r="AE16" s="711"/>
      <c r="AF16" s="711"/>
      <c r="AG16" s="711"/>
      <c r="AH16" s="711"/>
      <c r="AI16" s="711"/>
      <c r="AJ16" s="711"/>
      <c r="AK16" s="711"/>
      <c r="AL16" s="711"/>
      <c r="AM16" s="711"/>
      <c r="AN16" s="711"/>
    </row>
    <row r="17" spans="2:102" ht="17.899999999999999" customHeight="1" x14ac:dyDescent="0.35">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606">
        <f>Medicare!V10</f>
        <v>1016.2</v>
      </c>
      <c r="W17" s="606">
        <f>Medicare!W10</f>
        <v>1036.4000000000001</v>
      </c>
      <c r="X17" s="711">
        <f>Medicare!X10</f>
        <v>1053.5999999999999</v>
      </c>
      <c r="Y17" s="711">
        <f>Medicare!Y10</f>
        <v>1069.0999999999999</v>
      </c>
      <c r="Z17" s="711">
        <f>Medicare!Z10</f>
        <v>1088.2</v>
      </c>
      <c r="AA17" s="711">
        <f>Medicare!AA10</f>
        <v>1111.9000000000001</v>
      </c>
      <c r="AB17" s="711">
        <f>Medicare!AB10</f>
        <v>1140.3</v>
      </c>
      <c r="AC17" s="711">
        <f>Medicare!AC10</f>
        <v>1172.5999999999999</v>
      </c>
      <c r="AD17" s="711">
        <f>Medicare!AD10</f>
        <v>1205.3</v>
      </c>
      <c r="AE17" s="711">
        <f>Medicare!AE10</f>
        <v>1237.5999999999999</v>
      </c>
      <c r="AF17" s="711">
        <f>Medicare!AF10</f>
        <v>1269.5</v>
      </c>
      <c r="AG17" s="711">
        <f>Medicare!AG10</f>
        <v>1304.7202989964987</v>
      </c>
      <c r="AH17" s="711">
        <f>Medicare!AH10</f>
        <v>1340.9177302981591</v>
      </c>
      <c r="AI17" s="711">
        <f>Medicare!AI10</f>
        <v>1378.1194029179367</v>
      </c>
      <c r="AJ17" s="711">
        <f>Medicare!AJ10</f>
        <v>1400.841159718721</v>
      </c>
      <c r="AK17" s="711">
        <f>Medicare!AK10</f>
        <v>1423.9375417014894</v>
      </c>
      <c r="AL17" s="711">
        <f>Medicare!AL10</f>
        <v>1447.4147255025032</v>
      </c>
      <c r="AM17" s="711">
        <f>Medicare!AM10</f>
        <v>1471.2789895953731</v>
      </c>
      <c r="AN17" s="711">
        <f>Medicare!AN10</f>
        <v>1471.2789895953731</v>
      </c>
    </row>
    <row r="18" spans="2:102" ht="18" customHeight="1" x14ac:dyDescent="0.35">
      <c r="B18" s="818" t="s">
        <v>432</v>
      </c>
      <c r="C18" s="268"/>
      <c r="D18" s="392"/>
      <c r="E18" s="265"/>
      <c r="F18" s="265"/>
      <c r="G18" s="265"/>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782">
        <f t="shared" ref="V18:AA18" si="4">V19+V20</f>
        <v>0</v>
      </c>
      <c r="W18" s="782">
        <f t="shared" si="4"/>
        <v>0</v>
      </c>
      <c r="X18" s="782">
        <f t="shared" si="4"/>
        <v>0</v>
      </c>
      <c r="Y18" s="782">
        <f t="shared" si="4"/>
        <v>0</v>
      </c>
      <c r="Z18" s="782">
        <f t="shared" si="4"/>
        <v>0</v>
      </c>
      <c r="AA18" s="782">
        <f t="shared" si="4"/>
        <v>0</v>
      </c>
      <c r="AB18" s="782">
        <f>AB19+AB20</f>
        <v>0</v>
      </c>
      <c r="AC18" s="782">
        <f>AC19+AC20</f>
        <v>0</v>
      </c>
      <c r="AD18" s="782">
        <f>AD19+AD20</f>
        <v>0</v>
      </c>
      <c r="AE18" s="711">
        <f>'Rebate Checks (expired)'!AE10 +'Rebate Checks (expired)'!AE11</f>
        <v>0</v>
      </c>
      <c r="AF18" s="711">
        <f>'Rebate Checks (expired)'!AF10 +'Rebate Checks (expired)'!AF11</f>
        <v>0</v>
      </c>
      <c r="AG18" s="711">
        <f>'Rebate Checks (expired)'!AG10 +'Rebate Checks (expired)'!AG11</f>
        <v>0</v>
      </c>
      <c r="AH18" s="711">
        <f>'Rebate Checks (expired)'!AH10 +'Rebate Checks (expired)'!AH11</f>
        <v>0</v>
      </c>
      <c r="AI18" s="711">
        <f>'Rebate Checks (expired)'!AI10 +'Rebate Checks (expired)'!AI11</f>
        <v>0</v>
      </c>
      <c r="AJ18" s="711">
        <f>'Rebate Checks (expired)'!AJ10 +'Rebate Checks (expired)'!AJ11</f>
        <v>0</v>
      </c>
      <c r="AK18" s="711">
        <f>'Rebate Checks (expired)'!AK10 +'Rebate Checks (expired)'!AK11</f>
        <v>0</v>
      </c>
      <c r="AL18" s="711">
        <f>'Rebate Checks (expired)'!AL10 +'Rebate Checks (expired)'!AL11</f>
        <v>0</v>
      </c>
      <c r="AM18" s="711">
        <f>'Rebate Checks (expired)'!AM10 +'Rebate Checks (expired)'!AM11</f>
        <v>0</v>
      </c>
      <c r="AN18" s="711">
        <f>'Rebate Checks (expired)'!AN10 +'Rebate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'Provider Relief (expired)'!D11</f>
        <v>0</v>
      </c>
      <c r="E21" s="365">
        <f>'Provider Relief (expired)'!E11</f>
        <v>0</v>
      </c>
      <c r="F21" s="365">
        <f>'Provider Relief (expired)'!F11</f>
        <v>0</v>
      </c>
      <c r="G21" s="365">
        <f>'Provider Relief (expired)'!G11</f>
        <v>0</v>
      </c>
      <c r="H21" s="365">
        <f>'Provider Relief (expired)'!H11</f>
        <v>0</v>
      </c>
      <c r="I21" s="365">
        <f>'Provider Relief (expired)'!I11</f>
        <v>0</v>
      </c>
      <c r="J21" s="365">
        <f>'Provider Relief (expired)'!J11</f>
        <v>160.9</v>
      </c>
      <c r="K21" s="365">
        <f>'Provider Relief (expired)'!K11</f>
        <v>58.4</v>
      </c>
      <c r="L21" s="365">
        <f>'Provider Relief (expired)'!L11</f>
        <v>34.5</v>
      </c>
      <c r="M21" s="365">
        <f>'Provider Relief (expired)'!M11</f>
        <v>21.4</v>
      </c>
      <c r="N21" s="365">
        <f>'Provider Relief (expired)'!N11</f>
        <v>13.3</v>
      </c>
      <c r="O21" s="365">
        <f>'Provider Relief (expired)'!O11</f>
        <v>18.7</v>
      </c>
      <c r="P21" s="365">
        <f>'Provider Relief (expired)'!P11</f>
        <v>32.200000000000003</v>
      </c>
      <c r="Q21" s="365">
        <f>'Provider Relief (expired)'!Q11</f>
        <v>26.9</v>
      </c>
      <c r="R21" s="365">
        <f>'Provider Relief (expired)'!R11</f>
        <v>20</v>
      </c>
      <c r="S21" s="365">
        <f>'Provider Relief (expired)'!S11</f>
        <v>8.1</v>
      </c>
      <c r="T21" s="365">
        <f>'Provider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'ARP Quarterly'!C5</f>
        <v>0</v>
      </c>
      <c r="N24" s="680">
        <f>'ARP Quarterly'!D5</f>
        <v>33.921840000000024</v>
      </c>
      <c r="O24" s="680">
        <f>'ARP Quarterly'!E5</f>
        <v>44.966160000000031</v>
      </c>
      <c r="P24" s="680">
        <f>'ARP Quarterly'!F5</f>
        <v>52.756999999999998</v>
      </c>
      <c r="Q24" s="680">
        <f>'ARP Quarterly'!G5</f>
        <v>52.756999999999998</v>
      </c>
      <c r="R24" s="680">
        <f>'ARP Quarterly'!H5</f>
        <v>52.756999999999998</v>
      </c>
      <c r="S24" s="680">
        <f>'ARP Quarterly'!I5</f>
        <v>52.756999999999998</v>
      </c>
      <c r="T24" s="680">
        <v>30</v>
      </c>
      <c r="U24" s="680">
        <f>'ARP Quarterly'!K5</f>
        <v>12</v>
      </c>
      <c r="V24" s="680">
        <f>'ARP Quarterly'!L5</f>
        <v>12</v>
      </c>
      <c r="W24" s="680">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682">
        <f>'ARP Quarterly'!U5</f>
        <v>2.3719999999999999</v>
      </c>
      <c r="AF24" s="682">
        <f>'ARP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'ARP Quarterly'!C4</f>
        <v>0</v>
      </c>
      <c r="N25" s="606">
        <f>'ARP Quarterly'!D4</f>
        <v>0</v>
      </c>
      <c r="O25" s="606">
        <f>'ARP Quarterly'!E4</f>
        <v>3.1040000000000418</v>
      </c>
      <c r="P25" s="606">
        <f>'ARP Quarterly'!F4</f>
        <v>19.719000000000005</v>
      </c>
      <c r="Q25" s="606">
        <f>'ARP Quarterly'!G4</f>
        <v>19.719000000000005</v>
      </c>
      <c r="R25" s="606">
        <f>'ARP Quarterly'!H4</f>
        <v>19.719000000000005</v>
      </c>
      <c r="S25" s="606">
        <f>'ARP Quarterly'!I4</f>
        <v>19.719000000000005</v>
      </c>
      <c r="T25" s="606">
        <f>'ARP Quarterly'!J4</f>
        <v>1.4159999999999999</v>
      </c>
      <c r="U25" s="606">
        <f>'ARP Quarterly'!K4</f>
        <v>1.4159999999999999</v>
      </c>
      <c r="V25" s="606">
        <f>'ARP Quarterly'!L4</f>
        <v>1.4159999999999999</v>
      </c>
      <c r="W25" s="606">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711">
        <f>'ARP Quarterly'!U4</f>
        <v>1.63</v>
      </c>
      <c r="AF25" s="711">
        <f>'ARP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D51</f>
        <v>0</v>
      </c>
      <c r="E26" s="265">
        <f t="shared" ref="E26:AE26" si="5">E51</f>
        <v>0</v>
      </c>
      <c r="F26" s="265">
        <f t="shared" si="5"/>
        <v>0</v>
      </c>
      <c r="G26" s="265">
        <f t="shared" si="5"/>
        <v>0</v>
      </c>
      <c r="H26" s="265">
        <f t="shared" si="5"/>
        <v>0</v>
      </c>
      <c r="I26" s="606">
        <f t="shared" si="5"/>
        <v>6.9950000000000045</v>
      </c>
      <c r="J26" s="606">
        <f t="shared" si="5"/>
        <v>51.122999999999998</v>
      </c>
      <c r="K26" s="606">
        <f t="shared" si="5"/>
        <v>51.055</v>
      </c>
      <c r="L26" s="606">
        <f t="shared" si="5"/>
        <v>51.762999999999998</v>
      </c>
      <c r="M26" s="606">
        <f t="shared" si="5"/>
        <v>91.453000000000003</v>
      </c>
      <c r="N26" s="606">
        <f t="shared" si="5"/>
        <v>101.11800000000002</v>
      </c>
      <c r="O26" s="606">
        <f t="shared" si="5"/>
        <v>93.417000000000002</v>
      </c>
      <c r="P26" s="606">
        <f t="shared" si="5"/>
        <v>99.84</v>
      </c>
      <c r="Q26" s="606">
        <f t="shared" si="5"/>
        <v>77.435000000000002</v>
      </c>
      <c r="R26" s="606">
        <f t="shared" si="5"/>
        <v>74.290999999999997</v>
      </c>
      <c r="S26" s="606">
        <f t="shared" si="5"/>
        <v>69.937000000000012</v>
      </c>
      <c r="T26" s="606">
        <f t="shared" si="5"/>
        <v>91.18</v>
      </c>
      <c r="U26" s="606">
        <f t="shared" si="5"/>
        <v>84.404000000000025</v>
      </c>
      <c r="V26" s="606">
        <f>V51</f>
        <v>52.51</v>
      </c>
      <c r="W26" s="606">
        <f>W51</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711">
        <f t="shared" si="5"/>
        <v>41.488000000000007</v>
      </c>
      <c r="AF26" s="711">
        <f>AF51</f>
        <v>33.527000000000008</v>
      </c>
      <c r="AG26" s="711">
        <f>AG51</f>
        <v>33.527000000000008</v>
      </c>
      <c r="AH26" s="711">
        <f>AH51</f>
        <v>33.527000000000008</v>
      </c>
      <c r="AI26" s="711">
        <f>AI51</f>
        <v>33.527000000000008</v>
      </c>
      <c r="AJ26" s="711">
        <f>AJ51</f>
        <v>25.372000000000007</v>
      </c>
      <c r="AK26" s="711">
        <f t="shared" ref="AK26:AN26" si="6">AK51</f>
        <v>25.372000000000007</v>
      </c>
      <c r="AL26" s="711">
        <f t="shared" si="6"/>
        <v>25.372000000000007</v>
      </c>
      <c r="AM26" s="711">
        <f t="shared" si="6"/>
        <v>25.372000000000007</v>
      </c>
      <c r="AN26" s="711">
        <f t="shared" si="6"/>
        <v>3.7270000000000074</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'Haver Pivoted'!GX89</f>
        <v>34.4</v>
      </c>
      <c r="N27" s="361">
        <f>'Haver Pivoted'!GY89</f>
        <v>34.4</v>
      </c>
      <c r="O27" s="361">
        <f>'Haver Pivoted'!GZ89</f>
        <v>218.933333333333</v>
      </c>
      <c r="P27" s="361">
        <f>'Haver Pivoted'!HA89</f>
        <v>223.13333333333301</v>
      </c>
      <c r="Q27" s="361">
        <f>'Haver Pivoted'!HB89</f>
        <v>94.3</v>
      </c>
      <c r="R27" s="361">
        <f>'Haver Pivoted'!HC89</f>
        <v>94.3</v>
      </c>
      <c r="S27" s="576">
        <f>'Haver Pivoted'!HD89</f>
        <v>94.3</v>
      </c>
      <c r="T27" s="576">
        <f>'Haver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'PPP (expired)'!J53</f>
        <v>57.2</v>
      </c>
      <c r="K28" s="606">
        <f>'PPP (expired)'!K53</f>
        <v>81.2</v>
      </c>
      <c r="L28" s="606">
        <f>'PPP (expired)'!L53</f>
        <v>24.4</v>
      </c>
      <c r="M28" s="606">
        <f>'PPP (expired)'!M53</f>
        <v>11.7</v>
      </c>
      <c r="N28" s="606">
        <f>'PPP (expired)'!N53</f>
        <v>28.5</v>
      </c>
      <c r="O28" s="606">
        <f>'PPP (expired)'!O53</f>
        <v>18.8</v>
      </c>
      <c r="P28" s="606">
        <f>'PPP (expired)'!P53</f>
        <v>1.6</v>
      </c>
      <c r="Q28" s="606">
        <f>'PPP (expired)'!Q53</f>
        <v>0</v>
      </c>
      <c r="R28" s="606">
        <f>'PPP (expired)'!Q61</f>
        <v>0</v>
      </c>
      <c r="S28" s="606">
        <f>'PPP (expired)'!S53</f>
        <v>0</v>
      </c>
      <c r="T28" s="606">
        <f>'PPP (expired)'!T53</f>
        <v>0</v>
      </c>
      <c r="U28" s="606">
        <f>'PPP (expired)'!U53</f>
        <v>0</v>
      </c>
      <c r="V28" s="606">
        <f>'PPP (expired)'!V53</f>
        <v>0</v>
      </c>
      <c r="W28" s="606">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71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65" customHeight="1" x14ac:dyDescent="0.35">
      <c r="B29" s="403" t="s">
        <v>762</v>
      </c>
      <c r="C29" s="268"/>
      <c r="D29" s="705">
        <f t="shared" ref="D29:AH29" si="7">D76</f>
        <v>0</v>
      </c>
      <c r="E29" s="606">
        <f t="shared" si="7"/>
        <v>0</v>
      </c>
      <c r="F29" s="606">
        <f t="shared" si="7"/>
        <v>0</v>
      </c>
      <c r="G29" s="606">
        <f t="shared" si="7"/>
        <v>0</v>
      </c>
      <c r="H29" s="606">
        <f t="shared" si="7"/>
        <v>0</v>
      </c>
      <c r="I29" s="606">
        <f t="shared" si="7"/>
        <v>-6.9950000000003456</v>
      </c>
      <c r="J29" s="606">
        <f t="shared" si="7"/>
        <v>-38.323000000000548</v>
      </c>
      <c r="K29" s="606">
        <f t="shared" si="7"/>
        <v>85.244999999999436</v>
      </c>
      <c r="L29" s="606">
        <f t="shared" si="7"/>
        <v>17.936999999999443</v>
      </c>
      <c r="M29" s="606">
        <f t="shared" si="7"/>
        <v>20.752999999999702</v>
      </c>
      <c r="N29" s="606">
        <f t="shared" si="7"/>
        <v>-8.8338400000009187</v>
      </c>
      <c r="O29" s="606">
        <f t="shared" si="7"/>
        <v>-12.81449333333353</v>
      </c>
      <c r="P29" s="606">
        <f t="shared" si="7"/>
        <v>-32.243333333333567</v>
      </c>
      <c r="Q29" s="606">
        <f t="shared" si="7"/>
        <v>72.944079999999303</v>
      </c>
      <c r="R29" s="606">
        <f t="shared" si="7"/>
        <v>74.4880799999994</v>
      </c>
      <c r="S29" s="606">
        <f t="shared" si="7"/>
        <v>64.864079999999149</v>
      </c>
      <c r="T29" s="606">
        <f t="shared" si="7"/>
        <v>89.36907999999903</v>
      </c>
      <c r="U29" s="606">
        <f t="shared" si="7"/>
        <v>58.801958999999442</v>
      </c>
      <c r="V29" s="606">
        <f t="shared" si="7"/>
        <v>71.638816142856285</v>
      </c>
      <c r="W29" s="606">
        <f t="shared" si="7"/>
        <v>76.973816142856094</v>
      </c>
      <c r="X29" s="711">
        <f t="shared" si="7"/>
        <v>97.410958999999366</v>
      </c>
      <c r="Y29" s="711">
        <f t="shared" si="7"/>
        <v>152.43494299999907</v>
      </c>
      <c r="Z29" s="711">
        <f t="shared" si="7"/>
        <v>170.29094299999906</v>
      </c>
      <c r="AA29" s="711">
        <f t="shared" si="7"/>
        <v>179.24894299999892</v>
      </c>
      <c r="AB29" s="711">
        <f t="shared" si="7"/>
        <v>205.4409429999987</v>
      </c>
      <c r="AC29" s="711">
        <f t="shared" si="7"/>
        <v>263.02286799999933</v>
      </c>
      <c r="AD29" s="711">
        <f t="shared" si="7"/>
        <v>353.32686799999874</v>
      </c>
      <c r="AE29" s="711">
        <f t="shared" si="7"/>
        <v>353.32686799999874</v>
      </c>
      <c r="AF29" s="711">
        <f t="shared" si="7"/>
        <v>353.32686799999874</v>
      </c>
      <c r="AG29" s="711">
        <f t="shared" si="7"/>
        <v>353.32686799999874</v>
      </c>
      <c r="AH29" s="711">
        <f t="shared" si="7"/>
        <v>353.32686799999874</v>
      </c>
      <c r="AI29" s="711">
        <f t="shared" ref="AI29:AJ29" si="8">AI76</f>
        <v>353.32686799999874</v>
      </c>
      <c r="AJ29" s="711">
        <f t="shared" si="8"/>
        <v>353.32686799999874</v>
      </c>
      <c r="AK29" s="711">
        <f t="shared" ref="AK29:AN29" si="9">AK76</f>
        <v>353.32686799999874</v>
      </c>
      <c r="AL29" s="711">
        <f t="shared" si="9"/>
        <v>353.32686799999874</v>
      </c>
      <c r="AM29" s="711">
        <f t="shared" si="9"/>
        <v>353.32686799999874</v>
      </c>
      <c r="AN29" s="711">
        <f t="shared" si="9"/>
        <v>353.32686799999874</v>
      </c>
    </row>
    <row r="30" spans="2:102" ht="21" customHeight="1" x14ac:dyDescent="0.35">
      <c r="B30" s="389" t="s">
        <v>759</v>
      </c>
      <c r="C30" s="385"/>
      <c r="D30" s="861">
        <f t="shared" ref="D30:W30" si="10">D25+D21</f>
        <v>0</v>
      </c>
      <c r="E30" s="747">
        <f t="shared" si="10"/>
        <v>0</v>
      </c>
      <c r="F30" s="747">
        <f t="shared" si="10"/>
        <v>0</v>
      </c>
      <c r="G30" s="747">
        <f t="shared" si="10"/>
        <v>0</v>
      </c>
      <c r="H30" s="747">
        <f t="shared" si="10"/>
        <v>0</v>
      </c>
      <c r="I30" s="747">
        <f t="shared" si="10"/>
        <v>0</v>
      </c>
      <c r="J30" s="747">
        <f t="shared" si="10"/>
        <v>160.9</v>
      </c>
      <c r="K30" s="747">
        <f t="shared" si="10"/>
        <v>58.4</v>
      </c>
      <c r="L30" s="747">
        <f t="shared" si="10"/>
        <v>34.5</v>
      </c>
      <c r="M30" s="747">
        <f t="shared" si="10"/>
        <v>21.4</v>
      </c>
      <c r="N30" s="747">
        <f t="shared" si="10"/>
        <v>13.3</v>
      </c>
      <c r="O30" s="747">
        <f t="shared" si="10"/>
        <v>21.804000000000041</v>
      </c>
      <c r="P30" s="680">
        <f t="shared" si="10"/>
        <v>51.919000000000011</v>
      </c>
      <c r="Q30" s="747">
        <f t="shared" si="10"/>
        <v>46.619</v>
      </c>
      <c r="R30" s="747">
        <f t="shared" si="10"/>
        <v>39.719000000000008</v>
      </c>
      <c r="S30" s="747">
        <f t="shared" si="10"/>
        <v>27.819000000000003</v>
      </c>
      <c r="T30" s="680">
        <f t="shared" si="10"/>
        <v>6.3160000000000007</v>
      </c>
      <c r="U30" s="680">
        <f t="shared" si="10"/>
        <v>1.4159999999999999</v>
      </c>
      <c r="V30" s="680">
        <f t="shared" si="10"/>
        <v>1.4159999999999999</v>
      </c>
      <c r="W30" s="680">
        <f t="shared" si="10"/>
        <v>1.4159999999999999</v>
      </c>
      <c r="X30" s="682">
        <f t="shared" ref="X30:AB30" si="11">X25+X21</f>
        <v>1.4790000000000001</v>
      </c>
      <c r="Y30" s="682">
        <f t="shared" si="11"/>
        <v>1.4790000000000001</v>
      </c>
      <c r="Z30" s="682">
        <f t="shared" si="11"/>
        <v>1.4790000000000001</v>
      </c>
      <c r="AA30" s="682">
        <f t="shared" si="11"/>
        <v>1.4790000000000001</v>
      </c>
      <c r="AB30" s="682">
        <f t="shared" si="11"/>
        <v>1.63</v>
      </c>
      <c r="AC30" s="682">
        <f>AC25+AC21</f>
        <v>1.63</v>
      </c>
      <c r="AD30" s="682">
        <f t="shared" ref="AD30:AE30" si="12">AD25+AD21</f>
        <v>1.63</v>
      </c>
      <c r="AE30" s="682">
        <f t="shared" si="12"/>
        <v>1.63</v>
      </c>
      <c r="AF30" s="682">
        <f>AF25+AF21</f>
        <v>1.671</v>
      </c>
      <c r="AG30" s="682">
        <f>AG25+AG21</f>
        <v>0</v>
      </c>
      <c r="AH30" s="682">
        <f>AH25+AH21</f>
        <v>0</v>
      </c>
      <c r="AI30" s="682">
        <f t="shared" ref="AI30:AJ30" si="13">AI25+AI21</f>
        <v>0</v>
      </c>
      <c r="AJ30" s="682">
        <f t="shared" si="13"/>
        <v>0</v>
      </c>
      <c r="AK30" s="682">
        <f t="shared" ref="AK30:AN30" si="14">AK25+AK21</f>
        <v>0</v>
      </c>
      <c r="AL30" s="682">
        <f t="shared" si="14"/>
        <v>0</v>
      </c>
      <c r="AM30" s="682">
        <f t="shared" si="14"/>
        <v>0</v>
      </c>
      <c r="AN30" s="682">
        <f t="shared" si="14"/>
        <v>0</v>
      </c>
    </row>
    <row r="31" spans="2:102" ht="44.9" customHeight="1" x14ac:dyDescent="0.35">
      <c r="B31" s="530" t="s">
        <v>1136</v>
      </c>
      <c r="D31" s="705"/>
      <c r="E31" s="606"/>
      <c r="F31" s="606"/>
      <c r="G31" s="606"/>
      <c r="H31" s="606"/>
      <c r="I31" s="606"/>
      <c r="J31" s="606"/>
      <c r="K31" s="606"/>
      <c r="L31" s="606"/>
      <c r="M31" s="606"/>
      <c r="N31" s="606"/>
      <c r="O31" s="606"/>
      <c r="P31" s="606"/>
      <c r="Q31" s="606"/>
      <c r="R31" s="606"/>
      <c r="S31" s="845">
        <f>'IRA and CHIPS'!E191</f>
        <v>-0.622</v>
      </c>
      <c r="T31" s="845">
        <f>'IRA and CHIPS'!F191</f>
        <v>21.89</v>
      </c>
      <c r="U31" s="845">
        <f>'IRA and CHIPS'!G191</f>
        <v>21.89</v>
      </c>
      <c r="V31" s="845">
        <f>'IRA and CHIPS'!H191</f>
        <v>21.89</v>
      </c>
      <c r="W31" s="845">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74" t="s">
        <v>766</v>
      </c>
      <c r="C32" s="268"/>
      <c r="D32" s="705">
        <f t="shared" ref="D32:AD32" si="15">D68</f>
        <v>427.0390000000001</v>
      </c>
      <c r="E32" s="606">
        <f t="shared" si="15"/>
        <v>1470.7000000000003</v>
      </c>
      <c r="F32" s="606">
        <f t="shared" si="15"/>
        <v>1475.8999999999996</v>
      </c>
      <c r="G32" s="606">
        <f t="shared" si="15"/>
        <v>1482.6999999999998</v>
      </c>
      <c r="H32" s="606">
        <f t="shared" si="15"/>
        <v>1490.8000000000002</v>
      </c>
      <c r="I32" s="606">
        <f t="shared" si="15"/>
        <v>1542.7000000000003</v>
      </c>
      <c r="J32" s="606">
        <f t="shared" si="15"/>
        <v>1549.4000000000003</v>
      </c>
      <c r="K32" s="606">
        <f t="shared" si="15"/>
        <v>1556.1000000000004</v>
      </c>
      <c r="L32" s="606">
        <f t="shared" si="15"/>
        <v>1562.8000000000004</v>
      </c>
      <c r="M32" s="606">
        <f t="shared" si="15"/>
        <v>1587.4940000000006</v>
      </c>
      <c r="N32" s="606">
        <f t="shared" si="15"/>
        <v>1594.1940000000006</v>
      </c>
      <c r="O32" s="606">
        <f t="shared" si="15"/>
        <v>1600.8940000000007</v>
      </c>
      <c r="P32" s="606">
        <f t="shared" si="15"/>
        <v>1607.5940000000007</v>
      </c>
      <c r="Q32" s="606">
        <f t="shared" si="15"/>
        <v>1686.2449200000008</v>
      </c>
      <c r="R32" s="606">
        <f t="shared" si="15"/>
        <v>1692.9449200000008</v>
      </c>
      <c r="S32" s="606">
        <f t="shared" si="15"/>
        <v>1699.6449200000009</v>
      </c>
      <c r="T32" s="606">
        <f t="shared" si="15"/>
        <v>1706.3449200000009</v>
      </c>
      <c r="U32" s="606">
        <f t="shared" si="15"/>
        <v>1819.6880410000008</v>
      </c>
      <c r="V32" s="606">
        <f t="shared" si="15"/>
        <v>1826.3880410000008</v>
      </c>
      <c r="W32" s="606">
        <f t="shared" si="15"/>
        <v>1833.0880410000009</v>
      </c>
      <c r="X32" s="711">
        <f t="shared" si="15"/>
        <v>1839.7880410000009</v>
      </c>
      <c r="Y32" s="711">
        <f t="shared" si="15"/>
        <v>1892.170057000001</v>
      </c>
      <c r="Z32" s="711">
        <f t="shared" si="15"/>
        <v>1898.870057000001</v>
      </c>
      <c r="AA32" s="711">
        <f t="shared" si="15"/>
        <v>1905.570057000001</v>
      </c>
      <c r="AB32" s="711">
        <f>AB68</f>
        <v>1912.2700570000011</v>
      </c>
      <c r="AC32" s="711">
        <f>AC68</f>
        <v>1957.2161320000012</v>
      </c>
      <c r="AD32" s="711">
        <f t="shared" si="15"/>
        <v>1963.9161320000012</v>
      </c>
      <c r="AE32" s="711">
        <f>AE68</f>
        <v>1970.6161320000012</v>
      </c>
      <c r="AF32" s="711">
        <f>AF68</f>
        <v>1977.3161320000013</v>
      </c>
      <c r="AG32" s="711">
        <f>AG68</f>
        <v>2022.8192711380013</v>
      </c>
      <c r="AH32" s="711">
        <f>AH68</f>
        <v>2029.5192711380014</v>
      </c>
      <c r="AI32" s="711">
        <f t="shared" ref="AI32:AJ32" si="16">AI68</f>
        <v>2036.2192711380014</v>
      </c>
      <c r="AJ32" s="711">
        <f t="shared" si="16"/>
        <v>2042.9192711380015</v>
      </c>
      <c r="AK32" s="711">
        <f t="shared" ref="AK32:AN32" si="17">AK68</f>
        <v>2090.7427454761755</v>
      </c>
      <c r="AL32" s="711">
        <f t="shared" si="17"/>
        <v>2097.4427454761753</v>
      </c>
      <c r="AM32" s="711">
        <f t="shared" si="17"/>
        <v>2104.1427454761752</v>
      </c>
      <c r="AN32" s="711">
        <f t="shared" si="17"/>
        <v>2110.842745476175</v>
      </c>
    </row>
    <row r="33" spans="2:40" ht="31.4" customHeight="1" x14ac:dyDescent="0.35">
      <c r="B33" s="695" t="s">
        <v>763</v>
      </c>
      <c r="C33" s="385"/>
      <c r="D33" s="680">
        <f t="shared" ref="D33:AN33" si="18">D32+SUM(D26:D29)+D31</f>
        <v>457.0390000000001</v>
      </c>
      <c r="E33" s="680">
        <f t="shared" si="18"/>
        <v>1500.7000000000003</v>
      </c>
      <c r="F33" s="680">
        <f t="shared" si="18"/>
        <v>1505.8999999999996</v>
      </c>
      <c r="G33" s="680">
        <f t="shared" si="18"/>
        <v>1512.6999999999998</v>
      </c>
      <c r="H33" s="680">
        <f t="shared" si="18"/>
        <v>1520.8000000000002</v>
      </c>
      <c r="I33" s="680">
        <f t="shared" si="18"/>
        <v>1572.6999999999998</v>
      </c>
      <c r="J33" s="680">
        <f t="shared" si="18"/>
        <v>1649.3999999999996</v>
      </c>
      <c r="K33" s="680">
        <f t="shared" si="18"/>
        <v>1803.7999999999997</v>
      </c>
      <c r="L33" s="680">
        <f t="shared" si="18"/>
        <v>1687.1</v>
      </c>
      <c r="M33" s="680">
        <f t="shared" si="18"/>
        <v>1745.8000000000002</v>
      </c>
      <c r="N33" s="680">
        <f t="shared" si="18"/>
        <v>1749.3781599999998</v>
      </c>
      <c r="O33" s="680">
        <f t="shared" si="18"/>
        <v>1919.2298400000002</v>
      </c>
      <c r="P33" s="680">
        <f t="shared" si="18"/>
        <v>1899.9240000000002</v>
      </c>
      <c r="Q33" s="680">
        <f t="shared" si="18"/>
        <v>1930.924</v>
      </c>
      <c r="R33" s="680">
        <f t="shared" si="18"/>
        <v>1936.0240000000003</v>
      </c>
      <c r="S33" s="680">
        <f t="shared" si="18"/>
        <v>1928.124</v>
      </c>
      <c r="T33" s="849">
        <f t="shared" si="18"/>
        <v>2003.0840000000001</v>
      </c>
      <c r="U33" s="849">
        <f t="shared" si="18"/>
        <v>2018.7840000000003</v>
      </c>
      <c r="V33" s="680">
        <f t="shared" si="18"/>
        <v>2006.4268571428572</v>
      </c>
      <c r="W33" s="680">
        <f t="shared" si="18"/>
        <v>2016.426857142857</v>
      </c>
      <c r="X33" s="682">
        <f t="shared" si="18"/>
        <v>2024.9990000000005</v>
      </c>
      <c r="Y33" s="682">
        <f t="shared" si="18"/>
        <v>2131.8989999999999</v>
      </c>
      <c r="Z33" s="682">
        <f t="shared" si="18"/>
        <v>2160.9989999999998</v>
      </c>
      <c r="AA33" s="682">
        <f t="shared" si="18"/>
        <v>2181.299</v>
      </c>
      <c r="AB33" s="682">
        <f t="shared" si="18"/>
        <v>2212.098</v>
      </c>
      <c r="AC33" s="682">
        <f t="shared" si="18"/>
        <v>2312.7980000000007</v>
      </c>
      <c r="AD33" s="682">
        <f t="shared" si="18"/>
        <v>2409.6979999999999</v>
      </c>
      <c r="AE33" s="682">
        <f t="shared" si="18"/>
        <v>2416.3980000000001</v>
      </c>
      <c r="AF33" s="682">
        <f t="shared" si="18"/>
        <v>2398.8980000000001</v>
      </c>
      <c r="AG33" s="682">
        <f t="shared" si="18"/>
        <v>2444.401139138</v>
      </c>
      <c r="AH33" s="682">
        <f t="shared" si="18"/>
        <v>2450.3731391380002</v>
      </c>
      <c r="AI33" s="682">
        <f t="shared" si="18"/>
        <v>2458.0731391380004</v>
      </c>
      <c r="AJ33" s="682">
        <f t="shared" si="18"/>
        <v>2457.6181391380001</v>
      </c>
      <c r="AK33" s="682">
        <f t="shared" si="18"/>
        <v>2506.4416134761741</v>
      </c>
      <c r="AL33" s="682">
        <f t="shared" si="18"/>
        <v>2514.1416134761739</v>
      </c>
      <c r="AM33" s="682">
        <f t="shared" si="18"/>
        <v>2521.8416134761737</v>
      </c>
      <c r="AN33" s="682">
        <f t="shared" si="18"/>
        <v>2507.8966134761736</v>
      </c>
    </row>
    <row r="34" spans="2:40" ht="31.4" customHeight="1" x14ac:dyDescent="0.35">
      <c r="B34" s="695"/>
      <c r="C34" s="385"/>
      <c r="D34" s="680">
        <f t="shared" ref="D34:P34" si="19">D29+D32</f>
        <v>427.0390000000001</v>
      </c>
      <c r="E34" s="680">
        <f t="shared" si="19"/>
        <v>1470.7000000000003</v>
      </c>
      <c r="F34" s="680">
        <f t="shared" si="19"/>
        <v>1475.8999999999996</v>
      </c>
      <c r="G34" s="680">
        <f t="shared" si="19"/>
        <v>1482.6999999999998</v>
      </c>
      <c r="H34" s="680">
        <f t="shared" si="19"/>
        <v>1490.8000000000002</v>
      </c>
      <c r="I34" s="680">
        <f t="shared" si="19"/>
        <v>1535.7049999999999</v>
      </c>
      <c r="J34" s="680">
        <f t="shared" si="19"/>
        <v>1511.0769999999998</v>
      </c>
      <c r="K34" s="680">
        <f t="shared" si="19"/>
        <v>1641.3449999999998</v>
      </c>
      <c r="L34" s="680">
        <f t="shared" si="19"/>
        <v>1580.7369999999999</v>
      </c>
      <c r="M34" s="680">
        <f t="shared" si="19"/>
        <v>1608.2470000000003</v>
      </c>
      <c r="N34" s="680">
        <f t="shared" si="19"/>
        <v>1585.3601599999997</v>
      </c>
      <c r="O34" s="680">
        <f t="shared" si="19"/>
        <v>1588.0795066666672</v>
      </c>
      <c r="P34" s="680">
        <f t="shared" si="19"/>
        <v>1575.3506666666672</v>
      </c>
      <c r="Q34" s="680">
        <f>Q29+Q32</f>
        <v>1759.1890000000001</v>
      </c>
      <c r="R34" s="680">
        <f t="shared" ref="R34:AN34" si="20">R29+R32</f>
        <v>1767.4330000000002</v>
      </c>
      <c r="S34" s="680">
        <f t="shared" si="20"/>
        <v>1764.509</v>
      </c>
      <c r="T34" s="680">
        <f t="shared" si="20"/>
        <v>1795.7139999999999</v>
      </c>
      <c r="U34" s="680">
        <f t="shared" si="20"/>
        <v>1878.4900000000002</v>
      </c>
      <c r="V34" s="680">
        <f t="shared" si="20"/>
        <v>1898.0268571428571</v>
      </c>
      <c r="W34" s="680">
        <f t="shared" si="20"/>
        <v>1910.061857142857</v>
      </c>
      <c r="X34" s="680">
        <f t="shared" si="20"/>
        <v>1937.1990000000003</v>
      </c>
      <c r="Y34" s="680">
        <f t="shared" si="20"/>
        <v>2044.605</v>
      </c>
      <c r="Z34" s="680">
        <f t="shared" si="20"/>
        <v>2069.1610000000001</v>
      </c>
      <c r="AA34" s="680">
        <f t="shared" si="20"/>
        <v>2084.819</v>
      </c>
      <c r="AB34" s="680">
        <f t="shared" si="20"/>
        <v>2117.7109999999998</v>
      </c>
      <c r="AC34" s="680">
        <f t="shared" si="20"/>
        <v>2220.2390000000005</v>
      </c>
      <c r="AD34" s="680">
        <f t="shared" si="20"/>
        <v>2317.2429999999999</v>
      </c>
      <c r="AE34" s="680">
        <f t="shared" si="20"/>
        <v>2323.9430000000002</v>
      </c>
      <c r="AF34" s="680">
        <f t="shared" si="20"/>
        <v>2330.643</v>
      </c>
      <c r="AG34" s="680">
        <f t="shared" si="20"/>
        <v>2376.1461391379999</v>
      </c>
      <c r="AH34" s="680">
        <f t="shared" si="20"/>
        <v>2382.8461391380001</v>
      </c>
      <c r="AI34" s="680">
        <f t="shared" si="20"/>
        <v>2389.5461391380004</v>
      </c>
      <c r="AJ34" s="680">
        <f t="shared" si="20"/>
        <v>2396.2461391380002</v>
      </c>
      <c r="AK34" s="680">
        <f t="shared" si="20"/>
        <v>2444.0696134761743</v>
      </c>
      <c r="AL34" s="680">
        <f t="shared" si="20"/>
        <v>2450.7696134761741</v>
      </c>
      <c r="AM34" s="680">
        <f t="shared" si="20"/>
        <v>2457.4696134761739</v>
      </c>
      <c r="AN34" s="680">
        <f t="shared" si="20"/>
        <v>2464.1696134761737</v>
      </c>
    </row>
    <row r="35" spans="2:40" ht="31.4" customHeight="1" x14ac:dyDescent="0.35">
      <c r="B35" s="695"/>
      <c r="C35" s="385"/>
      <c r="D35" s="680"/>
      <c r="E35" s="680"/>
      <c r="F35" s="680"/>
      <c r="G35" s="680"/>
      <c r="H35" s="680"/>
      <c r="I35" s="680"/>
      <c r="J35" s="680"/>
      <c r="K35" s="680"/>
      <c r="L35" s="680"/>
      <c r="M35" s="680"/>
      <c r="N35" s="680"/>
      <c r="O35" s="680"/>
      <c r="P35" s="680"/>
      <c r="Q35" s="680"/>
      <c r="R35" s="680"/>
      <c r="S35" s="680"/>
      <c r="T35" s="680"/>
      <c r="U35" s="680"/>
      <c r="V35" s="680"/>
      <c r="W35" s="680"/>
      <c r="X35" s="682"/>
      <c r="Y35" s="682"/>
      <c r="Z35" s="682"/>
      <c r="AA35" s="682"/>
      <c r="AB35" s="682"/>
      <c r="AC35" s="682"/>
      <c r="AD35" s="682"/>
      <c r="AE35" s="682"/>
      <c r="AF35" s="682"/>
      <c r="AG35" s="682"/>
      <c r="AH35" s="682"/>
      <c r="AI35" s="682"/>
      <c r="AJ35" s="682"/>
      <c r="AK35" s="682"/>
      <c r="AL35" s="682"/>
      <c r="AM35" s="682"/>
      <c r="AN35" s="682"/>
    </row>
    <row r="36" spans="2:40" ht="31.4" customHeight="1" x14ac:dyDescent="0.35">
      <c r="B36" s="1496" t="s">
        <v>436</v>
      </c>
      <c r="C36" s="1498"/>
      <c r="D36" s="691"/>
      <c r="E36" s="692"/>
      <c r="F36" s="692"/>
      <c r="G36" s="692"/>
      <c r="H36" s="692"/>
      <c r="I36" s="692"/>
      <c r="J36" s="692"/>
      <c r="K36" s="692"/>
      <c r="L36" s="692"/>
      <c r="M36" s="692"/>
      <c r="N36" s="692"/>
      <c r="O36" s="692"/>
      <c r="P36" s="692"/>
      <c r="Q36" s="692"/>
      <c r="R36" s="692"/>
      <c r="S36" s="692"/>
      <c r="T36" s="680"/>
      <c r="U36" s="692"/>
      <c r="V36" s="680"/>
      <c r="W36" s="680"/>
      <c r="X36" s="682"/>
      <c r="Y36" s="682"/>
      <c r="Z36" s="682"/>
      <c r="AA36" s="682"/>
      <c r="AB36" s="682"/>
      <c r="AC36" s="682"/>
      <c r="AD36" s="682"/>
      <c r="AE36" s="682"/>
      <c r="AF36" s="682"/>
      <c r="AG36" s="682"/>
      <c r="AH36" s="682"/>
      <c r="AI36" s="682"/>
      <c r="AJ36" s="682"/>
      <c r="AK36" s="682"/>
      <c r="AL36" s="682"/>
      <c r="AM36" s="682"/>
      <c r="AN36" s="682"/>
    </row>
    <row r="37" spans="2:40" x14ac:dyDescent="0.35">
      <c r="B37" s="403" t="s">
        <v>768</v>
      </c>
      <c r="C37" s="268" t="s">
        <v>437</v>
      </c>
      <c r="D37" s="392">
        <f>'Haver Pivoted'!GO37</f>
        <v>733.6</v>
      </c>
      <c r="E37" s="265">
        <f>'Haver Pivoted'!GP37</f>
        <v>744.3</v>
      </c>
      <c r="F37" s="265">
        <f>'Haver Pivoted'!GQ37</f>
        <v>762.3</v>
      </c>
      <c r="G37" s="265">
        <f>'Haver Pivoted'!GR37</f>
        <v>772.2</v>
      </c>
      <c r="H37" s="265">
        <f>'Haver Pivoted'!GS37</f>
        <v>772.1</v>
      </c>
      <c r="I37" s="265">
        <f>'Haver Pivoted'!GT37</f>
        <v>760.7</v>
      </c>
      <c r="J37" s="265">
        <f>'Haver Pivoted'!GU37</f>
        <v>811.2</v>
      </c>
      <c r="K37" s="265">
        <f>'Haver Pivoted'!GV37</f>
        <v>850.3</v>
      </c>
      <c r="L37" s="265">
        <f>'Haver Pivoted'!GW37</f>
        <v>840.8</v>
      </c>
      <c r="M37" s="265">
        <f>'Haver Pivoted'!GX37</f>
        <v>870.7</v>
      </c>
      <c r="N37" s="265">
        <f>'Haver Pivoted'!GY37</f>
        <v>914.7</v>
      </c>
      <c r="O37" s="265">
        <f>'Haver Pivoted'!GZ37</f>
        <v>923.7</v>
      </c>
      <c r="P37" s="265">
        <f>'Haver Pivoted'!HA37</f>
        <v>921.7</v>
      </c>
      <c r="Q37" s="265">
        <f>'Haver Pivoted'!HB37</f>
        <v>969.3</v>
      </c>
      <c r="R37" s="265">
        <f>'Haver Pivoted'!HC37</f>
        <v>1003.7</v>
      </c>
      <c r="S37" s="745">
        <f>'Haver Pivoted'!HD37</f>
        <v>1023</v>
      </c>
      <c r="T37" s="745">
        <f>'Haver Pivoted'!HE37</f>
        <v>1084.0999999999999</v>
      </c>
      <c r="U37" s="745">
        <f>'Haver Pivoted'!HF37</f>
        <v>1068</v>
      </c>
      <c r="V37" s="607">
        <f>'Haver Pivoted'!HG37</f>
        <v>1094.7</v>
      </c>
      <c r="W37" s="607">
        <f>'Haver Pivoted'!HH37</f>
        <v>1053.2</v>
      </c>
      <c r="X37" s="607">
        <f>'Haver Pivoted'!HI37</f>
        <v>1047.2</v>
      </c>
      <c r="Y37" s="607">
        <f>'Haver Pivoted'!HJ37</f>
        <v>1104.2</v>
      </c>
      <c r="Z37" s="607">
        <f>'Haver Pivoted'!HK37</f>
        <v>1133.9000000000001</v>
      </c>
      <c r="AA37" s="607">
        <f>'Haver Pivoted'!HL37</f>
        <v>1156.9000000000001</v>
      </c>
      <c r="AB37" s="607">
        <f>'Haver Pivoted'!HM37</f>
        <v>1165</v>
      </c>
      <c r="AC37" s="607">
        <f>'Haver Pivoted'!HN37</f>
        <v>1158.5</v>
      </c>
      <c r="AD37" s="607">
        <f>'Haver Pivoted'!HO37</f>
        <v>1195</v>
      </c>
      <c r="AE37" s="405"/>
      <c r="AF37" s="405"/>
      <c r="AG37" s="405"/>
      <c r="AH37" s="405"/>
      <c r="AI37" s="405"/>
      <c r="AJ37" s="405"/>
      <c r="AK37" s="405"/>
      <c r="AL37" s="405"/>
      <c r="AM37" s="405"/>
      <c r="AN37" s="405"/>
    </row>
    <row r="38" spans="2:40" x14ac:dyDescent="0.35">
      <c r="B38" s="679" t="s">
        <v>197</v>
      </c>
      <c r="C38" s="268"/>
      <c r="D38" s="705">
        <f>Medicaid!D30</f>
        <v>589.5</v>
      </c>
      <c r="E38" s="606">
        <f>Medicaid!E30</f>
        <v>598.70000000000005</v>
      </c>
      <c r="F38" s="606">
        <f>Medicaid!F30</f>
        <v>614.4</v>
      </c>
      <c r="G38" s="606">
        <f>Medicaid!G30</f>
        <v>622.4</v>
      </c>
      <c r="H38" s="606">
        <f>Medicaid!H30</f>
        <v>620.6</v>
      </c>
      <c r="I38" s="606">
        <f>Medicaid!I30</f>
        <v>606.5</v>
      </c>
      <c r="J38" s="606">
        <f>Medicaid!J30</f>
        <v>654.6</v>
      </c>
      <c r="K38" s="606">
        <f>Medicaid!K30</f>
        <v>690.7</v>
      </c>
      <c r="L38" s="606">
        <f>Medicaid!L30</f>
        <v>678.5</v>
      </c>
      <c r="M38" s="606">
        <f>Medicaid!M30</f>
        <v>704.8</v>
      </c>
      <c r="N38" s="606">
        <f>Medicaid!N30</f>
        <v>745.5</v>
      </c>
      <c r="O38" s="606">
        <f>Medicaid!O30</f>
        <v>749.2</v>
      </c>
      <c r="P38" s="606">
        <f>Medicaid!P30</f>
        <v>746.4</v>
      </c>
      <c r="Q38" s="606">
        <f>Medicaid!Q30</f>
        <v>792.1</v>
      </c>
      <c r="R38" s="606">
        <f>Medicaid!R30</f>
        <v>819.3</v>
      </c>
      <c r="S38" s="745">
        <f>Medicaid!S30</f>
        <v>818.9</v>
      </c>
      <c r="T38" s="606">
        <f>Medicaid!T30</f>
        <v>827.1</v>
      </c>
      <c r="U38" s="606">
        <f>Medicaid!U30</f>
        <v>876.8</v>
      </c>
      <c r="V38" s="606">
        <f>Medicaid!V30</f>
        <v>910.9</v>
      </c>
      <c r="W38" s="606">
        <f>Medicaid!W30</f>
        <v>867.3</v>
      </c>
      <c r="X38" s="711">
        <f>Medicaid!X30</f>
        <v>857.7</v>
      </c>
      <c r="Y38" s="711">
        <f>Medicaid!Y30</f>
        <v>909.4</v>
      </c>
      <c r="Z38" s="711">
        <f>Medicaid!Z30</f>
        <v>934.7</v>
      </c>
      <c r="AA38" s="711">
        <f>Medicaid!AA30</f>
        <v>947.9</v>
      </c>
      <c r="AB38" s="711">
        <f>Medicaid!AB30</f>
        <v>960.7</v>
      </c>
      <c r="AC38" s="711">
        <f>Medicaid!AC30</f>
        <v>955.2</v>
      </c>
      <c r="AD38" s="711">
        <f>Medicaid!AD30</f>
        <v>991.5</v>
      </c>
      <c r="AE38" s="711">
        <f>Medicaid!AE30</f>
        <v>1045.5999999999999</v>
      </c>
      <c r="AF38" s="711">
        <f>Medicaid!AF30</f>
        <v>1078.4000000000001</v>
      </c>
      <c r="AG38" s="711">
        <f>Medicaid!AG30</f>
        <v>1093.1629366212339</v>
      </c>
      <c r="AH38" s="711">
        <f>Medicaid!AH30</f>
        <v>1113.2648695925188</v>
      </c>
      <c r="AI38" s="711">
        <f>Medicaid!AI30</f>
        <v>1136.8283964919679</v>
      </c>
      <c r="AJ38" s="711">
        <f>Medicaid!AJ30</f>
        <v>1138.6910007857018</v>
      </c>
      <c r="AK38" s="711">
        <f>Medicaid!AK30</f>
        <v>1145.5730410275178</v>
      </c>
      <c r="AL38" s="711">
        <f>Medicaid!AL30</f>
        <v>1152.5268941483698</v>
      </c>
      <c r="AM38" s="711">
        <f>Medicaid!AM30</f>
        <v>1160.5533095030155</v>
      </c>
      <c r="AN38" s="711">
        <f>Medicaid!AN30</f>
        <v>1170.7284082425656</v>
      </c>
    </row>
    <row r="39" spans="2:40" ht="14.9" customHeight="1" x14ac:dyDescent="0.35">
      <c r="B39" s="695" t="s">
        <v>769</v>
      </c>
      <c r="C39" s="385"/>
      <c r="D39" s="704">
        <f>D37-D38</f>
        <v>144.10000000000002</v>
      </c>
      <c r="E39" s="680">
        <f t="shared" ref="E39:O39" si="21">E37-E38</f>
        <v>145.59999999999991</v>
      </c>
      <c r="F39" s="680">
        <f t="shared" si="21"/>
        <v>147.89999999999998</v>
      </c>
      <c r="G39" s="680">
        <f>G37-G38</f>
        <v>149.80000000000007</v>
      </c>
      <c r="H39" s="680">
        <f t="shared" si="21"/>
        <v>151.5</v>
      </c>
      <c r="I39" s="680">
        <f t="shared" si="21"/>
        <v>154.20000000000005</v>
      </c>
      <c r="J39" s="680">
        <f t="shared" si="21"/>
        <v>156.60000000000002</v>
      </c>
      <c r="K39" s="680">
        <f t="shared" si="21"/>
        <v>159.59999999999991</v>
      </c>
      <c r="L39" s="680">
        <f t="shared" si="21"/>
        <v>162.29999999999995</v>
      </c>
      <c r="M39" s="680">
        <f t="shared" si="21"/>
        <v>165.90000000000009</v>
      </c>
      <c r="N39" s="680">
        <f t="shared" si="21"/>
        <v>169.20000000000005</v>
      </c>
      <c r="O39" s="680">
        <f t="shared" si="21"/>
        <v>174.5</v>
      </c>
      <c r="P39" s="680">
        <f>P37-P38</f>
        <v>175.30000000000007</v>
      </c>
      <c r="Q39" s="680">
        <f>Q37-Q38</f>
        <v>177.19999999999993</v>
      </c>
      <c r="R39" s="680">
        <f>R37-R38</f>
        <v>184.40000000000009</v>
      </c>
      <c r="S39" s="745">
        <f>S37-S38</f>
        <v>204.10000000000002</v>
      </c>
      <c r="T39" s="745">
        <f>T37-T38</f>
        <v>256.99999999999989</v>
      </c>
      <c r="U39" s="680">
        <f>T39*(1+AVERAGE($F$41:$I$41))+U40</f>
        <v>190.71451531976618</v>
      </c>
      <c r="V39" s="680">
        <f>U39*(1+AVERAGE($F$41:$I$41))+V40</f>
        <v>193.47098220247852</v>
      </c>
      <c r="W39" s="680">
        <f t="shared" ref="W39:AA39" si="22">V39*(1+AVERAGE($F$41:$I$41))</f>
        <v>196.26728931267826</v>
      </c>
      <c r="X39" s="682">
        <f>W39*(1+AVERAGE($F$41:$I$41))</f>
        <v>199.10401247579478</v>
      </c>
      <c r="Y39" s="682">
        <f t="shared" si="22"/>
        <v>201.98173583987366</v>
      </c>
      <c r="Z39" s="682">
        <f t="shared" si="22"/>
        <v>204.90105199586665</v>
      </c>
      <c r="AA39" s="682">
        <f t="shared" si="22"/>
        <v>207.86256209965993</v>
      </c>
      <c r="AB39" s="682">
        <f>AA39*(1+AVERAGE($F$41:$I$41))</f>
        <v>210.86687599586637</v>
      </c>
      <c r="AC39" s="682">
        <f>AB39*(1+AVERAGE($F$41:$I$41))</f>
        <v>213.91461234340684</v>
      </c>
      <c r="AD39" s="682">
        <f>AC39*(1+AVERAGE($F$41:$I$41))</f>
        <v>217.00639874290664</v>
      </c>
      <c r="AE39" s="682">
        <f>AD39*(1+AVERAGE($F$41:$I$41))</f>
        <v>220.14287186593324</v>
      </c>
      <c r="AF39" s="682">
        <f t="shared" ref="AF39:AH39" si="23">AE39*(1+AVERAGE($F$41:$I$41))</f>
        <v>223.32467758610193</v>
      </c>
      <c r="AG39" s="682">
        <f>AF39*(1+AVERAGE($F$41:$I$41))</f>
        <v>226.5524711120764</v>
      </c>
      <c r="AH39" s="682">
        <f t="shared" si="23"/>
        <v>229.82691712249164</v>
      </c>
      <c r="AI39" s="682">
        <f t="shared" ref="AI39" si="24">AH39*(1+AVERAGE($F$41:$I$41))</f>
        <v>233.14868990282685</v>
      </c>
      <c r="AJ39" s="682">
        <f>AI39*(1+AVERAGE($F$41:$I$41))</f>
        <v>236.51847348425676</v>
      </c>
      <c r="AK39" s="682">
        <f t="shared" ref="AK39:AN39" si="25">AJ39*(1+AVERAGE($F$41:$I$41))</f>
        <v>239.93696178450969</v>
      </c>
      <c r="AL39" s="682">
        <f t="shared" si="25"/>
        <v>243.40485875076158</v>
      </c>
      <c r="AM39" s="682">
        <f t="shared" si="25"/>
        <v>246.92287850459525</v>
      </c>
      <c r="AN39" s="682">
        <f t="shared" si="25"/>
        <v>250.49174548905481</v>
      </c>
    </row>
    <row r="40" spans="2:40" ht="14.9" customHeight="1" x14ac:dyDescent="0.35">
      <c r="B40" s="695" t="s">
        <v>1644</v>
      </c>
      <c r="C40" s="385"/>
      <c r="D40" s="704"/>
      <c r="E40" s="680"/>
      <c r="F40" s="680"/>
      <c r="G40" s="680"/>
      <c r="H40" s="680"/>
      <c r="I40" s="680"/>
      <c r="J40" s="680"/>
      <c r="K40" s="680"/>
      <c r="L40" s="680"/>
      <c r="M40" s="680"/>
      <c r="N40" s="680"/>
      <c r="O40" s="680"/>
      <c r="P40" s="680"/>
      <c r="Q40" s="680"/>
      <c r="R40" s="680"/>
      <c r="S40" s="745"/>
      <c r="T40" s="680"/>
      <c r="U40" s="680">
        <v>-70</v>
      </c>
      <c r="V40" s="680"/>
      <c r="W40" s="680"/>
      <c r="X40" s="682"/>
      <c r="Y40" s="682"/>
      <c r="Z40" s="682"/>
      <c r="AA40" s="682"/>
      <c r="AB40" s="682"/>
      <c r="AC40" s="682"/>
      <c r="AD40" s="682"/>
      <c r="AE40" s="682"/>
      <c r="AF40" s="682"/>
      <c r="AG40" s="682"/>
      <c r="AH40" s="682"/>
      <c r="AI40" s="682"/>
      <c r="AJ40" s="682"/>
      <c r="AK40" s="682"/>
      <c r="AL40" s="682"/>
      <c r="AM40" s="682"/>
      <c r="AN40" s="682"/>
    </row>
    <row r="41" spans="2:40" x14ac:dyDescent="0.35">
      <c r="B41" s="860" t="s">
        <v>770</v>
      </c>
      <c r="C41" s="468"/>
      <c r="D41" s="706"/>
      <c r="E41" s="694">
        <f>E39/D39-1</f>
        <v>1.0409437890353201E-2</v>
      </c>
      <c r="F41" s="694">
        <f t="shared" ref="F41:N41" si="26">F39/E39-1</f>
        <v>1.5796703296703685E-2</v>
      </c>
      <c r="G41" s="694">
        <f>G39/F39-1</f>
        <v>1.2846517917512346E-2</v>
      </c>
      <c r="H41" s="694">
        <f t="shared" si="26"/>
        <v>1.1348464619492127E-2</v>
      </c>
      <c r="I41" s="694">
        <f t="shared" si="26"/>
        <v>1.782178217821806E-2</v>
      </c>
      <c r="J41" s="694">
        <f t="shared" si="26"/>
        <v>1.5564202334630295E-2</v>
      </c>
      <c r="K41" s="694">
        <f t="shared" si="26"/>
        <v>1.9157088122604637E-2</v>
      </c>
      <c r="L41" s="694">
        <f t="shared" si="26"/>
        <v>1.6917293233082997E-2</v>
      </c>
      <c r="M41" s="694">
        <f t="shared" si="26"/>
        <v>2.2181146025878951E-2</v>
      </c>
      <c r="N41" s="694">
        <f t="shared" si="26"/>
        <v>1.9891500904158921E-2</v>
      </c>
      <c r="O41" s="694">
        <f>O39/N39-1</f>
        <v>3.1323877068557548E-2</v>
      </c>
      <c r="P41" s="694">
        <f t="shared" ref="P41:S41" si="27">P39/O39-1</f>
        <v>4.5845272206308518E-3</v>
      </c>
      <c r="Q41" s="694">
        <f t="shared" si="27"/>
        <v>1.0838562464346113E-2</v>
      </c>
      <c r="R41" s="694">
        <f t="shared" si="27"/>
        <v>4.0632054176073185E-2</v>
      </c>
      <c r="S41" s="766">
        <f t="shared" si="27"/>
        <v>0.1068329718004335</v>
      </c>
      <c r="T41" s="681"/>
      <c r="U41" s="681"/>
      <c r="V41" s="681"/>
      <c r="W41" s="681"/>
      <c r="X41" s="702"/>
      <c r="Y41" s="702"/>
      <c r="Z41" s="702"/>
      <c r="AA41" s="702"/>
      <c r="AB41" s="702"/>
      <c r="AC41" s="702"/>
      <c r="AD41" s="702"/>
      <c r="AE41" s="702"/>
      <c r="AF41" s="702"/>
      <c r="AG41" s="702"/>
      <c r="AH41" s="702"/>
      <c r="AI41" s="702"/>
      <c r="AJ41" s="702"/>
      <c r="AK41" s="702"/>
      <c r="AL41" s="702"/>
      <c r="AM41" s="702"/>
      <c r="AN41" s="702"/>
    </row>
    <row r="45" spans="2:40" x14ac:dyDescent="0.35">
      <c r="P45" s="597"/>
      <c r="Q45" s="597"/>
    </row>
    <row r="46" spans="2:40" x14ac:dyDescent="0.35">
      <c r="B46" s="630" t="s">
        <v>318</v>
      </c>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row>
    <row r="47" spans="2:40" ht="45.75" customHeight="1" x14ac:dyDescent="0.35">
      <c r="B47" s="1416" t="s">
        <v>440</v>
      </c>
      <c r="C47" s="1416"/>
      <c r="D47" s="1388"/>
      <c r="E47" s="1388"/>
      <c r="F47" s="1388"/>
      <c r="G47" s="1388"/>
      <c r="H47" s="1388"/>
      <c r="I47" s="1388"/>
      <c r="J47" s="1388"/>
      <c r="K47" s="1388"/>
      <c r="L47" s="1388"/>
      <c r="M47" s="1388"/>
      <c r="N47" s="1388"/>
      <c r="O47" s="1388"/>
      <c r="P47" s="1388"/>
      <c r="Q47" s="1388"/>
      <c r="R47" s="1388"/>
      <c r="S47" s="1388"/>
      <c r="T47" s="1388"/>
      <c r="U47" s="1388"/>
      <c r="V47" s="1388"/>
      <c r="W47" s="1388"/>
      <c r="X47" s="1388"/>
      <c r="Y47" s="1388"/>
      <c r="Z47" s="1388"/>
      <c r="AA47" s="1388"/>
      <c r="AB47" s="1388"/>
      <c r="AC47" s="1388"/>
    </row>
    <row r="48" spans="2:40" ht="14.9" customHeight="1" x14ac:dyDescent="0.35">
      <c r="B48" s="1391" t="s">
        <v>441</v>
      </c>
      <c r="C48" s="1392"/>
      <c r="D48" s="1427" t="s">
        <v>246</v>
      </c>
      <c r="E48" s="1427"/>
      <c r="F48" s="1427"/>
      <c r="G48" s="1427"/>
      <c r="H48" s="1427"/>
      <c r="I48" s="1427"/>
      <c r="J48" s="1427"/>
      <c r="K48" s="1427"/>
      <c r="L48" s="1427"/>
      <c r="M48" s="1427"/>
      <c r="N48" s="1427"/>
      <c r="O48" s="1427"/>
      <c r="P48" s="1427"/>
      <c r="Q48" s="1427"/>
      <c r="R48" s="1427"/>
      <c r="S48" s="1427"/>
      <c r="T48" s="1427"/>
      <c r="U48" s="1427"/>
      <c r="V48" s="1427"/>
      <c r="W48" s="1427"/>
      <c r="X48" s="1427"/>
      <c r="Y48" s="1427"/>
      <c r="Z48" s="1427"/>
      <c r="AA48" s="1427"/>
      <c r="AB48" s="1427"/>
      <c r="AC48" s="1440" t="s">
        <v>247</v>
      </c>
      <c r="AD48" s="1441"/>
      <c r="AE48" s="1441"/>
      <c r="AF48" s="1441"/>
      <c r="AG48" s="1441"/>
      <c r="AH48" s="1441"/>
      <c r="AI48" s="1441"/>
      <c r="AJ48" s="1441"/>
      <c r="AK48" s="1441"/>
      <c r="AL48" s="1441"/>
      <c r="AM48" s="1441"/>
      <c r="AN48" s="1442"/>
    </row>
    <row r="49" spans="2:40" x14ac:dyDescent="0.35">
      <c r="B49" s="1391"/>
      <c r="C49" s="1392"/>
      <c r="D49" s="249">
        <v>2018</v>
      </c>
      <c r="E49" s="1398">
        <v>2019</v>
      </c>
      <c r="F49" s="1415"/>
      <c r="G49" s="1415"/>
      <c r="H49" s="1400"/>
      <c r="I49" s="1398">
        <v>2020</v>
      </c>
      <c r="J49" s="1415"/>
      <c r="K49" s="1415"/>
      <c r="L49" s="1415"/>
      <c r="M49" s="1398">
        <v>2021</v>
      </c>
      <c r="N49" s="1415"/>
      <c r="O49" s="1415"/>
      <c r="P49" s="1415"/>
      <c r="Q49" s="1398">
        <v>2022</v>
      </c>
      <c r="R49" s="1399"/>
      <c r="S49" s="1399"/>
      <c r="T49" s="1400"/>
      <c r="U49" s="277"/>
      <c r="V49" s="282">
        <v>2023</v>
      </c>
      <c r="W49" s="282"/>
      <c r="X49" s="279"/>
      <c r="Y49" s="283"/>
      <c r="Z49" s="282">
        <v>2024</v>
      </c>
      <c r="AA49" s="282"/>
      <c r="AB49" s="279"/>
      <c r="AC49" s="1412">
        <v>2025</v>
      </c>
      <c r="AD49" s="1413"/>
      <c r="AE49" s="1413"/>
      <c r="AF49" s="1414"/>
      <c r="AG49" s="1412">
        <v>2026</v>
      </c>
      <c r="AH49" s="1413"/>
      <c r="AI49" s="1413"/>
      <c r="AJ49" s="1414"/>
      <c r="AK49" s="1412">
        <v>2027</v>
      </c>
      <c r="AL49" s="1413"/>
      <c r="AM49" s="1413"/>
      <c r="AN49" s="1414"/>
    </row>
    <row r="50" spans="2:40" x14ac:dyDescent="0.35">
      <c r="B50" s="1393"/>
      <c r="C50" s="1394"/>
      <c r="D50" s="244" t="s">
        <v>248</v>
      </c>
      <c r="E50" s="244" t="s">
        <v>249</v>
      </c>
      <c r="F50" s="245" t="s">
        <v>250</v>
      </c>
      <c r="G50" s="245" t="s">
        <v>226</v>
      </c>
      <c r="H50" s="246" t="s">
        <v>248</v>
      </c>
      <c r="I50" s="245" t="s">
        <v>249</v>
      </c>
      <c r="J50" s="245" t="s">
        <v>250</v>
      </c>
      <c r="K50" s="245" t="s">
        <v>226</v>
      </c>
      <c r="L50" s="245" t="s">
        <v>248</v>
      </c>
      <c r="M50" s="244" t="s">
        <v>249</v>
      </c>
      <c r="N50" s="245" t="s">
        <v>250</v>
      </c>
      <c r="O50" s="245" t="s">
        <v>226</v>
      </c>
      <c r="P50" s="245" t="s">
        <v>248</v>
      </c>
      <c r="Q50" s="244" t="s">
        <v>249</v>
      </c>
      <c r="R50" s="245" t="s">
        <v>250</v>
      </c>
      <c r="S50" s="245" t="s">
        <v>226</v>
      </c>
      <c r="T50" s="246" t="s">
        <v>248</v>
      </c>
      <c r="U50" s="245" t="s">
        <v>249</v>
      </c>
      <c r="V50" s="273" t="s">
        <v>250</v>
      </c>
      <c r="W50" s="273" t="s">
        <v>226</v>
      </c>
      <c r="X50" s="271" t="s">
        <v>248</v>
      </c>
      <c r="Y50" s="272" t="s">
        <v>249</v>
      </c>
      <c r="Z50" s="274" t="s">
        <v>250</v>
      </c>
      <c r="AA50" s="273" t="s">
        <v>226</v>
      </c>
      <c r="AB50" s="273" t="s">
        <v>248</v>
      </c>
      <c r="AC50" s="272" t="s">
        <v>249</v>
      </c>
      <c r="AD50" s="274" t="s">
        <v>250</v>
      </c>
      <c r="AE50" s="270" t="s">
        <v>226</v>
      </c>
      <c r="AF50" s="270" t="s">
        <v>248</v>
      </c>
      <c r="AG50" s="275" t="s">
        <v>249</v>
      </c>
      <c r="AH50" s="269" t="s">
        <v>250</v>
      </c>
      <c r="AI50" s="270" t="s">
        <v>226</v>
      </c>
      <c r="AJ50" s="276" t="s">
        <v>248</v>
      </c>
      <c r="AK50" s="275" t="s">
        <v>249</v>
      </c>
      <c r="AL50" s="269" t="s">
        <v>250</v>
      </c>
      <c r="AM50" s="270" t="s">
        <v>226</v>
      </c>
      <c r="AN50" s="276" t="s">
        <v>248</v>
      </c>
    </row>
    <row r="51" spans="2:40" x14ac:dyDescent="0.35">
      <c r="B51" s="679" t="s">
        <v>1928</v>
      </c>
      <c r="D51" s="378"/>
      <c r="E51" s="422"/>
      <c r="F51" s="422"/>
      <c r="G51" s="422"/>
      <c r="H51" s="422"/>
      <c r="I51" s="689">
        <f>(I52-AVERAGE($E52:$H52))</f>
        <v>6.9950000000000045</v>
      </c>
      <c r="J51" s="689">
        <f t="shared" ref="J51:N51" si="28">(J52-AVERAGE($E52:$H52))</f>
        <v>51.122999999999998</v>
      </c>
      <c r="K51" s="689">
        <f t="shared" si="28"/>
        <v>51.055</v>
      </c>
      <c r="L51" s="689">
        <f t="shared" si="28"/>
        <v>51.762999999999998</v>
      </c>
      <c r="M51" s="689">
        <f t="shared" si="28"/>
        <v>91.453000000000003</v>
      </c>
      <c r="N51" s="689">
        <f t="shared" si="28"/>
        <v>101.11800000000002</v>
      </c>
      <c r="O51" s="689">
        <f t="shared" ref="O51:U51" si="29">(O52-AVERAGE($E52:$H52))</f>
        <v>93.417000000000002</v>
      </c>
      <c r="P51" s="689">
        <f t="shared" si="29"/>
        <v>99.84</v>
      </c>
      <c r="Q51" s="689">
        <f t="shared" si="29"/>
        <v>77.435000000000002</v>
      </c>
      <c r="R51" s="689">
        <f t="shared" si="29"/>
        <v>74.290999999999997</v>
      </c>
      <c r="S51" s="690">
        <f t="shared" si="29"/>
        <v>69.937000000000012</v>
      </c>
      <c r="T51" s="864">
        <f t="shared" si="29"/>
        <v>91.18</v>
      </c>
      <c r="U51" s="690">
        <f t="shared" si="29"/>
        <v>84.404000000000025</v>
      </c>
      <c r="V51" s="690">
        <f t="shared" ref="V51:AD51" si="30">(V52-AVERAGE($E52:$H52))</f>
        <v>52.51</v>
      </c>
      <c r="W51" s="690">
        <f t="shared" si="30"/>
        <v>50.475000000000001</v>
      </c>
      <c r="X51" s="690">
        <f t="shared" si="30"/>
        <v>38.360999999999997</v>
      </c>
      <c r="Y51" s="690">
        <f t="shared" si="30"/>
        <v>37.854999999999997</v>
      </c>
      <c r="Z51" s="690">
        <f t="shared" si="30"/>
        <v>42.399000000000008</v>
      </c>
      <c r="AA51" s="690">
        <f t="shared" si="30"/>
        <v>47.041000000000004</v>
      </c>
      <c r="AB51" s="690">
        <f t="shared" si="30"/>
        <v>43.420000000000009</v>
      </c>
      <c r="AC51" s="690">
        <f t="shared" si="30"/>
        <v>41.592000000000006</v>
      </c>
      <c r="AD51" s="690">
        <f t="shared" si="30"/>
        <v>41.488000000000007</v>
      </c>
      <c r="AE51" s="866">
        <f t="shared" ref="AE51:AF51" si="31">AD51+AE53</f>
        <v>41.488000000000007</v>
      </c>
      <c r="AF51" s="866">
        <f t="shared" si="31"/>
        <v>33.527000000000008</v>
      </c>
      <c r="AG51" s="866">
        <f t="shared" ref="AG51:AM51" si="32">AF51+AG53</f>
        <v>33.527000000000008</v>
      </c>
      <c r="AH51" s="866">
        <f t="shared" si="32"/>
        <v>33.527000000000008</v>
      </c>
      <c r="AI51" s="866">
        <f t="shared" si="32"/>
        <v>33.527000000000008</v>
      </c>
      <c r="AJ51" s="866">
        <f t="shared" si="32"/>
        <v>25.372000000000007</v>
      </c>
      <c r="AK51" s="866">
        <f t="shared" si="32"/>
        <v>25.372000000000007</v>
      </c>
      <c r="AL51" s="866">
        <f t="shared" si="32"/>
        <v>25.372000000000007</v>
      </c>
      <c r="AM51" s="866">
        <f t="shared" si="32"/>
        <v>25.372000000000007</v>
      </c>
      <c r="AN51" s="866">
        <f>AM51+AN53</f>
        <v>3.7270000000000074</v>
      </c>
    </row>
    <row r="52" spans="2:40" x14ac:dyDescent="0.35">
      <c r="B52" s="679" t="s">
        <v>1923</v>
      </c>
      <c r="C52" s="268" t="s">
        <v>442</v>
      </c>
      <c r="D52" s="392">
        <f>'Haver Pivoted'!GO66</f>
        <v>57.017000000000003</v>
      </c>
      <c r="E52" s="265">
        <f>'Haver Pivoted'!GP66</f>
        <v>55.875</v>
      </c>
      <c r="F52" s="265">
        <f>'Haver Pivoted'!GQ66</f>
        <v>54.335999999999999</v>
      </c>
      <c r="G52" s="265">
        <f>'Haver Pivoted'!GR66</f>
        <v>54.345999999999997</v>
      </c>
      <c r="H52" s="265">
        <f>'Haver Pivoted'!GS66</f>
        <v>54.290999999999997</v>
      </c>
      <c r="I52" s="265">
        <f>'Haver Pivoted'!GT66</f>
        <v>61.707000000000001</v>
      </c>
      <c r="J52" s="265">
        <f>'Haver Pivoted'!GU66</f>
        <v>105.83499999999999</v>
      </c>
      <c r="K52" s="265">
        <f>'Haver Pivoted'!GV66</f>
        <v>105.767</v>
      </c>
      <c r="L52" s="265">
        <f>'Haver Pivoted'!GW66</f>
        <v>106.47499999999999</v>
      </c>
      <c r="M52" s="265">
        <f>'Haver Pivoted'!GX66</f>
        <v>146.16499999999999</v>
      </c>
      <c r="N52" s="265">
        <f>'Haver Pivoted'!GY66</f>
        <v>155.83000000000001</v>
      </c>
      <c r="O52" s="265">
        <f>'Haver Pivoted'!GZ66</f>
        <v>148.12899999999999</v>
      </c>
      <c r="P52" s="265">
        <f>'Haver Pivoted'!HA66</f>
        <v>154.55199999999999</v>
      </c>
      <c r="Q52" s="265">
        <f>'Haver Pivoted'!HB66</f>
        <v>132.14699999999999</v>
      </c>
      <c r="R52" s="265">
        <f>'Haver Pivoted'!HC66</f>
        <v>129.00299999999999</v>
      </c>
      <c r="S52" s="245">
        <f>'Haver Pivoted'!HD66</f>
        <v>124.649</v>
      </c>
      <c r="T52" s="245">
        <f>'Haver Pivoted'!HE66</f>
        <v>145.892</v>
      </c>
      <c r="U52" s="245">
        <f>'Haver Pivoted'!HF66</f>
        <v>139.11600000000001</v>
      </c>
      <c r="V52" s="245">
        <f>'Haver Pivoted'!HG66</f>
        <v>107.22199999999999</v>
      </c>
      <c r="W52" s="245">
        <f>'Haver Pivoted'!HH66</f>
        <v>105.187</v>
      </c>
      <c r="X52" s="245">
        <f>'Haver Pivoted'!HI66</f>
        <v>93.072999999999993</v>
      </c>
      <c r="Y52" s="245">
        <f>'Haver Pivoted'!HJ66</f>
        <v>92.566999999999993</v>
      </c>
      <c r="Z52" s="245">
        <f>'Haver Pivoted'!HK66</f>
        <v>97.111000000000004</v>
      </c>
      <c r="AA52" s="245">
        <f>'Haver Pivoted'!HL66</f>
        <v>101.753</v>
      </c>
      <c r="AB52" s="245">
        <f>'Haver Pivoted'!HM66</f>
        <v>98.132000000000005</v>
      </c>
      <c r="AC52" s="245">
        <f>'Haver Pivoted'!HN66</f>
        <v>96.304000000000002</v>
      </c>
      <c r="AD52" s="245">
        <f>'Haver Pivoted'!HO66</f>
        <v>96.2</v>
      </c>
      <c r="AE52" s="353"/>
      <c r="AF52" s="353"/>
      <c r="AG52" s="353"/>
      <c r="AH52" s="353"/>
      <c r="AI52" s="353"/>
      <c r="AJ52" s="353"/>
      <c r="AK52" s="353"/>
      <c r="AL52" s="353"/>
      <c r="AM52" s="353"/>
      <c r="AN52" s="353"/>
    </row>
    <row r="53" spans="2:40" x14ac:dyDescent="0.35">
      <c r="B53" s="809" t="s">
        <v>1927</v>
      </c>
      <c r="C53" s="268"/>
      <c r="D53" s="392"/>
      <c r="E53" s="265"/>
      <c r="F53" s="265"/>
      <c r="G53" s="265"/>
      <c r="H53" s="265"/>
      <c r="I53" s="265"/>
      <c r="J53" s="265"/>
      <c r="K53" s="265"/>
      <c r="L53" s="265"/>
      <c r="M53" s="265"/>
      <c r="N53" s="265"/>
      <c r="O53" s="265"/>
      <c r="P53" s="265"/>
      <c r="Q53" s="265"/>
      <c r="R53" s="265"/>
      <c r="S53" s="245"/>
      <c r="T53" s="245"/>
      <c r="U53" s="245"/>
      <c r="V53" s="245"/>
      <c r="W53" s="245"/>
      <c r="X53" s="245"/>
      <c r="Y53" s="245"/>
      <c r="Z53" s="245"/>
      <c r="AA53" s="245"/>
      <c r="AB53" s="245"/>
      <c r="AC53" s="245"/>
      <c r="AD53" s="245"/>
      <c r="AE53" s="353">
        <v>0</v>
      </c>
      <c r="AF53" s="862">
        <v>-7.9610000000000003</v>
      </c>
      <c r="AG53" s="862">
        <v>0</v>
      </c>
      <c r="AH53" s="862">
        <v>0</v>
      </c>
      <c r="AI53" s="862">
        <v>0</v>
      </c>
      <c r="AJ53" s="862">
        <v>-8.1549999999999994</v>
      </c>
      <c r="AK53" s="862">
        <v>0</v>
      </c>
      <c r="AL53" s="862">
        <v>0</v>
      </c>
      <c r="AM53" s="862">
        <v>0</v>
      </c>
      <c r="AN53" s="862">
        <v>-21.645</v>
      </c>
    </row>
    <row r="54" spans="2:40" ht="29.15" customHeight="1" x14ac:dyDescent="0.35">
      <c r="B54" s="678" t="s">
        <v>443</v>
      </c>
      <c r="C54" s="468"/>
      <c r="D54" s="838"/>
      <c r="E54" s="676"/>
      <c r="F54" s="676"/>
      <c r="G54" s="676"/>
      <c r="H54" s="676"/>
      <c r="I54" s="676"/>
      <c r="J54" s="676">
        <f t="shared" ref="J54:W54" si="33">J52-$H52</f>
        <v>51.543999999999997</v>
      </c>
      <c r="K54" s="676">
        <f t="shared" si="33"/>
        <v>51.475999999999999</v>
      </c>
      <c r="L54" s="676">
        <f t="shared" si="33"/>
        <v>52.183999999999997</v>
      </c>
      <c r="M54" s="676">
        <f t="shared" si="33"/>
        <v>91.873999999999995</v>
      </c>
      <c r="N54" s="676">
        <f>N52-$H52</f>
        <v>101.53900000000002</v>
      </c>
      <c r="O54" s="676">
        <f>O52-$H52</f>
        <v>93.837999999999994</v>
      </c>
      <c r="P54" s="676">
        <f t="shared" si="33"/>
        <v>100.261</v>
      </c>
      <c r="Q54" s="676">
        <f t="shared" si="33"/>
        <v>77.855999999999995</v>
      </c>
      <c r="R54" s="676">
        <f t="shared" si="33"/>
        <v>74.711999999999989</v>
      </c>
      <c r="S54" s="273">
        <f t="shared" si="33"/>
        <v>70.358000000000004</v>
      </c>
      <c r="T54" s="273">
        <f t="shared" si="33"/>
        <v>91.600999999999999</v>
      </c>
      <c r="U54" s="273">
        <f t="shared" si="33"/>
        <v>84.825000000000017</v>
      </c>
      <c r="V54" s="273">
        <f t="shared" si="33"/>
        <v>52.930999999999997</v>
      </c>
      <c r="W54" s="273">
        <f t="shared" si="33"/>
        <v>50.896000000000001</v>
      </c>
      <c r="X54" s="273">
        <f t="shared" ref="X54:Y54" si="34">X52-$H52</f>
        <v>38.781999999999996</v>
      </c>
      <c r="Y54" s="273">
        <f t="shared" si="34"/>
        <v>38.275999999999996</v>
      </c>
      <c r="Z54" s="273">
        <f t="shared" ref="Z54" si="35">Z52-$H52</f>
        <v>42.820000000000007</v>
      </c>
      <c r="AA54" s="273">
        <f t="shared" ref="AA54" si="36">AA52-$H52</f>
        <v>47.462000000000003</v>
      </c>
      <c r="AB54" s="273">
        <f t="shared" ref="AB54:AC54" si="37">AB52-$H52</f>
        <v>43.841000000000008</v>
      </c>
      <c r="AC54" s="273">
        <f t="shared" si="37"/>
        <v>42.013000000000005</v>
      </c>
      <c r="AD54" s="273">
        <f t="shared" ref="AD54" si="38">AD52-$H52</f>
        <v>41.909000000000006</v>
      </c>
      <c r="AE54" s="813"/>
      <c r="AF54" s="813"/>
      <c r="AG54" s="813"/>
      <c r="AH54" s="813"/>
      <c r="AI54" s="813"/>
      <c r="AJ54" s="813"/>
      <c r="AK54" s="813"/>
      <c r="AL54" s="813"/>
      <c r="AM54" s="813"/>
      <c r="AN54" s="813"/>
    </row>
    <row r="55" spans="2:40" ht="29.15" customHeight="1" x14ac:dyDescent="0.35">
      <c r="B55" s="268"/>
      <c r="C55" s="268"/>
      <c r="D55" s="265"/>
      <c r="E55" s="265"/>
      <c r="F55" s="265"/>
      <c r="G55" s="265"/>
      <c r="H55" s="265"/>
      <c r="I55" s="265"/>
      <c r="J55" s="265"/>
      <c r="K55" s="265"/>
      <c r="L55" s="265"/>
      <c r="M55" s="265"/>
      <c r="N55" s="265"/>
      <c r="O55" s="265"/>
      <c r="P55" s="265"/>
      <c r="Q55" s="265" t="s">
        <v>1926</v>
      </c>
      <c r="R55" s="265"/>
      <c r="S55" s="265"/>
      <c r="T55" s="265"/>
      <c r="U55" s="265" t="s">
        <v>1924</v>
      </c>
      <c r="V55" s="265"/>
      <c r="W55" s="265" t="s">
        <v>1925</v>
      </c>
      <c r="X55" s="265"/>
      <c r="Y55" s="265"/>
      <c r="Z55" s="265"/>
      <c r="AA55" s="265"/>
      <c r="AB55" s="265"/>
      <c r="AC55" s="265"/>
    </row>
    <row r="56" spans="2:40" ht="29.15" customHeight="1" x14ac:dyDescent="0.35">
      <c r="B56" s="268"/>
      <c r="C56" s="268"/>
      <c r="D56" s="265"/>
      <c r="E56" s="265"/>
      <c r="F56" s="265"/>
      <c r="G56" s="265"/>
      <c r="H56" s="265"/>
      <c r="I56" s="265"/>
      <c r="J56" s="265"/>
      <c r="K56" s="265"/>
      <c r="L56" s="265"/>
      <c r="M56" s="265"/>
      <c r="N56" s="265"/>
      <c r="O56" s="265"/>
      <c r="P56" s="265"/>
      <c r="Q56" s="265">
        <f>SUM(P52:S52)</f>
        <v>540.35099999999989</v>
      </c>
      <c r="R56" s="265"/>
      <c r="S56" s="265"/>
      <c r="T56" s="265"/>
      <c r="U56" s="265">
        <f>SUM(T52:W52)</f>
        <v>497.41700000000003</v>
      </c>
      <c r="V56" s="265"/>
      <c r="W56">
        <v>112</v>
      </c>
      <c r="X56" s="265"/>
      <c r="Y56" s="265"/>
      <c r="Z56" s="265"/>
      <c r="AA56" s="265"/>
      <c r="AB56" s="265"/>
      <c r="AC56" s="265"/>
    </row>
    <row r="57" spans="2:40" ht="29.15" customHeight="1" x14ac:dyDescent="0.35">
      <c r="B57" s="268"/>
      <c r="C57" s="268"/>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row>
    <row r="58" spans="2:40" ht="35.9" customHeight="1" x14ac:dyDescent="0.35"/>
    <row r="59" spans="2:40" x14ac:dyDescent="0.35">
      <c r="B59" s="630" t="s">
        <v>331</v>
      </c>
    </row>
    <row r="60" spans="2:40" x14ac:dyDescent="0.35">
      <c r="B60" s="1491" t="s">
        <v>767</v>
      </c>
      <c r="C60" s="1492"/>
      <c r="D60" s="1427" t="s">
        <v>246</v>
      </c>
      <c r="E60" s="1427"/>
      <c r="F60" s="1427"/>
      <c r="G60" s="1427"/>
      <c r="H60" s="1427"/>
      <c r="I60" s="1427"/>
      <c r="J60" s="1427"/>
      <c r="K60" s="1427"/>
      <c r="L60" s="1427"/>
      <c r="M60" s="1427"/>
      <c r="N60" s="1427"/>
      <c r="O60" s="1427"/>
      <c r="P60" s="1427"/>
      <c r="Q60" s="1427"/>
      <c r="R60" s="1427"/>
      <c r="S60" s="1427"/>
      <c r="T60" s="1427"/>
      <c r="U60" s="1427"/>
      <c r="V60" s="1427"/>
      <c r="W60" s="1427"/>
      <c r="X60" s="1427"/>
      <c r="Y60" s="1427"/>
      <c r="Z60" s="1427"/>
      <c r="AA60" s="1427"/>
      <c r="AB60" s="1427"/>
      <c r="AC60" s="1440" t="s">
        <v>247</v>
      </c>
      <c r="AD60" s="1441"/>
      <c r="AE60" s="1441"/>
      <c r="AF60" s="1441"/>
      <c r="AG60" s="1441"/>
      <c r="AH60" s="1441"/>
      <c r="AI60" s="1441"/>
      <c r="AJ60" s="1441"/>
      <c r="AK60" s="1441"/>
      <c r="AL60" s="1441"/>
      <c r="AM60" s="1441"/>
      <c r="AN60" s="1442"/>
    </row>
    <row r="61" spans="2:40" x14ac:dyDescent="0.35">
      <c r="B61" s="1493"/>
      <c r="C61" s="1494"/>
      <c r="D61" s="249">
        <v>2018</v>
      </c>
      <c r="E61" s="1398">
        <v>2019</v>
      </c>
      <c r="F61" s="1415"/>
      <c r="G61" s="1415"/>
      <c r="H61" s="1400"/>
      <c r="I61" s="1398">
        <v>2020</v>
      </c>
      <c r="J61" s="1415"/>
      <c r="K61" s="1415"/>
      <c r="L61" s="1415"/>
      <c r="M61" s="1398">
        <v>2021</v>
      </c>
      <c r="N61" s="1415"/>
      <c r="O61" s="1415"/>
      <c r="P61" s="1415"/>
      <c r="Q61" s="1398">
        <v>2022</v>
      </c>
      <c r="R61" s="1399"/>
      <c r="S61" s="1399"/>
      <c r="T61" s="1400"/>
      <c r="U61" s="277"/>
      <c r="V61" s="282">
        <v>2023</v>
      </c>
      <c r="W61" s="282"/>
      <c r="X61" s="279"/>
      <c r="Y61" s="283"/>
      <c r="Z61" s="282">
        <v>2024</v>
      </c>
      <c r="AA61" s="277"/>
      <c r="AB61" s="279"/>
      <c r="AC61" s="1412">
        <v>2025</v>
      </c>
      <c r="AD61" s="1413"/>
      <c r="AE61" s="1413"/>
      <c r="AF61" s="1414"/>
      <c r="AG61" s="1412">
        <v>2026</v>
      </c>
      <c r="AH61" s="1413"/>
      <c r="AI61" s="1413"/>
      <c r="AJ61" s="1414"/>
      <c r="AK61" s="1412">
        <v>2027</v>
      </c>
      <c r="AL61" s="1413"/>
      <c r="AM61" s="1413"/>
      <c r="AN61" s="1414"/>
    </row>
    <row r="62" spans="2:40" x14ac:dyDescent="0.35">
      <c r="B62" s="1493"/>
      <c r="C62" s="1494"/>
      <c r="D62" s="244" t="s">
        <v>248</v>
      </c>
      <c r="E62" s="244" t="s">
        <v>249</v>
      </c>
      <c r="F62" s="245" t="s">
        <v>250</v>
      </c>
      <c r="G62" s="245" t="s">
        <v>226</v>
      </c>
      <c r="H62" s="246" t="s">
        <v>248</v>
      </c>
      <c r="I62" s="245" t="s">
        <v>249</v>
      </c>
      <c r="J62" s="245" t="s">
        <v>250</v>
      </c>
      <c r="K62" s="245" t="s">
        <v>226</v>
      </c>
      <c r="L62" s="245" t="s">
        <v>248</v>
      </c>
      <c r="M62" s="244" t="s">
        <v>249</v>
      </c>
      <c r="N62" s="245" t="s">
        <v>250</v>
      </c>
      <c r="O62" s="245" t="s">
        <v>226</v>
      </c>
      <c r="P62" s="245" t="s">
        <v>248</v>
      </c>
      <c r="Q62" s="244" t="s">
        <v>249</v>
      </c>
      <c r="R62" s="245" t="s">
        <v>250</v>
      </c>
      <c r="S62" s="245" t="s">
        <v>226</v>
      </c>
      <c r="T62" s="246" t="s">
        <v>248</v>
      </c>
      <c r="U62" s="245" t="s">
        <v>249</v>
      </c>
      <c r="V62" s="273" t="s">
        <v>250</v>
      </c>
      <c r="W62" s="273" t="s">
        <v>226</v>
      </c>
      <c r="X62" s="271" t="s">
        <v>248</v>
      </c>
      <c r="Y62" s="272" t="s">
        <v>249</v>
      </c>
      <c r="Z62" s="274" t="s">
        <v>250</v>
      </c>
      <c r="AA62" s="273" t="s">
        <v>226</v>
      </c>
      <c r="AB62" s="273" t="s">
        <v>248</v>
      </c>
      <c r="AC62" s="272" t="s">
        <v>249</v>
      </c>
      <c r="AD62" s="274" t="s">
        <v>250</v>
      </c>
      <c r="AE62" s="270" t="s">
        <v>226</v>
      </c>
      <c r="AF62" s="270" t="s">
        <v>248</v>
      </c>
      <c r="AG62" s="275" t="s">
        <v>249</v>
      </c>
      <c r="AH62" s="269" t="s">
        <v>250</v>
      </c>
      <c r="AI62" s="270" t="s">
        <v>226</v>
      </c>
      <c r="AJ62" s="276" t="s">
        <v>248</v>
      </c>
      <c r="AK62" s="275" t="s">
        <v>249</v>
      </c>
      <c r="AL62" s="269" t="s">
        <v>250</v>
      </c>
      <c r="AM62" s="270" t="s">
        <v>226</v>
      </c>
      <c r="AN62" s="276" t="s">
        <v>248</v>
      </c>
    </row>
    <row r="63" spans="2:40" ht="25.75" customHeight="1" x14ac:dyDescent="0.35">
      <c r="B63" s="822" t="s">
        <v>430</v>
      </c>
      <c r="C63" s="863" t="s">
        <v>431</v>
      </c>
      <c r="D63" s="475">
        <f>'Haver Pivoted'!GO31</f>
        <v>2223</v>
      </c>
      <c r="E63" s="476">
        <f>'Haver Pivoted'!GP31</f>
        <v>2303.8000000000002</v>
      </c>
      <c r="F63" s="476">
        <f>'Haver Pivoted'!GQ31</f>
        <v>2321.6999999999998</v>
      </c>
      <c r="G63" s="476">
        <f>'Haver Pivoted'!GR31</f>
        <v>2337.1</v>
      </c>
      <c r="H63" s="476">
        <f>'Haver Pivoted'!GS31</f>
        <v>2349.5</v>
      </c>
      <c r="I63" s="476">
        <f>'Haver Pivoted'!GT31</f>
        <v>2417</v>
      </c>
      <c r="J63" s="476">
        <f>'Haver Pivoted'!GU31</f>
        <v>4659.2</v>
      </c>
      <c r="K63" s="476">
        <f>'Haver Pivoted'!GV31</f>
        <v>3514.2</v>
      </c>
      <c r="L63" s="476">
        <f>'Haver Pivoted'!GW31</f>
        <v>2896.7</v>
      </c>
      <c r="M63" s="476">
        <f>'Haver Pivoted'!GX31</f>
        <v>5152.8</v>
      </c>
      <c r="N63" s="476">
        <f>'Haver Pivoted'!GY31</f>
        <v>3403.1</v>
      </c>
      <c r="O63" s="476">
        <f>'Haver Pivoted'!GZ31</f>
        <v>3121.9</v>
      </c>
      <c r="P63" s="476">
        <f>'Haver Pivoted'!HA31</f>
        <v>2958.3</v>
      </c>
      <c r="Q63" s="476">
        <f>'Haver Pivoted'!HB31</f>
        <v>2978.4</v>
      </c>
      <c r="R63" s="476">
        <f>'Haver Pivoted'!HC31</f>
        <v>2983.3</v>
      </c>
      <c r="S63" s="477">
        <f>'Haver Pivoted'!HD31</f>
        <v>2976.9</v>
      </c>
      <c r="T63" s="865">
        <f>'Haver Pivoted'!HE31</f>
        <v>3033.2</v>
      </c>
      <c r="U63" s="477">
        <f>'Haver Pivoted'!HF31</f>
        <v>3055.3</v>
      </c>
      <c r="V63" s="477">
        <f>'Haver Pivoted'!HG31</f>
        <v>3066.9</v>
      </c>
      <c r="W63" s="477">
        <f>'Haver Pivoted'!HH31</f>
        <v>3097.1</v>
      </c>
      <c r="X63" s="477">
        <f>'Haver Pivoted'!HI31</f>
        <v>3119.8</v>
      </c>
      <c r="Y63" s="477">
        <f>'Haver Pivoted'!HJ31</f>
        <v>3242.2</v>
      </c>
      <c r="Z63" s="477">
        <f>'Haver Pivoted'!HK31</f>
        <v>3291</v>
      </c>
      <c r="AA63" s="477">
        <f>'Haver Pivoted'!HL31</f>
        <v>3335.9</v>
      </c>
      <c r="AB63" s="477">
        <f>'Haver Pivoted'!HM31</f>
        <v>3393.7</v>
      </c>
      <c r="AC63" s="477">
        <f>'Haver Pivoted'!HN31</f>
        <v>3526.5</v>
      </c>
      <c r="AD63" s="477">
        <f>'Haver Pivoted'!HO31</f>
        <v>3657</v>
      </c>
      <c r="AE63" s="844"/>
      <c r="AF63" s="844"/>
      <c r="AG63" s="353"/>
      <c r="AH63" s="353"/>
      <c r="AI63" s="353"/>
      <c r="AJ63" s="353"/>
      <c r="AK63" s="353"/>
      <c r="AL63" s="353"/>
      <c r="AM63" s="353"/>
      <c r="AN63" s="353"/>
    </row>
    <row r="64" spans="2:40" ht="37" customHeight="1" x14ac:dyDescent="0.35">
      <c r="B64" s="592" t="s">
        <v>1794</v>
      </c>
      <c r="C64" s="268"/>
      <c r="D64" s="837">
        <f t="shared" ref="D64:AD64" si="39">D65+D66</f>
        <v>1795.961</v>
      </c>
      <c r="E64" s="575">
        <f t="shared" si="39"/>
        <v>833.1</v>
      </c>
      <c r="F64" s="575">
        <f t="shared" si="39"/>
        <v>845.8</v>
      </c>
      <c r="G64" s="575">
        <f t="shared" si="39"/>
        <v>854.4</v>
      </c>
      <c r="H64" s="575">
        <f t="shared" si="39"/>
        <v>858.7</v>
      </c>
      <c r="I64" s="575">
        <f t="shared" si="39"/>
        <v>881.29500000000007</v>
      </c>
      <c r="J64" s="575">
        <f t="shared" si="39"/>
        <v>3148.123</v>
      </c>
      <c r="K64" s="575">
        <f t="shared" si="39"/>
        <v>1872.855</v>
      </c>
      <c r="L64" s="575">
        <f t="shared" si="39"/>
        <v>1315.963</v>
      </c>
      <c r="M64" s="575">
        <f t="shared" si="39"/>
        <v>3544.5529999999999</v>
      </c>
      <c r="N64" s="575">
        <f t="shared" si="39"/>
        <v>1817.7398400000002</v>
      </c>
      <c r="O64" s="575">
        <f t="shared" si="39"/>
        <v>1533.8204933333329</v>
      </c>
      <c r="P64" s="575">
        <f t="shared" si="39"/>
        <v>1382.949333333333</v>
      </c>
      <c r="Q64" s="575">
        <f t="shared" si="39"/>
        <v>1219.211</v>
      </c>
      <c r="R64" s="575">
        <f t="shared" si="39"/>
        <v>1215.867</v>
      </c>
      <c r="S64" s="824">
        <f t="shared" si="39"/>
        <v>1212.3910000000001</v>
      </c>
      <c r="T64" s="824">
        <f t="shared" si="39"/>
        <v>1237.4859999999999</v>
      </c>
      <c r="U64" s="824">
        <f t="shared" si="39"/>
        <v>1176.81</v>
      </c>
      <c r="V64" s="824">
        <f t="shared" si="39"/>
        <v>1168.873142857143</v>
      </c>
      <c r="W64" s="824">
        <f t="shared" si="39"/>
        <v>1187.0381428571429</v>
      </c>
      <c r="X64" s="824">
        <f t="shared" si="39"/>
        <v>1182.6009999999999</v>
      </c>
      <c r="Y64" s="824">
        <f t="shared" si="39"/>
        <v>1197.5949999999998</v>
      </c>
      <c r="Z64" s="824">
        <f t="shared" si="39"/>
        <v>1221.8389999999999</v>
      </c>
      <c r="AA64" s="824">
        <f t="shared" si="39"/>
        <v>1251.0810000000001</v>
      </c>
      <c r="AB64" s="824">
        <f t="shared" si="39"/>
        <v>1275.989</v>
      </c>
      <c r="AC64" s="824">
        <f t="shared" si="39"/>
        <v>1306.2609999999997</v>
      </c>
      <c r="AD64" s="824">
        <f t="shared" si="39"/>
        <v>1339.7570000000001</v>
      </c>
      <c r="AE64" s="814"/>
      <c r="AF64" s="814"/>
      <c r="AG64" s="353"/>
      <c r="AH64" s="353"/>
      <c r="AI64" s="353"/>
      <c r="AJ64" s="353"/>
      <c r="AK64" s="353"/>
      <c r="AL64" s="353"/>
      <c r="AM64" s="353"/>
      <c r="AN64" s="353"/>
    </row>
    <row r="65" spans="2:40" ht="25.75" customHeight="1" x14ac:dyDescent="0.35">
      <c r="B65" s="529" t="s">
        <v>1792</v>
      </c>
      <c r="C65" s="268"/>
      <c r="D65" s="837">
        <f t="shared" ref="D65:AD65" si="40">D14+D17+D27</f>
        <v>812.1</v>
      </c>
      <c r="E65" s="837">
        <f t="shared" si="40"/>
        <v>833.1</v>
      </c>
      <c r="F65" s="575">
        <f t="shared" si="40"/>
        <v>845.8</v>
      </c>
      <c r="G65" s="575">
        <f t="shared" si="40"/>
        <v>854.4</v>
      </c>
      <c r="H65" s="575">
        <f t="shared" si="40"/>
        <v>858.7</v>
      </c>
      <c r="I65" s="575">
        <f t="shared" si="40"/>
        <v>874.30000000000007</v>
      </c>
      <c r="J65" s="575">
        <f t="shared" si="40"/>
        <v>1800.8</v>
      </c>
      <c r="K65" s="575">
        <f t="shared" si="40"/>
        <v>1666.6000000000001</v>
      </c>
      <c r="L65" s="575">
        <f t="shared" si="40"/>
        <v>1200.3</v>
      </c>
      <c r="M65" s="575">
        <f t="shared" si="40"/>
        <v>1486.3000000000002</v>
      </c>
      <c r="N65" s="575">
        <f t="shared" si="40"/>
        <v>1350.8000000000002</v>
      </c>
      <c r="O65" s="575">
        <f t="shared" si="40"/>
        <v>1315.9333333333329</v>
      </c>
      <c r="P65" s="575">
        <f t="shared" si="40"/>
        <v>1162.633333333333</v>
      </c>
      <c r="Q65" s="575">
        <f t="shared" si="40"/>
        <v>1042.4000000000001</v>
      </c>
      <c r="R65" s="575">
        <f t="shared" si="40"/>
        <v>1049.0999999999999</v>
      </c>
      <c r="S65" s="824">
        <f t="shared" si="40"/>
        <v>1062.5</v>
      </c>
      <c r="T65" s="824">
        <f t="shared" si="40"/>
        <v>1088.0999999999999</v>
      </c>
      <c r="U65" s="824">
        <f t="shared" si="40"/>
        <v>1057.0999999999999</v>
      </c>
      <c r="V65" s="824">
        <f t="shared" si="40"/>
        <v>1081.0571428571429</v>
      </c>
      <c r="W65" s="824">
        <f t="shared" si="40"/>
        <v>1101.257142857143</v>
      </c>
      <c r="X65" s="824">
        <f t="shared" si="40"/>
        <v>1123.0999999999999</v>
      </c>
      <c r="Y65" s="824">
        <f t="shared" si="40"/>
        <v>1138.5999999999999</v>
      </c>
      <c r="Z65" s="824">
        <f t="shared" si="40"/>
        <v>1158.3</v>
      </c>
      <c r="AA65" s="824">
        <f t="shared" si="40"/>
        <v>1182.9000000000001</v>
      </c>
      <c r="AB65" s="824">
        <f t="shared" si="40"/>
        <v>1211.5999999999999</v>
      </c>
      <c r="AC65" s="824">
        <f t="shared" si="40"/>
        <v>1243.6999999999998</v>
      </c>
      <c r="AD65" s="824">
        <f t="shared" si="40"/>
        <v>1277.3</v>
      </c>
      <c r="AE65" s="814"/>
      <c r="AF65" s="814"/>
      <c r="AG65" s="814"/>
      <c r="AH65" s="814"/>
      <c r="AI65" s="814"/>
      <c r="AJ65" s="814"/>
      <c r="AK65" s="814"/>
      <c r="AL65" s="814"/>
      <c r="AM65" s="814"/>
      <c r="AN65" s="814"/>
    </row>
    <row r="66" spans="2:40" ht="49.5" customHeight="1" x14ac:dyDescent="0.35">
      <c r="B66" s="529" t="s">
        <v>1931</v>
      </c>
      <c r="C66" s="268"/>
      <c r="D66" s="575">
        <f>D18+D21+D24+D25+D26+D28+D31+D72</f>
        <v>983.86099999999999</v>
      </c>
      <c r="E66" s="575">
        <f t="shared" ref="E66:AN66" si="41">E18+E21+E24+E25+E26+E28+E31</f>
        <v>0</v>
      </c>
      <c r="F66" s="575">
        <f t="shared" si="41"/>
        <v>0</v>
      </c>
      <c r="G66" s="575">
        <f t="shared" si="41"/>
        <v>0</v>
      </c>
      <c r="H66" s="575">
        <f t="shared" si="41"/>
        <v>0</v>
      </c>
      <c r="I66" s="575">
        <f t="shared" si="41"/>
        <v>6.9950000000000045</v>
      </c>
      <c r="J66" s="575">
        <f t="shared" si="41"/>
        <v>1347.3230000000001</v>
      </c>
      <c r="K66" s="575">
        <f t="shared" si="41"/>
        <v>206.255</v>
      </c>
      <c r="L66" s="575">
        <f t="shared" si="41"/>
        <v>115.66300000000001</v>
      </c>
      <c r="M66" s="575">
        <f t="shared" si="41"/>
        <v>2058.2529999999997</v>
      </c>
      <c r="N66" s="575">
        <f t="shared" si="41"/>
        <v>466.93984000000012</v>
      </c>
      <c r="O66" s="575">
        <f t="shared" si="41"/>
        <v>217.88716000000008</v>
      </c>
      <c r="P66" s="575">
        <f t="shared" si="41"/>
        <v>220.316</v>
      </c>
      <c r="Q66" s="575">
        <f t="shared" si="41"/>
        <v>176.81100000000001</v>
      </c>
      <c r="R66" s="575">
        <f t="shared" si="41"/>
        <v>166.767</v>
      </c>
      <c r="S66" s="575">
        <f t="shared" si="41"/>
        <v>149.89100000000002</v>
      </c>
      <c r="T66" s="575">
        <f t="shared" si="41"/>
        <v>149.38600000000002</v>
      </c>
      <c r="U66" s="575">
        <f t="shared" si="41"/>
        <v>119.71000000000002</v>
      </c>
      <c r="V66" s="575">
        <f t="shared" si="41"/>
        <v>87.816000000000003</v>
      </c>
      <c r="W66" s="575">
        <f t="shared" si="41"/>
        <v>85.781000000000006</v>
      </c>
      <c r="X66" s="814">
        <f t="shared" si="41"/>
        <v>59.500999999999998</v>
      </c>
      <c r="Y66" s="814">
        <f t="shared" si="41"/>
        <v>58.994999999999997</v>
      </c>
      <c r="Z66" s="814">
        <f t="shared" si="41"/>
        <v>63.539000000000009</v>
      </c>
      <c r="AA66" s="814">
        <f t="shared" si="41"/>
        <v>68.181000000000012</v>
      </c>
      <c r="AB66" s="814">
        <f t="shared" si="41"/>
        <v>64.38900000000001</v>
      </c>
      <c r="AC66" s="814">
        <f t="shared" si="41"/>
        <v>62.561000000000007</v>
      </c>
      <c r="AD66" s="814">
        <f t="shared" si="41"/>
        <v>62.457000000000008</v>
      </c>
      <c r="AE66" s="814">
        <f t="shared" si="41"/>
        <v>62.457000000000008</v>
      </c>
      <c r="AF66" s="814">
        <f t="shared" si="41"/>
        <v>36.416000000000011</v>
      </c>
      <c r="AG66" s="814">
        <f t="shared" si="41"/>
        <v>34.25500000000001</v>
      </c>
      <c r="AH66" s="814">
        <f t="shared" si="41"/>
        <v>33.527000000000008</v>
      </c>
      <c r="AI66" s="814">
        <f t="shared" si="41"/>
        <v>33.527000000000008</v>
      </c>
      <c r="AJ66" s="814">
        <f t="shared" si="41"/>
        <v>25.372000000000007</v>
      </c>
      <c r="AK66" s="814">
        <f t="shared" si="41"/>
        <v>25.372000000000007</v>
      </c>
      <c r="AL66" s="814">
        <f t="shared" si="41"/>
        <v>25.372000000000007</v>
      </c>
      <c r="AM66" s="814">
        <f t="shared" si="41"/>
        <v>25.372000000000007</v>
      </c>
      <c r="AN66" s="814">
        <f t="shared" si="41"/>
        <v>3.7270000000000074</v>
      </c>
    </row>
    <row r="67" spans="2:40" ht="25.75" customHeight="1" x14ac:dyDescent="0.35">
      <c r="B67" s="592" t="s">
        <v>764</v>
      </c>
      <c r="C67" s="268"/>
      <c r="D67" s="824">
        <f t="shared" ref="D67:AD67" si="42">D63-D64</f>
        <v>427.03899999999999</v>
      </c>
      <c r="E67" s="824">
        <f t="shared" si="42"/>
        <v>1470.7000000000003</v>
      </c>
      <c r="F67" s="824">
        <f t="shared" si="42"/>
        <v>1475.8999999999999</v>
      </c>
      <c r="G67" s="824">
        <f t="shared" si="42"/>
        <v>1482.6999999999998</v>
      </c>
      <c r="H67" s="824">
        <f t="shared" si="42"/>
        <v>1490.8</v>
      </c>
      <c r="I67" s="824">
        <f t="shared" si="42"/>
        <v>1535.7049999999999</v>
      </c>
      <c r="J67" s="824">
        <f t="shared" si="42"/>
        <v>1511.0769999999998</v>
      </c>
      <c r="K67" s="824">
        <f t="shared" si="42"/>
        <v>1641.3449999999998</v>
      </c>
      <c r="L67" s="824">
        <f t="shared" si="42"/>
        <v>1580.7369999999999</v>
      </c>
      <c r="M67" s="824">
        <f t="shared" si="42"/>
        <v>1608.2470000000003</v>
      </c>
      <c r="N67" s="824">
        <f t="shared" si="42"/>
        <v>1585.3601599999997</v>
      </c>
      <c r="O67" s="824">
        <f t="shared" si="42"/>
        <v>1588.0795066666672</v>
      </c>
      <c r="P67" s="824">
        <f t="shared" si="42"/>
        <v>1575.3506666666672</v>
      </c>
      <c r="Q67" s="824">
        <f t="shared" si="42"/>
        <v>1759.1890000000001</v>
      </c>
      <c r="R67" s="824">
        <f t="shared" si="42"/>
        <v>1767.4330000000002</v>
      </c>
      <c r="S67" s="824">
        <f t="shared" si="42"/>
        <v>1764.509</v>
      </c>
      <c r="T67" s="824">
        <f t="shared" si="42"/>
        <v>1795.7139999999999</v>
      </c>
      <c r="U67" s="824">
        <f t="shared" si="42"/>
        <v>1878.4900000000002</v>
      </c>
      <c r="V67" s="824">
        <f t="shared" si="42"/>
        <v>1898.0268571428571</v>
      </c>
      <c r="W67" s="824">
        <f t="shared" si="42"/>
        <v>1910.061857142857</v>
      </c>
      <c r="X67" s="824">
        <f t="shared" si="42"/>
        <v>1937.1990000000003</v>
      </c>
      <c r="Y67" s="824">
        <f t="shared" si="42"/>
        <v>2044.605</v>
      </c>
      <c r="Z67" s="824">
        <f t="shared" si="42"/>
        <v>2069.1610000000001</v>
      </c>
      <c r="AA67" s="824">
        <f t="shared" si="42"/>
        <v>2084.819</v>
      </c>
      <c r="AB67" s="824">
        <f t="shared" si="42"/>
        <v>2117.7109999999998</v>
      </c>
      <c r="AC67" s="824">
        <f t="shared" si="42"/>
        <v>2220.2390000000005</v>
      </c>
      <c r="AD67" s="824">
        <f t="shared" si="42"/>
        <v>2317.2429999999999</v>
      </c>
      <c r="AE67" s="814"/>
      <c r="AF67" s="814"/>
      <c r="AG67" s="353"/>
      <c r="AH67" s="353"/>
      <c r="AI67" s="353"/>
      <c r="AJ67" s="353"/>
      <c r="AK67" s="353"/>
      <c r="AL67" s="353"/>
      <c r="AM67" s="353"/>
      <c r="AN67" s="353"/>
    </row>
    <row r="68" spans="2:40" ht="20.5" customHeight="1" x14ac:dyDescent="0.35">
      <c r="B68" s="850" t="s">
        <v>765</v>
      </c>
      <c r="C68" s="851"/>
      <c r="D68" s="855">
        <f>D12-D14-D17-D27-D72</f>
        <v>427.0390000000001</v>
      </c>
      <c r="E68" s="846">
        <f>E12-E14-E17-E27</f>
        <v>1470.7000000000003</v>
      </c>
      <c r="F68" s="846">
        <f>F12-F14-F17-F27</f>
        <v>1475.8999999999996</v>
      </c>
      <c r="G68" s="846">
        <f>G12-G14-G17-G27</f>
        <v>1482.6999999999998</v>
      </c>
      <c r="H68" s="846">
        <f>H12-H14-H17-H27</f>
        <v>1490.8000000000002</v>
      </c>
      <c r="I68" s="846">
        <f>I12-I14-I17-I27</f>
        <v>1542.7000000000003</v>
      </c>
      <c r="J68" s="856">
        <f>I68+($H$68-$E$68)/3</f>
        <v>1549.4000000000003</v>
      </c>
      <c r="K68" s="856">
        <f>J68+($H$68-$E$68)/3</f>
        <v>1556.1000000000004</v>
      </c>
      <c r="L68" s="856">
        <f>K68+($H$68-$E$68)/3</f>
        <v>1562.8000000000004</v>
      </c>
      <c r="M68" s="857">
        <f>L68+($H$68-$E$68)/3 +(M72-L72)</f>
        <v>1587.4940000000006</v>
      </c>
      <c r="N68" s="856">
        <f>M68+($H$68-$E$68)/3</f>
        <v>1594.1940000000006</v>
      </c>
      <c r="O68" s="856">
        <f>N68+($H$68-$E$68)/3</f>
        <v>1600.8940000000007</v>
      </c>
      <c r="P68" s="856">
        <f>O68+($H$68-$E$68)/3</f>
        <v>1607.5940000000007</v>
      </c>
      <c r="Q68" s="857">
        <f>P68+($H$68-$E$68)/3 + 0.06*Q72</f>
        <v>1686.2449200000008</v>
      </c>
      <c r="R68" s="856">
        <f>Q68+($H$68-$E$68)/3</f>
        <v>1692.9449200000008</v>
      </c>
      <c r="S68" s="856">
        <f>R68+($H$68-$E$68)/3</f>
        <v>1699.6449200000009</v>
      </c>
      <c r="T68" s="856">
        <f>S68+($H$68-$E$68)/3</f>
        <v>1706.3449200000009</v>
      </c>
      <c r="U68" s="856">
        <f t="shared" ref="U68:AN68" si="43">T68+U69</f>
        <v>1819.6880410000008</v>
      </c>
      <c r="V68" s="856">
        <f t="shared" si="43"/>
        <v>1826.3880410000008</v>
      </c>
      <c r="W68" s="846">
        <f t="shared" si="43"/>
        <v>1833.0880410000009</v>
      </c>
      <c r="X68" s="852">
        <f t="shared" si="43"/>
        <v>1839.7880410000009</v>
      </c>
      <c r="Y68" s="852">
        <f t="shared" si="43"/>
        <v>1892.170057000001</v>
      </c>
      <c r="Z68" s="852">
        <f t="shared" si="43"/>
        <v>1898.870057000001</v>
      </c>
      <c r="AA68" s="852">
        <f t="shared" si="43"/>
        <v>1905.570057000001</v>
      </c>
      <c r="AB68" s="852">
        <f t="shared" si="43"/>
        <v>1912.2700570000011</v>
      </c>
      <c r="AC68" s="852">
        <f>AB68+AC69</f>
        <v>1957.2161320000012</v>
      </c>
      <c r="AD68" s="852">
        <f>AC68+AD69</f>
        <v>1963.9161320000012</v>
      </c>
      <c r="AE68" s="852">
        <f>AD68+AE69</f>
        <v>1970.6161320000012</v>
      </c>
      <c r="AF68" s="852">
        <f t="shared" si="43"/>
        <v>1977.3161320000013</v>
      </c>
      <c r="AG68" s="852">
        <f t="shared" si="43"/>
        <v>2022.8192711380013</v>
      </c>
      <c r="AH68" s="852">
        <f t="shared" si="43"/>
        <v>2029.5192711380014</v>
      </c>
      <c r="AI68" s="852">
        <f t="shared" si="43"/>
        <v>2036.2192711380014</v>
      </c>
      <c r="AJ68" s="852">
        <f t="shared" si="43"/>
        <v>2042.9192711380015</v>
      </c>
      <c r="AK68" s="852">
        <f t="shared" si="43"/>
        <v>2090.7427454761755</v>
      </c>
      <c r="AL68" s="852">
        <f t="shared" si="43"/>
        <v>2097.4427454761753</v>
      </c>
      <c r="AM68" s="852">
        <f t="shared" si="43"/>
        <v>2104.1427454761752</v>
      </c>
      <c r="AN68" s="852">
        <f t="shared" si="43"/>
        <v>2110.842745476175</v>
      </c>
    </row>
    <row r="69" spans="2:40" ht="20.5" customHeight="1" x14ac:dyDescent="0.35">
      <c r="B69" s="853" t="s">
        <v>1754</v>
      </c>
      <c r="C69" s="268"/>
      <c r="D69" s="837"/>
      <c r="E69" s="575"/>
      <c r="F69" s="575"/>
      <c r="G69" s="575"/>
      <c r="H69" s="575"/>
      <c r="I69" s="575"/>
      <c r="J69" s="848"/>
      <c r="K69" s="848"/>
      <c r="L69" s="848"/>
      <c r="M69" s="858"/>
      <c r="N69" s="848"/>
      <c r="O69" s="848"/>
      <c r="P69" s="848"/>
      <c r="Q69" s="858"/>
      <c r="R69" s="848"/>
      <c r="S69" s="848"/>
      <c r="T69" s="848"/>
      <c r="U69" s="848">
        <f>U70+U71</f>
        <v>113.34312099999995</v>
      </c>
      <c r="V69" s="848">
        <f>V70+V71</f>
        <v>6.69999999999997</v>
      </c>
      <c r="W69" s="848">
        <f>W70+W71</f>
        <v>6.69999999999997</v>
      </c>
      <c r="X69" s="814">
        <f t="shared" ref="X69:AN69" si="44">X70+X75*X72</f>
        <v>6.69999999999997</v>
      </c>
      <c r="Y69" s="814">
        <f t="shared" si="44"/>
        <v>52.382015999999972</v>
      </c>
      <c r="Z69" s="814">
        <f t="shared" si="44"/>
        <v>6.69999999999997</v>
      </c>
      <c r="AA69" s="814">
        <f t="shared" si="44"/>
        <v>6.69999999999997</v>
      </c>
      <c r="AB69" s="814">
        <f t="shared" si="44"/>
        <v>6.69999999999997</v>
      </c>
      <c r="AC69" s="814">
        <f t="shared" si="44"/>
        <v>44.946074999999972</v>
      </c>
      <c r="AD69" s="814">
        <f t="shared" si="44"/>
        <v>6.69999999999997</v>
      </c>
      <c r="AE69" s="814">
        <f t="shared" si="44"/>
        <v>6.69999999999997</v>
      </c>
      <c r="AF69" s="814">
        <f t="shared" si="44"/>
        <v>6.69999999999997</v>
      </c>
      <c r="AG69" s="814">
        <f t="shared" si="44"/>
        <v>45.503139137999966</v>
      </c>
      <c r="AH69" s="814">
        <f t="shared" si="44"/>
        <v>6.69999999999997</v>
      </c>
      <c r="AI69" s="814">
        <f t="shared" si="44"/>
        <v>6.69999999999997</v>
      </c>
      <c r="AJ69" s="814">
        <f t="shared" si="44"/>
        <v>6.69999999999997</v>
      </c>
      <c r="AK69" s="814">
        <f t="shared" si="44"/>
        <v>47.823474338173959</v>
      </c>
      <c r="AL69" s="814">
        <f t="shared" si="44"/>
        <v>6.69999999999997</v>
      </c>
      <c r="AM69" s="814">
        <f t="shared" si="44"/>
        <v>6.69999999999997</v>
      </c>
      <c r="AN69" s="814">
        <f t="shared" si="44"/>
        <v>6.69999999999997</v>
      </c>
    </row>
    <row r="70" spans="2:40" ht="28.4" customHeight="1" x14ac:dyDescent="0.35">
      <c r="B70" s="854" t="s">
        <v>1751</v>
      </c>
      <c r="C70" s="268"/>
      <c r="D70" s="837"/>
      <c r="E70" s="575"/>
      <c r="F70" s="575"/>
      <c r="G70" s="575"/>
      <c r="H70" s="575"/>
      <c r="I70" s="575"/>
      <c r="J70" s="848"/>
      <c r="K70" s="848"/>
      <c r="L70" s="848"/>
      <c r="M70" s="858"/>
      <c r="N70" s="848"/>
      <c r="O70" s="848"/>
      <c r="P70" s="848"/>
      <c r="Q70" s="858"/>
      <c r="R70" s="848"/>
      <c r="S70" s="848"/>
      <c r="T70" s="848"/>
      <c r="U70" s="848">
        <f>($H$68-$E$68)/3</f>
        <v>6.69999999999997</v>
      </c>
      <c r="V70" s="848">
        <f>($H$68-$E$68)/3</f>
        <v>6.69999999999997</v>
      </c>
      <c r="W70" s="848">
        <f>($H$68-$E$68)/3</f>
        <v>6.69999999999997</v>
      </c>
      <c r="X70" s="814">
        <f t="shared" ref="X70:AC70" si="45">W70</f>
        <v>6.69999999999997</v>
      </c>
      <c r="Y70" s="814">
        <f t="shared" si="45"/>
        <v>6.69999999999997</v>
      </c>
      <c r="Z70" s="814">
        <f t="shared" si="45"/>
        <v>6.69999999999997</v>
      </c>
      <c r="AA70" s="814">
        <f t="shared" si="45"/>
        <v>6.69999999999997</v>
      </c>
      <c r="AB70" s="814">
        <f t="shared" si="45"/>
        <v>6.69999999999997</v>
      </c>
      <c r="AC70" s="814">
        <f t="shared" si="45"/>
        <v>6.69999999999997</v>
      </c>
      <c r="AD70" s="814">
        <f t="shared" ref="AD70" si="46">AC70</f>
        <v>6.69999999999997</v>
      </c>
      <c r="AE70" s="814">
        <f t="shared" ref="AE70" si="47">AD70</f>
        <v>6.69999999999997</v>
      </c>
      <c r="AF70" s="814">
        <f>AE70</f>
        <v>6.69999999999997</v>
      </c>
      <c r="AG70" s="814">
        <f>AF70</f>
        <v>6.69999999999997</v>
      </c>
      <c r="AH70" s="814">
        <f>AG70</f>
        <v>6.69999999999997</v>
      </c>
      <c r="AI70" s="814">
        <f t="shared" ref="AI70:AJ70" si="48">AH70</f>
        <v>6.69999999999997</v>
      </c>
      <c r="AJ70" s="814">
        <f t="shared" si="48"/>
        <v>6.69999999999997</v>
      </c>
      <c r="AK70" s="814">
        <f t="shared" ref="AK70" si="49">AJ70</f>
        <v>6.69999999999997</v>
      </c>
      <c r="AL70" s="814">
        <f t="shared" ref="AL70" si="50">AK70</f>
        <v>6.69999999999997</v>
      </c>
      <c r="AM70" s="814">
        <f t="shared" ref="AM70" si="51">AL70</f>
        <v>6.69999999999997</v>
      </c>
      <c r="AN70" s="814">
        <f t="shared" ref="AN70" si="52">AM70</f>
        <v>6.69999999999997</v>
      </c>
    </row>
    <row r="71" spans="2:40" ht="30.65" customHeight="1" x14ac:dyDescent="0.35">
      <c r="B71" s="843" t="s">
        <v>1752</v>
      </c>
      <c r="C71" s="831"/>
      <c r="D71" s="832"/>
      <c r="E71" s="816"/>
      <c r="F71" s="816"/>
      <c r="G71" s="816"/>
      <c r="H71" s="816"/>
      <c r="I71" s="816"/>
      <c r="J71" s="833"/>
      <c r="K71" s="833"/>
      <c r="L71" s="833"/>
      <c r="M71" s="834"/>
      <c r="N71" s="833"/>
      <c r="O71" s="833"/>
      <c r="P71" s="833"/>
      <c r="Q71" s="834"/>
      <c r="R71" s="833"/>
      <c r="S71" s="833"/>
      <c r="T71" s="833"/>
      <c r="U71" s="833">
        <f t="shared" ref="U71:AN71" si="53">U75*T72</f>
        <v>106.64312099999998</v>
      </c>
      <c r="V71" s="833">
        <f t="shared" si="53"/>
        <v>0</v>
      </c>
      <c r="W71" s="816">
        <f t="shared" si="53"/>
        <v>0</v>
      </c>
      <c r="X71" s="859">
        <f t="shared" si="53"/>
        <v>0</v>
      </c>
      <c r="Y71" s="859">
        <f t="shared" si="53"/>
        <v>43.984256000000002</v>
      </c>
      <c r="Z71" s="859">
        <f t="shared" si="53"/>
        <v>0</v>
      </c>
      <c r="AA71" s="859">
        <f t="shared" si="53"/>
        <v>0</v>
      </c>
      <c r="AB71" s="859">
        <f t="shared" si="53"/>
        <v>0</v>
      </c>
      <c r="AC71" s="859">
        <f t="shared" si="53"/>
        <v>36.726950000000002</v>
      </c>
      <c r="AD71" s="859">
        <f t="shared" si="53"/>
        <v>0</v>
      </c>
      <c r="AE71" s="859">
        <f t="shared" si="53"/>
        <v>0</v>
      </c>
      <c r="AF71" s="859">
        <f t="shared" si="53"/>
        <v>0</v>
      </c>
      <c r="AG71" s="859">
        <f t="shared" si="53"/>
        <v>37.571005999999997</v>
      </c>
      <c r="AH71" s="859">
        <f t="shared" si="53"/>
        <v>0</v>
      </c>
      <c r="AI71" s="859">
        <f t="shared" si="53"/>
        <v>0</v>
      </c>
      <c r="AJ71" s="859">
        <f t="shared" si="53"/>
        <v>0</v>
      </c>
      <c r="AK71" s="859">
        <f t="shared" si="53"/>
        <v>39.884139137999995</v>
      </c>
      <c r="AL71" s="859">
        <f t="shared" si="53"/>
        <v>0</v>
      </c>
      <c r="AM71" s="859">
        <f t="shared" si="53"/>
        <v>0</v>
      </c>
      <c r="AN71" s="859">
        <f t="shared" si="53"/>
        <v>0</v>
      </c>
    </row>
    <row r="72" spans="2:40" ht="17.5" customHeight="1" x14ac:dyDescent="0.35">
      <c r="B72" s="679" t="s">
        <v>438</v>
      </c>
      <c r="C72" s="268" t="s">
        <v>439</v>
      </c>
      <c r="D72" s="837">
        <f>'Haver Pivoted'!GO88/1000</f>
        <v>983.86099999999999</v>
      </c>
      <c r="E72" s="575">
        <f>'Haver Pivoted'!GP88/1000</f>
        <v>1019.19</v>
      </c>
      <c r="F72" s="575">
        <f>'Haver Pivoted'!GQ88/1000</f>
        <v>1026.704</v>
      </c>
      <c r="G72" s="575">
        <f>'Haver Pivoted'!GR88/1000</f>
        <v>1034.4169999999999</v>
      </c>
      <c r="H72" s="575">
        <f>'Haver Pivoted'!GS88/1000</f>
        <v>1042.6610000000001</v>
      </c>
      <c r="I72" s="575">
        <f>'Haver Pivoted'!GT88/1000</f>
        <v>1068.44</v>
      </c>
      <c r="J72" s="575">
        <f>'Haver Pivoted'!GU88/1000</f>
        <v>1075.0129999999999</v>
      </c>
      <c r="K72" s="575">
        <f>'Haver Pivoted'!GV88/1000</f>
        <v>1080.2349999999999</v>
      </c>
      <c r="L72" s="575">
        <f>'Haver Pivoted'!GW88/1000</f>
        <v>1088.0239999999999</v>
      </c>
      <c r="M72" s="575">
        <f>'Haver Pivoted'!GX88/1000</f>
        <v>1106.018</v>
      </c>
      <c r="N72" s="575">
        <f>'Haver Pivoted'!GY88/1000</f>
        <v>1109.463</v>
      </c>
      <c r="O72" s="575">
        <f>'Haver Pivoted'!GZ88/1000</f>
        <v>1116.6780000000001</v>
      </c>
      <c r="P72" s="575">
        <f>'Haver Pivoted'!HA88/1000</f>
        <v>1126.241</v>
      </c>
      <c r="Q72" s="575">
        <f>'Haver Pivoted'!HB88/1000</f>
        <v>1199.182</v>
      </c>
      <c r="R72" s="575">
        <f>'Haver Pivoted'!HC88/1000</f>
        <v>1206.8019999999999</v>
      </c>
      <c r="S72" s="824">
        <f>'Haver Pivoted'!HD88/1000</f>
        <v>1214.2470000000001</v>
      </c>
      <c r="T72" s="824">
        <f>'Haver Pivoted'!HE88/1000</f>
        <v>1225.7829999999999</v>
      </c>
      <c r="U72" s="824">
        <f>'Haver Pivoted'!HF88/1000</f>
        <v>1340.874</v>
      </c>
      <c r="V72" s="824">
        <f>'Haver Pivoted'!HG88/1000</f>
        <v>1352.623</v>
      </c>
      <c r="W72" s="824">
        <f>'Haver Pivoted'!HH88/1000</f>
        <v>1359.8879999999999</v>
      </c>
      <c r="X72" s="824">
        <f>'Haver Pivoted'!HI88/1000</f>
        <v>1374.508</v>
      </c>
      <c r="Y72" s="824">
        <f>'Haver Pivoted'!HJ88/1000</f>
        <v>1427.5630000000001</v>
      </c>
      <c r="Z72" s="824">
        <f>'Haver Pivoted'!HK88/1000</f>
        <v>1440.9880000000001</v>
      </c>
      <c r="AA72" s="824">
        <f>'Haver Pivoted'!HL88/1000</f>
        <v>1454.2329999999999</v>
      </c>
      <c r="AB72" s="824">
        <f>'Haver Pivoted'!HM88/1000</f>
        <v>1469.078</v>
      </c>
      <c r="AC72" s="824">
        <f>'Haver Pivoted'!HN88/1000</f>
        <v>1529.8430000000001</v>
      </c>
      <c r="AD72" s="824">
        <f>'Haver Pivoted'!HO88/1000</f>
        <v>1607.5219999999999</v>
      </c>
      <c r="AE72" s="814">
        <f t="shared" ref="AE72:AN72" si="54">AD72+AE73</f>
        <v>1617.5219999999999</v>
      </c>
      <c r="AF72" s="814">
        <f t="shared" si="54"/>
        <v>1633.5219999999999</v>
      </c>
      <c r="AG72" s="814">
        <f t="shared" si="54"/>
        <v>1687.0930059999998</v>
      </c>
      <c r="AH72" s="814">
        <f t="shared" si="54"/>
        <v>1703.0930059999998</v>
      </c>
      <c r="AI72" s="814">
        <f t="shared" si="54"/>
        <v>1719.0930059999998</v>
      </c>
      <c r="AJ72" s="814">
        <f t="shared" si="54"/>
        <v>1734.0930059999998</v>
      </c>
      <c r="AK72" s="814">
        <f t="shared" si="54"/>
        <v>1787.9771451379997</v>
      </c>
      <c r="AL72" s="814">
        <f t="shared" si="54"/>
        <v>1800.9771451379997</v>
      </c>
      <c r="AM72" s="814">
        <f t="shared" si="54"/>
        <v>1812.9771451379997</v>
      </c>
      <c r="AN72" s="814">
        <f t="shared" si="54"/>
        <v>1823.9771451379997</v>
      </c>
    </row>
    <row r="73" spans="2:40" ht="17.5" customHeight="1" x14ac:dyDescent="0.35">
      <c r="B73" s="529" t="s">
        <v>1753</v>
      </c>
      <c r="C73" s="268"/>
      <c r="D73" s="837"/>
      <c r="E73" s="575"/>
      <c r="F73" s="575"/>
      <c r="G73" s="575"/>
      <c r="H73" s="575"/>
      <c r="I73" s="575"/>
      <c r="J73" s="575"/>
      <c r="K73" s="575"/>
      <c r="L73" s="575"/>
      <c r="M73" s="575"/>
      <c r="N73" s="575"/>
      <c r="O73" s="575"/>
      <c r="P73" s="575"/>
      <c r="Q73" s="575"/>
      <c r="R73" s="575"/>
      <c r="S73" s="824"/>
      <c r="T73" s="824"/>
      <c r="U73" s="824">
        <f t="shared" ref="U73:AN73" si="55">U71+U74</f>
        <v>114.64312099999998</v>
      </c>
      <c r="V73" s="575">
        <f t="shared" si="55"/>
        <v>8</v>
      </c>
      <c r="W73" s="575">
        <f t="shared" si="55"/>
        <v>11</v>
      </c>
      <c r="X73" s="814">
        <f t="shared" si="55"/>
        <v>14</v>
      </c>
      <c r="Y73" s="814">
        <f t="shared" si="55"/>
        <v>52.984256000000002</v>
      </c>
      <c r="Z73" s="814">
        <f t="shared" si="55"/>
        <v>13</v>
      </c>
      <c r="AA73" s="814">
        <f t="shared" si="55"/>
        <v>11</v>
      </c>
      <c r="AB73" s="814">
        <f t="shared" si="55"/>
        <v>14</v>
      </c>
      <c r="AC73" s="814">
        <f t="shared" si="55"/>
        <v>43.726950000000002</v>
      </c>
      <c r="AD73" s="814">
        <f t="shared" si="55"/>
        <v>68.28</v>
      </c>
      <c r="AE73" s="814">
        <f t="shared" si="55"/>
        <v>10</v>
      </c>
      <c r="AF73" s="814">
        <f t="shared" si="55"/>
        <v>16</v>
      </c>
      <c r="AG73" s="814">
        <f t="shared" si="55"/>
        <v>53.571005999999997</v>
      </c>
      <c r="AH73" s="814">
        <f t="shared" si="55"/>
        <v>16</v>
      </c>
      <c r="AI73" s="814">
        <f t="shared" si="55"/>
        <v>16</v>
      </c>
      <c r="AJ73" s="814">
        <f t="shared" si="55"/>
        <v>15</v>
      </c>
      <c r="AK73" s="814">
        <f t="shared" si="55"/>
        <v>53.884139137999995</v>
      </c>
      <c r="AL73" s="814">
        <f t="shared" si="55"/>
        <v>13</v>
      </c>
      <c r="AM73" s="814">
        <f t="shared" si="55"/>
        <v>12</v>
      </c>
      <c r="AN73" s="814">
        <f t="shared" si="55"/>
        <v>11</v>
      </c>
    </row>
    <row r="74" spans="2:40" ht="17.5" customHeight="1" x14ac:dyDescent="0.35">
      <c r="B74" s="521" t="s">
        <v>1756</v>
      </c>
      <c r="C74" s="268"/>
      <c r="D74" s="837"/>
      <c r="E74" s="575"/>
      <c r="F74" s="824"/>
      <c r="G74" s="824"/>
      <c r="H74" s="824"/>
      <c r="I74" s="824"/>
      <c r="J74" s="824"/>
      <c r="K74" s="824"/>
      <c r="L74" s="824"/>
      <c r="M74" s="824"/>
      <c r="N74" s="824"/>
      <c r="O74" s="824"/>
      <c r="P74" s="824"/>
      <c r="Q74" s="824"/>
      <c r="R74" s="824"/>
      <c r="S74" s="824"/>
      <c r="T74" s="824"/>
      <c r="U74" s="824">
        <v>8</v>
      </c>
      <c r="V74" s="575">
        <v>8</v>
      </c>
      <c r="W74" s="575">
        <v>11</v>
      </c>
      <c r="X74" s="814">
        <v>14</v>
      </c>
      <c r="Y74" s="814">
        <v>9</v>
      </c>
      <c r="Z74" s="814">
        <v>13</v>
      </c>
      <c r="AA74" s="814">
        <v>11</v>
      </c>
      <c r="AB74" s="814">
        <v>14</v>
      </c>
      <c r="AC74" s="814">
        <v>7</v>
      </c>
      <c r="AD74" s="814">
        <f>158-89.72</f>
        <v>68.28</v>
      </c>
      <c r="AE74" s="814">
        <v>10</v>
      </c>
      <c r="AF74" s="814">
        <v>16</v>
      </c>
      <c r="AG74" s="814">
        <v>16</v>
      </c>
      <c r="AH74" s="814">
        <v>16</v>
      </c>
      <c r="AI74" s="814">
        <v>16</v>
      </c>
      <c r="AJ74" s="814">
        <v>15</v>
      </c>
      <c r="AK74" s="814">
        <v>14</v>
      </c>
      <c r="AL74" s="814">
        <v>13</v>
      </c>
      <c r="AM74" s="814">
        <v>12</v>
      </c>
      <c r="AN74" s="814">
        <v>11</v>
      </c>
    </row>
    <row r="75" spans="2:40" ht="39" customHeight="1" x14ac:dyDescent="0.35">
      <c r="B75" s="521" t="s">
        <v>1757</v>
      </c>
      <c r="C75" s="268"/>
      <c r="D75" s="837"/>
      <c r="E75" s="575"/>
      <c r="F75" s="575"/>
      <c r="G75" s="575"/>
      <c r="H75" s="575"/>
      <c r="I75" s="816"/>
      <c r="J75" s="816"/>
      <c r="K75" s="816"/>
      <c r="L75" s="816"/>
      <c r="M75" s="816"/>
      <c r="N75" s="816"/>
      <c r="O75" s="816"/>
      <c r="P75" s="816"/>
      <c r="Q75" s="816"/>
      <c r="R75" s="816"/>
      <c r="S75" s="835"/>
      <c r="T75" s="835"/>
      <c r="U75" s="825">
        <v>8.6999999999999994E-2</v>
      </c>
      <c r="V75" s="817">
        <v>0</v>
      </c>
      <c r="W75" s="817">
        <v>0</v>
      </c>
      <c r="X75" s="836">
        <v>0</v>
      </c>
      <c r="Y75" s="836">
        <v>3.2000000000000001E-2</v>
      </c>
      <c r="Z75" s="836">
        <v>0</v>
      </c>
      <c r="AA75" s="836">
        <v>0</v>
      </c>
      <c r="AB75" s="836">
        <v>0</v>
      </c>
      <c r="AC75" s="836">
        <v>2.5000000000000001E-2</v>
      </c>
      <c r="AD75" s="836">
        <v>0</v>
      </c>
      <c r="AE75" s="836">
        <v>0</v>
      </c>
      <c r="AF75" s="836">
        <v>0</v>
      </c>
      <c r="AG75" s="836">
        <v>2.3E-2</v>
      </c>
      <c r="AH75" s="836">
        <v>0</v>
      </c>
      <c r="AI75" s="836">
        <v>0</v>
      </c>
      <c r="AJ75" s="836">
        <v>0</v>
      </c>
      <c r="AK75" s="836">
        <v>2.3E-2</v>
      </c>
      <c r="AL75" s="836">
        <v>0</v>
      </c>
      <c r="AM75" s="836">
        <v>0</v>
      </c>
      <c r="AN75" s="836">
        <v>0</v>
      </c>
    </row>
    <row r="76" spans="2:40" ht="49.75" customHeight="1" x14ac:dyDescent="0.35">
      <c r="B76" s="592" t="s">
        <v>1382</v>
      </c>
      <c r="C76" s="268"/>
      <c r="D76" s="837">
        <f t="shared" ref="D76:AD76" si="56">D67-D68</f>
        <v>0</v>
      </c>
      <c r="E76" s="575">
        <f t="shared" si="56"/>
        <v>0</v>
      </c>
      <c r="F76" s="575">
        <f t="shared" si="56"/>
        <v>0</v>
      </c>
      <c r="G76" s="575">
        <f t="shared" si="56"/>
        <v>0</v>
      </c>
      <c r="H76" s="575">
        <f t="shared" si="56"/>
        <v>0</v>
      </c>
      <c r="I76" s="575">
        <f t="shared" si="56"/>
        <v>-6.9950000000003456</v>
      </c>
      <c r="J76" s="575">
        <f t="shared" si="56"/>
        <v>-38.323000000000548</v>
      </c>
      <c r="K76" s="575">
        <f t="shared" si="56"/>
        <v>85.244999999999436</v>
      </c>
      <c r="L76" s="575">
        <f t="shared" si="56"/>
        <v>17.936999999999443</v>
      </c>
      <c r="M76" s="575">
        <f t="shared" si="56"/>
        <v>20.752999999999702</v>
      </c>
      <c r="N76" s="575">
        <f t="shared" si="56"/>
        <v>-8.8338400000009187</v>
      </c>
      <c r="O76" s="575">
        <f t="shared" si="56"/>
        <v>-12.81449333333353</v>
      </c>
      <c r="P76" s="575">
        <f t="shared" si="56"/>
        <v>-32.243333333333567</v>
      </c>
      <c r="Q76" s="575">
        <f t="shared" si="56"/>
        <v>72.944079999999303</v>
      </c>
      <c r="R76" s="575">
        <f t="shared" si="56"/>
        <v>74.4880799999994</v>
      </c>
      <c r="S76" s="824">
        <f t="shared" si="56"/>
        <v>64.864079999999149</v>
      </c>
      <c r="T76" s="824">
        <f t="shared" si="56"/>
        <v>89.36907999999903</v>
      </c>
      <c r="U76" s="824">
        <f t="shared" si="56"/>
        <v>58.801958999999442</v>
      </c>
      <c r="V76" s="824">
        <f t="shared" si="56"/>
        <v>71.638816142856285</v>
      </c>
      <c r="W76" s="824">
        <f t="shared" si="56"/>
        <v>76.973816142856094</v>
      </c>
      <c r="X76" s="824">
        <f t="shared" si="56"/>
        <v>97.410958999999366</v>
      </c>
      <c r="Y76" s="824">
        <f t="shared" si="56"/>
        <v>152.43494299999907</v>
      </c>
      <c r="Z76" s="824">
        <f t="shared" si="56"/>
        <v>170.29094299999906</v>
      </c>
      <c r="AA76" s="824">
        <f t="shared" si="56"/>
        <v>179.24894299999892</v>
      </c>
      <c r="AB76" s="824">
        <f t="shared" si="56"/>
        <v>205.4409429999987</v>
      </c>
      <c r="AC76" s="824">
        <f t="shared" si="56"/>
        <v>263.02286799999933</v>
      </c>
      <c r="AD76" s="824">
        <f t="shared" si="56"/>
        <v>353.32686799999874</v>
      </c>
      <c r="AE76" s="814">
        <f t="shared" ref="AE76" si="57">AD76</f>
        <v>353.32686799999874</v>
      </c>
      <c r="AF76" s="814">
        <f t="shared" ref="AF76:AH76" si="58">AE76</f>
        <v>353.32686799999874</v>
      </c>
      <c r="AG76" s="814">
        <f t="shared" si="58"/>
        <v>353.32686799999874</v>
      </c>
      <c r="AH76" s="814">
        <f t="shared" si="58"/>
        <v>353.32686799999874</v>
      </c>
      <c r="AI76" s="814">
        <f t="shared" ref="AI76" si="59">AH76</f>
        <v>353.32686799999874</v>
      </c>
      <c r="AJ76" s="814">
        <f t="shared" ref="AJ76" si="60">AI76</f>
        <v>353.32686799999874</v>
      </c>
      <c r="AK76" s="814">
        <f t="shared" ref="AK76" si="61">AJ76</f>
        <v>353.32686799999874</v>
      </c>
      <c r="AL76" s="814">
        <f t="shared" ref="AL76" si="62">AK76</f>
        <v>353.32686799999874</v>
      </c>
      <c r="AM76" s="814">
        <f t="shared" ref="AM76" si="63">AL76</f>
        <v>353.32686799999874</v>
      </c>
      <c r="AN76" s="814">
        <f t="shared" ref="AN76" si="64">AM76</f>
        <v>353.32686799999874</v>
      </c>
    </row>
    <row r="77" spans="2:40" ht="29.5" customHeight="1" x14ac:dyDescent="0.35">
      <c r="B77" s="399"/>
      <c r="C77" s="268"/>
      <c r="D77" s="360"/>
      <c r="E77" s="360"/>
      <c r="F77" s="360"/>
      <c r="G77" s="360"/>
      <c r="H77" s="360"/>
      <c r="I77" s="360"/>
      <c r="J77" s="360"/>
      <c r="K77" s="360"/>
      <c r="L77" s="360"/>
      <c r="M77" s="360"/>
      <c r="N77" s="360"/>
      <c r="O77" s="360"/>
      <c r="P77" s="360"/>
      <c r="Q77" s="360"/>
      <c r="R77" s="360"/>
      <c r="S77" s="360"/>
      <c r="T77" s="360"/>
      <c r="U77" s="360"/>
      <c r="V77" s="360"/>
      <c r="W77" s="360"/>
      <c r="X77" s="360"/>
      <c r="Y77" s="360"/>
      <c r="Z77" s="360"/>
      <c r="AA77" s="360"/>
      <c r="AB77" s="360"/>
      <c r="AC77" s="360"/>
    </row>
    <row r="78" spans="2:40" ht="16.75" customHeight="1" x14ac:dyDescent="0.35">
      <c r="B78" s="679" t="s">
        <v>438</v>
      </c>
      <c r="C78" s="268" t="s">
        <v>439</v>
      </c>
      <c r="D78" s="837">
        <v>983.86099999999999</v>
      </c>
      <c r="E78" s="575">
        <v>1019.19</v>
      </c>
      <c r="F78" s="575">
        <v>1026.704</v>
      </c>
      <c r="G78" s="575">
        <v>1034.4169999999999</v>
      </c>
      <c r="H78" s="575">
        <v>1042.6610000000001</v>
      </c>
      <c r="I78" s="575">
        <v>1068.201</v>
      </c>
      <c r="J78" s="575">
        <v>1075.075</v>
      </c>
      <c r="K78" s="575">
        <v>1080.441</v>
      </c>
      <c r="L78" s="575">
        <v>1087.9949999999999</v>
      </c>
      <c r="M78" s="575">
        <v>1105.6379999999999</v>
      </c>
      <c r="N78" s="575">
        <v>1109.6400000000001</v>
      </c>
      <c r="O78" s="575">
        <v>1116.9480000000001</v>
      </c>
      <c r="P78" s="575">
        <v>1126.174</v>
      </c>
      <c r="Q78" s="575">
        <v>1198.452</v>
      </c>
      <c r="R78" s="575">
        <v>1207.163</v>
      </c>
      <c r="S78" s="824">
        <v>1214.7809999999999</v>
      </c>
      <c r="T78" s="824">
        <v>1225.6189999999999</v>
      </c>
      <c r="U78" s="824">
        <v>1339.904</v>
      </c>
      <c r="V78" s="824">
        <v>1353.2829999999999</v>
      </c>
      <c r="W78" s="824">
        <v>1360.723</v>
      </c>
      <c r="X78" s="824">
        <v>1373.982</v>
      </c>
      <c r="Y78" s="824">
        <v>1426.547</v>
      </c>
      <c r="Z78" s="824">
        <v>1439.73</v>
      </c>
      <c r="AA78" s="824">
        <v>1453.1369999999999</v>
      </c>
      <c r="AB78" s="824">
        <v>1467.9159999999999</v>
      </c>
      <c r="AC78" s="814">
        <v>1511.6139000000001</v>
      </c>
      <c r="AD78" s="814">
        <v>1525.6138999999998</v>
      </c>
      <c r="AE78" s="814">
        <v>1540.6138999999998</v>
      </c>
      <c r="AF78" s="814">
        <v>1556.6138999999998</v>
      </c>
      <c r="AG78" s="814">
        <v>1608.4160196999999</v>
      </c>
      <c r="AH78" s="814">
        <v>1624.4160196999999</v>
      </c>
      <c r="AI78" s="814">
        <v>1640.4160196999999</v>
      </c>
      <c r="AJ78" s="814">
        <v>1655.4160196999999</v>
      </c>
      <c r="AK78" s="814">
        <v>1707.4905881530999</v>
      </c>
      <c r="AL78" s="814">
        <v>1720.4905881530999</v>
      </c>
      <c r="AM78" s="814">
        <v>1732.4905881530999</v>
      </c>
      <c r="AN78" s="814">
        <v>1743.4905881530999</v>
      </c>
    </row>
    <row r="79" spans="2:40" ht="16.75" customHeight="1" x14ac:dyDescent="0.35">
      <c r="B79" s="529" t="s">
        <v>1753</v>
      </c>
      <c r="C79" s="268"/>
      <c r="D79" s="837"/>
      <c r="E79" s="575"/>
      <c r="F79" s="575"/>
      <c r="G79" s="575"/>
      <c r="H79" s="575"/>
      <c r="I79" s="575"/>
      <c r="J79" s="575"/>
      <c r="K79" s="575"/>
      <c r="L79" s="575"/>
      <c r="M79" s="575"/>
      <c r="N79" s="575"/>
      <c r="O79" s="575"/>
      <c r="P79" s="575"/>
      <c r="Q79" s="575"/>
      <c r="R79" s="575"/>
      <c r="S79" s="824"/>
      <c r="T79" s="824"/>
      <c r="U79" s="824">
        <v>114.62885299999998</v>
      </c>
      <c r="V79" s="575">
        <v>8</v>
      </c>
      <c r="W79" s="575">
        <v>11</v>
      </c>
      <c r="X79" s="814">
        <v>14</v>
      </c>
      <c r="Y79" s="814">
        <v>52.967424000000001</v>
      </c>
      <c r="Z79" s="814">
        <v>13</v>
      </c>
      <c r="AA79" s="814">
        <v>11</v>
      </c>
      <c r="AB79" s="814">
        <v>14</v>
      </c>
      <c r="AC79" s="814">
        <v>43.697899999999997</v>
      </c>
      <c r="AD79" s="814">
        <v>14</v>
      </c>
      <c r="AE79" s="814">
        <v>15</v>
      </c>
      <c r="AF79" s="814">
        <v>16</v>
      </c>
      <c r="AG79" s="814">
        <v>51.802119699999999</v>
      </c>
      <c r="AH79" s="814">
        <v>16</v>
      </c>
      <c r="AI79" s="814">
        <v>16</v>
      </c>
      <c r="AJ79" s="814">
        <v>15</v>
      </c>
      <c r="AK79" s="814">
        <v>52.074568453099999</v>
      </c>
      <c r="AL79" s="814">
        <v>13</v>
      </c>
      <c r="AM79" s="814">
        <v>12</v>
      </c>
      <c r="AN79" s="814">
        <v>11</v>
      </c>
    </row>
    <row r="80" spans="2:40" ht="16.75" customHeight="1" x14ac:dyDescent="0.35">
      <c r="B80" s="521" t="s">
        <v>1916</v>
      </c>
      <c r="C80" s="268"/>
      <c r="D80" s="837"/>
      <c r="E80" s="575"/>
      <c r="F80" s="824"/>
      <c r="G80" s="824"/>
      <c r="H80" s="824"/>
      <c r="I80" s="824"/>
      <c r="J80" s="824"/>
      <c r="K80" s="824"/>
      <c r="L80" s="824"/>
      <c r="M80" s="824"/>
      <c r="N80" s="824"/>
      <c r="O80" s="824"/>
      <c r="P80" s="824"/>
      <c r="Q80" s="824"/>
      <c r="R80" s="824"/>
      <c r="S80" s="824"/>
      <c r="T80" s="824"/>
      <c r="U80" s="824">
        <v>8</v>
      </c>
      <c r="V80" s="575">
        <v>8</v>
      </c>
      <c r="W80" s="575">
        <v>11</v>
      </c>
      <c r="X80" s="814">
        <v>14</v>
      </c>
      <c r="Y80" s="814">
        <v>9</v>
      </c>
      <c r="Z80" s="814">
        <v>13</v>
      </c>
      <c r="AA80" s="814">
        <v>11</v>
      </c>
      <c r="AB80" s="814">
        <v>14</v>
      </c>
      <c r="AC80" s="814">
        <v>7</v>
      </c>
      <c r="AD80" s="814">
        <v>14</v>
      </c>
      <c r="AE80" s="814">
        <v>15</v>
      </c>
      <c r="AF80" s="814">
        <v>16</v>
      </c>
      <c r="AG80" s="814">
        <v>16</v>
      </c>
      <c r="AH80" s="814">
        <v>16</v>
      </c>
      <c r="AI80" s="814">
        <v>16</v>
      </c>
      <c r="AJ80" s="814">
        <v>15</v>
      </c>
      <c r="AK80" s="814">
        <v>14</v>
      </c>
      <c r="AL80" s="814">
        <v>13</v>
      </c>
      <c r="AM80" s="814">
        <v>12</v>
      </c>
      <c r="AN80" s="814">
        <v>11</v>
      </c>
    </row>
    <row r="81" spans="2:40" ht="16.75" customHeight="1" x14ac:dyDescent="0.35">
      <c r="B81" s="521" t="s">
        <v>1917</v>
      </c>
      <c r="C81" s="268"/>
      <c r="D81" s="837"/>
      <c r="E81" s="575"/>
      <c r="F81" s="575"/>
      <c r="G81" s="575"/>
      <c r="H81" s="575"/>
      <c r="I81" s="816"/>
      <c r="J81" s="816"/>
      <c r="K81" s="816"/>
      <c r="L81" s="816"/>
      <c r="M81" s="816"/>
      <c r="N81" s="816"/>
      <c r="O81" s="816"/>
      <c r="P81" s="816"/>
      <c r="Q81" s="816"/>
      <c r="R81" s="816"/>
      <c r="S81" s="835"/>
      <c r="T81" s="835"/>
      <c r="U81" s="825">
        <v>8.6999999999999994E-2</v>
      </c>
      <c r="V81" s="817">
        <v>0</v>
      </c>
      <c r="W81" s="817">
        <v>0</v>
      </c>
      <c r="X81" s="836">
        <v>0</v>
      </c>
      <c r="Y81" s="836">
        <v>3.2000000000000001E-2</v>
      </c>
      <c r="Z81" s="836">
        <v>0</v>
      </c>
      <c r="AA81" s="836">
        <v>0</v>
      </c>
      <c r="AB81" s="836">
        <v>0</v>
      </c>
      <c r="AC81" s="836">
        <v>2.5000000000000001E-2</v>
      </c>
      <c r="AD81" s="836">
        <v>0</v>
      </c>
      <c r="AE81" s="836">
        <v>0</v>
      </c>
      <c r="AF81" s="836">
        <v>0</v>
      </c>
      <c r="AG81" s="836">
        <v>2.3E-2</v>
      </c>
      <c r="AH81" s="836">
        <v>0</v>
      </c>
      <c r="AI81" s="836">
        <v>0</v>
      </c>
      <c r="AJ81" s="836">
        <v>0</v>
      </c>
      <c r="AK81" s="836">
        <v>2.3E-2</v>
      </c>
      <c r="AL81" s="836">
        <v>0</v>
      </c>
      <c r="AM81" s="836">
        <v>0</v>
      </c>
      <c r="AN81" s="836">
        <v>0</v>
      </c>
    </row>
    <row r="82" spans="2:40" ht="16.75" customHeight="1" x14ac:dyDescent="0.35">
      <c r="B82" s="592" t="s">
        <v>1382</v>
      </c>
      <c r="C82" s="268"/>
      <c r="D82" s="837">
        <v>0</v>
      </c>
      <c r="E82" s="575">
        <v>0</v>
      </c>
      <c r="F82" s="575">
        <v>0</v>
      </c>
      <c r="G82" s="575">
        <v>0</v>
      </c>
      <c r="H82" s="575">
        <v>0</v>
      </c>
      <c r="I82" s="575">
        <v>-6.9120000000000346</v>
      </c>
      <c r="J82" s="575">
        <v>-37.9549999999997</v>
      </c>
      <c r="K82" s="575">
        <v>85.725999999999658</v>
      </c>
      <c r="L82" s="575">
        <v>18.405999999999722</v>
      </c>
      <c r="M82" s="575">
        <v>20.282000000000153</v>
      </c>
      <c r="N82" s="575">
        <v>-8.5988400000003367</v>
      </c>
      <c r="O82" s="575">
        <v>-12.537493333333487</v>
      </c>
      <c r="P82" s="575">
        <v>-32.38033333333351</v>
      </c>
      <c r="Q82" s="575">
        <v>72.734879999999521</v>
      </c>
      <c r="R82" s="575">
        <v>75.236879999999019</v>
      </c>
      <c r="S82" s="824">
        <v>66.046879999999419</v>
      </c>
      <c r="T82" s="824">
        <v>90.12587999999937</v>
      </c>
      <c r="U82" s="824">
        <v>55.219026999999414</v>
      </c>
      <c r="V82" s="824">
        <v>69.376026999999112</v>
      </c>
      <c r="W82" s="824">
        <v>73.871026999999231</v>
      </c>
      <c r="X82" s="824">
        <v>92.003026999999292</v>
      </c>
      <c r="Y82" s="824">
        <v>133.13552299999901</v>
      </c>
      <c r="Z82" s="824">
        <v>146.42352299999902</v>
      </c>
      <c r="AA82" s="824">
        <v>149.85352299999886</v>
      </c>
      <c r="AB82" s="824">
        <v>163.69852299999889</v>
      </c>
      <c r="AC82" s="814">
        <v>163.69852299999889</v>
      </c>
      <c r="AD82" s="814">
        <v>163.69852299999889</v>
      </c>
      <c r="AE82" s="814">
        <v>163.69852299999889</v>
      </c>
      <c r="AF82" s="814">
        <v>163.69852299999889</v>
      </c>
      <c r="AG82" s="814">
        <v>163.69852299999889</v>
      </c>
      <c r="AH82" s="814">
        <v>163.69852299999889</v>
      </c>
      <c r="AI82" s="814">
        <v>163.69852299999889</v>
      </c>
      <c r="AJ82" s="814">
        <v>163.69852299999889</v>
      </c>
      <c r="AK82" s="814">
        <v>163.69852299999889</v>
      </c>
      <c r="AL82" s="814">
        <v>163.69852299999889</v>
      </c>
      <c r="AM82" s="814">
        <v>163.69852299999889</v>
      </c>
      <c r="AN82" s="814">
        <v>163.69852299999889</v>
      </c>
    </row>
    <row r="83" spans="2:40" ht="16.75" customHeight="1" x14ac:dyDescent="0.35">
      <c r="B83" s="356"/>
      <c r="C83" s="268"/>
      <c r="S83" s="360"/>
      <c r="T83" s="360"/>
      <c r="U83" s="360"/>
      <c r="V83" s="360"/>
      <c r="W83" s="360"/>
      <c r="X83" s="360"/>
      <c r="Y83" s="360"/>
      <c r="Z83" s="360"/>
      <c r="AA83" s="360"/>
      <c r="AB83" s="360"/>
      <c r="AC83" s="360"/>
      <c r="AD83" s="633"/>
    </row>
    <row r="84" spans="2:40" ht="16.75" customHeight="1" x14ac:dyDescent="0.35">
      <c r="B84" s="356"/>
      <c r="C84" s="268"/>
      <c r="S84" s="360"/>
      <c r="T84" s="360"/>
      <c r="U84" s="360"/>
      <c r="V84" s="360"/>
      <c r="W84" s="360"/>
      <c r="X84" s="360"/>
      <c r="Y84" s="360"/>
      <c r="Z84" s="360"/>
      <c r="AA84" s="360"/>
      <c r="AB84" s="360"/>
      <c r="AC84" s="360"/>
      <c r="AD84" s="633"/>
    </row>
    <row r="85" spans="2:40" ht="16.75" customHeight="1" x14ac:dyDescent="0.35">
      <c r="B85" s="268"/>
      <c r="C85" s="268"/>
      <c r="S85" s="268"/>
      <c r="T85" s="268"/>
      <c r="U85" s="575"/>
      <c r="V85" s="575"/>
      <c r="W85" s="575"/>
      <c r="X85" s="575"/>
      <c r="Y85" s="575"/>
      <c r="Z85" s="575"/>
      <c r="AA85" s="575"/>
      <c r="AB85" s="575"/>
      <c r="AC85" s="575"/>
      <c r="AD85" s="633"/>
    </row>
    <row r="86" spans="2:40" ht="16.75" customHeight="1" x14ac:dyDescent="0.35">
      <c r="B86" s="356"/>
      <c r="C86" s="268"/>
      <c r="S86" s="268"/>
      <c r="T86" s="268"/>
      <c r="U86" s="575"/>
      <c r="V86" s="575"/>
      <c r="W86" s="575"/>
      <c r="X86" s="575"/>
      <c r="Y86" s="575"/>
      <c r="Z86" s="575"/>
      <c r="AA86" s="575"/>
      <c r="AB86" s="575"/>
      <c r="AC86" s="575"/>
      <c r="AD86" s="633"/>
    </row>
    <row r="87" spans="2:40" ht="16.75" customHeight="1" x14ac:dyDescent="0.35">
      <c r="B87" s="356"/>
      <c r="C87" s="268"/>
      <c r="S87" s="268"/>
      <c r="T87" s="268"/>
      <c r="U87" s="360"/>
      <c r="V87" s="360"/>
      <c r="W87" s="360"/>
      <c r="X87" s="360"/>
      <c r="Y87" s="360"/>
      <c r="Z87" s="360"/>
      <c r="AA87" s="360"/>
      <c r="AB87" s="360"/>
      <c r="AC87" s="360"/>
      <c r="AD87" s="633"/>
    </row>
    <row r="88" spans="2:40" ht="16.75" customHeight="1" x14ac:dyDescent="0.35">
      <c r="B88" s="356"/>
      <c r="C88" s="268"/>
      <c r="S88" s="268"/>
      <c r="T88" s="268"/>
      <c r="U88" s="826"/>
      <c r="V88" s="826"/>
      <c r="W88" s="826"/>
      <c r="X88" s="826"/>
      <c r="Y88" s="826"/>
      <c r="Z88" s="826"/>
      <c r="AA88" s="826"/>
      <c r="AB88" s="826"/>
      <c r="AC88" s="826"/>
      <c r="AD88" s="633"/>
    </row>
    <row r="89" spans="2:40" ht="16.75" customHeight="1" x14ac:dyDescent="0.35">
      <c r="B89" s="268"/>
      <c r="C89" s="268"/>
      <c r="S89" s="360"/>
      <c r="T89" s="360"/>
      <c r="U89" s="360"/>
      <c r="V89" s="360"/>
      <c r="W89" s="360"/>
      <c r="X89" s="360"/>
      <c r="Y89" s="360"/>
      <c r="Z89" s="360"/>
      <c r="AA89" s="360"/>
      <c r="AB89" s="360"/>
      <c r="AC89" s="360"/>
      <c r="AD89" s="633"/>
    </row>
    <row r="90" spans="2:40" ht="22.5" customHeight="1" x14ac:dyDescent="0.35">
      <c r="B90" s="399"/>
      <c r="C90" s="268"/>
      <c r="D90" s="360"/>
      <c r="E90" s="360"/>
      <c r="F90" s="360"/>
      <c r="G90" s="360"/>
      <c r="H90" s="360"/>
      <c r="I90" s="360"/>
      <c r="J90" s="360"/>
      <c r="K90" s="360"/>
      <c r="L90" s="360"/>
      <c r="M90" s="360"/>
      <c r="N90" s="360"/>
      <c r="O90" s="360"/>
      <c r="P90" s="360"/>
      <c r="Q90" s="360"/>
      <c r="R90" s="360"/>
      <c r="S90" s="360"/>
      <c r="T90" s="360"/>
      <c r="U90" s="360"/>
      <c r="V90" s="360"/>
      <c r="W90" s="360"/>
      <c r="X90" s="360"/>
      <c r="Y90" s="360"/>
      <c r="Z90" s="360"/>
      <c r="AA90" s="360"/>
      <c r="AB90" s="360"/>
      <c r="AC90" s="360"/>
    </row>
    <row r="91" spans="2:40" ht="22.5" customHeight="1" x14ac:dyDescent="0.35">
      <c r="B91" s="399"/>
      <c r="C91" s="268"/>
      <c r="D91" s="360"/>
      <c r="E91" s="360"/>
      <c r="F91" s="360"/>
      <c r="G91" s="360"/>
      <c r="H91" s="360"/>
      <c r="I91" s="360"/>
      <c r="J91" s="360"/>
      <c r="K91" s="360"/>
      <c r="L91" s="360"/>
      <c r="M91" s="360"/>
      <c r="N91" s="360"/>
      <c r="O91" s="360"/>
      <c r="P91" s="360"/>
      <c r="Q91" s="360"/>
      <c r="R91" s="360"/>
      <c r="S91" s="360"/>
      <c r="T91" s="360"/>
      <c r="U91" s="360"/>
      <c r="V91" s="360"/>
      <c r="W91" s="360"/>
      <c r="X91" s="360"/>
      <c r="Y91" s="360"/>
      <c r="Z91" s="360"/>
      <c r="AA91" s="360"/>
      <c r="AB91" s="360"/>
      <c r="AC91" s="360"/>
    </row>
    <row r="92" spans="2:40" ht="38.5" customHeight="1" x14ac:dyDescent="0.35">
      <c r="B92" s="810"/>
      <c r="C92" s="811">
        <v>2016</v>
      </c>
      <c r="D92" s="812">
        <f>C92+1</f>
        <v>2017</v>
      </c>
      <c r="E92" s="812">
        <f t="shared" ref="E92:R92" si="65">D92+1</f>
        <v>2018</v>
      </c>
      <c r="F92" s="812">
        <f t="shared" si="65"/>
        <v>2019</v>
      </c>
      <c r="G92" s="812">
        <f t="shared" si="65"/>
        <v>2020</v>
      </c>
      <c r="H92" s="812">
        <f t="shared" si="65"/>
        <v>2021</v>
      </c>
      <c r="I92" s="812">
        <f t="shared" si="65"/>
        <v>2022</v>
      </c>
      <c r="J92" s="812">
        <f t="shared" si="65"/>
        <v>2023</v>
      </c>
      <c r="K92" s="812">
        <f t="shared" si="65"/>
        <v>2024</v>
      </c>
      <c r="L92" s="812">
        <f t="shared" si="65"/>
        <v>2025</v>
      </c>
      <c r="M92" s="812">
        <f t="shared" si="65"/>
        <v>2026</v>
      </c>
      <c r="N92" s="812">
        <f t="shared" si="65"/>
        <v>2027</v>
      </c>
      <c r="O92" s="812">
        <f t="shared" si="65"/>
        <v>2028</v>
      </c>
      <c r="P92" s="812">
        <f t="shared" si="65"/>
        <v>2029</v>
      </c>
      <c r="Q92" s="812">
        <f t="shared" si="65"/>
        <v>2030</v>
      </c>
      <c r="R92" s="812">
        <f t="shared" si="65"/>
        <v>2031</v>
      </c>
      <c r="S92" s="360"/>
      <c r="T92" s="360"/>
      <c r="U92" s="360"/>
      <c r="V92" s="360"/>
      <c r="W92" s="360"/>
      <c r="X92" s="360"/>
      <c r="Y92" s="360"/>
      <c r="Z92" s="360"/>
      <c r="AA92" s="360"/>
      <c r="AB92" s="360"/>
      <c r="AC92" s="360"/>
    </row>
    <row r="93" spans="2:40" ht="38.5" customHeight="1" x14ac:dyDescent="0.35">
      <c r="B93" s="815" t="s">
        <v>1912</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8">
        <v>2288.683</v>
      </c>
      <c r="T93" s="388">
        <v>2399.4650000000001</v>
      </c>
      <c r="U93" s="388">
        <v>2510.5969999999998</v>
      </c>
      <c r="V93" s="360">
        <v>2623.808</v>
      </c>
      <c r="W93" s="360"/>
      <c r="X93" s="360"/>
      <c r="Y93" s="360"/>
      <c r="Z93" s="360"/>
      <c r="AA93" s="360"/>
      <c r="AB93" s="360"/>
      <c r="AC93" s="360"/>
    </row>
    <row r="94" spans="2:40" ht="38.5" customHeight="1" x14ac:dyDescent="0.35">
      <c r="B94" s="506" t="s">
        <v>1913</v>
      </c>
      <c r="C94">
        <v>890.39374999999995</v>
      </c>
      <c r="D94">
        <v>918.71375</v>
      </c>
      <c r="E94">
        <v>960.61400000000003</v>
      </c>
      <c r="F94">
        <v>1016.043</v>
      </c>
      <c r="G94">
        <v>1066.5944999999999</v>
      </c>
      <c r="H94">
        <v>1105.0552499999999</v>
      </c>
      <c r="I94">
        <v>1186.6424999999999</v>
      </c>
      <c r="J94">
        <v>1319.8822500000001</v>
      </c>
      <c r="K94">
        <v>1423.3489999999999</v>
      </c>
      <c r="L94" s="388">
        <f>AVERAGE(AB72:AE72)</f>
        <v>1555.99125</v>
      </c>
      <c r="M94" s="388">
        <f>AVERAGE(AF72:AI72)</f>
        <v>1685.7002545</v>
      </c>
      <c r="N94" s="388">
        <f>AVERAGE(AJ72:AM72)</f>
        <v>1784.0061103534999</v>
      </c>
      <c r="S94" s="360"/>
      <c r="T94" s="360"/>
      <c r="U94" s="360"/>
      <c r="V94" s="360"/>
      <c r="W94" s="360"/>
      <c r="X94" s="360"/>
      <c r="Y94" s="360"/>
      <c r="Z94" s="360"/>
      <c r="AA94" s="360"/>
      <c r="AB94" s="360"/>
      <c r="AC94" s="360"/>
    </row>
    <row r="95" spans="2:40" ht="69" customHeight="1" x14ac:dyDescent="0.35">
      <c r="B95" s="399" t="s">
        <v>1914</v>
      </c>
      <c r="C95" s="268">
        <f>C94/C93</f>
        <v>0.97813220916181476</v>
      </c>
      <c r="D95" s="268">
        <f t="shared" ref="D95:K95" si="66">D94/D93</f>
        <v>0.97818755323679718</v>
      </c>
      <c r="E95" s="268">
        <f t="shared" si="66"/>
        <v>0.97822199592668024</v>
      </c>
      <c r="F95" s="268">
        <f t="shared" si="66"/>
        <v>0.97837554164660567</v>
      </c>
      <c r="G95" s="268">
        <f t="shared" si="66"/>
        <v>0.97861684558216333</v>
      </c>
      <c r="H95" s="268">
        <f t="shared" si="66"/>
        <v>0.9789646084337349</v>
      </c>
      <c r="I95" s="268">
        <f t="shared" si="66"/>
        <v>0.97867422680412364</v>
      </c>
      <c r="J95" s="268">
        <f t="shared" si="66"/>
        <v>0.97914113501483691</v>
      </c>
      <c r="K95" s="268">
        <f t="shared" si="66"/>
        <v>0.97863415345181315</v>
      </c>
      <c r="L95" s="268">
        <f t="shared" ref="L95" si="67">L94/L93</f>
        <v>0.98974831881779124</v>
      </c>
      <c r="M95" s="268">
        <f t="shared" ref="M95" si="68">M94/M93</f>
        <v>1.0129052744133449</v>
      </c>
      <c r="N95" s="268">
        <f t="shared" ref="N95" si="69">N94/N93</f>
        <v>1.0131344195074843</v>
      </c>
      <c r="P95" s="360"/>
      <c r="Q95" s="360"/>
      <c r="R95" s="360"/>
      <c r="S95" s="360"/>
      <c r="T95" s="360"/>
      <c r="U95" s="360"/>
      <c r="V95" s="360"/>
      <c r="W95" s="360"/>
      <c r="X95" s="360"/>
      <c r="Y95" s="360"/>
      <c r="Z95" s="360"/>
      <c r="AA95" s="360"/>
      <c r="AB95" s="360"/>
      <c r="AC95" s="360"/>
    </row>
    <row r="96" spans="2:40" x14ac:dyDescent="0.35">
      <c r="I96" s="268"/>
      <c r="J96" s="268"/>
      <c r="K96" s="268"/>
      <c r="L96" s="268">
        <f>L93*$K$95</f>
        <v>1538.5185817148231</v>
      </c>
      <c r="M96" s="268">
        <f t="shared" ref="M96:N96" si="70">M93*$K$95</f>
        <v>1628.6654667600367</v>
      </c>
      <c r="N96" s="268">
        <f t="shared" si="70"/>
        <v>1723.2553508619217</v>
      </c>
      <c r="P96" s="268"/>
    </row>
    <row r="97" spans="3:18" x14ac:dyDescent="0.35">
      <c r="L97" s="81">
        <f>L96-L94</f>
        <v>-17.472668285176951</v>
      </c>
      <c r="M97" s="81">
        <f t="shared" ref="M97:N97" si="71">M96-M94</f>
        <v>-57.034787739963349</v>
      </c>
      <c r="N97" s="81">
        <f t="shared" si="71"/>
        <v>-60.750759491578265</v>
      </c>
      <c r="R97" s="633"/>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1933</v>
      </c>
      <c r="E1" t="s">
        <v>1934</v>
      </c>
      <c r="K1" t="s">
        <v>1938</v>
      </c>
    </row>
    <row r="2" spans="1:12" x14ac:dyDescent="0.35">
      <c r="B2" t="s">
        <v>1932</v>
      </c>
      <c r="C2" t="s">
        <v>226</v>
      </c>
      <c r="D2" t="s">
        <v>1936</v>
      </c>
      <c r="E2" t="s">
        <v>250</v>
      </c>
      <c r="F2" t="s">
        <v>226</v>
      </c>
      <c r="G2" t="s">
        <v>1936</v>
      </c>
      <c r="I2" t="s">
        <v>1937</v>
      </c>
      <c r="K2" t="s">
        <v>1932</v>
      </c>
      <c r="L2" t="s">
        <v>226</v>
      </c>
    </row>
    <row r="3" spans="1:12" x14ac:dyDescent="0.35">
      <c r="A3" t="s">
        <v>1935</v>
      </c>
      <c r="B3">
        <f>'Social Benefits- June'!AD12</f>
        <v>3471.6821604763954</v>
      </c>
      <c r="C3">
        <f>'Social Benefits- June'!AE12</f>
        <v>3493.4089053306125</v>
      </c>
      <c r="D3">
        <f>C3-B3</f>
        <v>21.726744854217031</v>
      </c>
      <c r="E3">
        <f>'Social Benefits'!AD12</f>
        <v>3657</v>
      </c>
      <c r="F3">
        <f>'Social Benefits'!AE12</f>
        <v>3652</v>
      </c>
      <c r="G3">
        <f>F3-E3</f>
        <v>-5</v>
      </c>
      <c r="I3">
        <f>G3-D3</f>
        <v>-26.726744854217031</v>
      </c>
      <c r="K3">
        <f>E3-B3</f>
        <v>185.31783952360456</v>
      </c>
      <c r="L3">
        <f>F3-C3</f>
        <v>158.59109466938753</v>
      </c>
    </row>
    <row r="4" spans="1:12" x14ac:dyDescent="0.35">
      <c r="A4" t="s">
        <v>763</v>
      </c>
      <c r="B4">
        <f>'Social Benefits- June'!AD33</f>
        <v>2268.998</v>
      </c>
      <c r="C4">
        <f>'Social Benefits- June'!AE33</f>
        <v>2275.6980000000003</v>
      </c>
      <c r="D4">
        <f>C4-B4</f>
        <v>6.7000000000002728</v>
      </c>
      <c r="E4">
        <f>'Social Benefits'!AD36</f>
        <v>1195</v>
      </c>
      <c r="F4">
        <f>'Social Benefits'!AE36</f>
        <v>1249.5999999999999</v>
      </c>
      <c r="G4">
        <f>F4-E4</f>
        <v>54.599999999999909</v>
      </c>
      <c r="I4">
        <f t="shared" ref="I4:I7" si="0">G4-D4</f>
        <v>47.899999999999636</v>
      </c>
      <c r="K4">
        <f>E4-B4</f>
        <v>-1073.998</v>
      </c>
      <c r="L4">
        <f>F4-C4</f>
        <v>-1026.0980000000004</v>
      </c>
    </row>
    <row r="5" spans="1:12" x14ac:dyDescent="0.35">
      <c r="A5" t="s">
        <v>46</v>
      </c>
      <c r="B5">
        <f>'Social Benefits- June'!AD17</f>
        <v>1179.9491604763948</v>
      </c>
      <c r="C5">
        <f>'Social Benefits- June'!AE17</f>
        <v>1194.9759053306122</v>
      </c>
      <c r="D5">
        <f>C5-B5</f>
        <v>15.026744854217441</v>
      </c>
      <c r="E5">
        <f>'Social Benefits'!AD18</f>
        <v>1205.3</v>
      </c>
      <c r="F5">
        <f>'Social Benefits'!AE18</f>
        <v>1237.5999999999999</v>
      </c>
      <c r="G5">
        <f>F5-E5</f>
        <v>32.299999999999955</v>
      </c>
      <c r="I5">
        <f t="shared" si="0"/>
        <v>17.273255145782514</v>
      </c>
      <c r="K5">
        <f t="shared" ref="K5:K6" si="1">E5-B5</f>
        <v>25.350839523605146</v>
      </c>
      <c r="L5">
        <f t="shared" ref="L5:L6" si="2">F5-C5</f>
        <v>42.624094669387659</v>
      </c>
    </row>
    <row r="6" spans="1:12" x14ac:dyDescent="0.35">
      <c r="A6" t="s">
        <v>1939</v>
      </c>
      <c r="B6">
        <f>'Social Benefits- June'!AD34</f>
        <v>580.4079999999999</v>
      </c>
      <c r="C6">
        <f>'Social Benefits- June'!AE34</f>
        <v>577.10800000000017</v>
      </c>
      <c r="D6">
        <f>C6-B6</f>
        <v>-3.2999999999997272</v>
      </c>
      <c r="E6">
        <f>'Social Benefits'!AD31</f>
        <v>709.721</v>
      </c>
      <c r="F6">
        <f>'Social Benefits'!AE31</f>
        <v>724.73999999999978</v>
      </c>
      <c r="G6">
        <f>F6-E6</f>
        <v>15.018999999999778</v>
      </c>
      <c r="I6">
        <f t="shared" si="0"/>
        <v>18.318999999999505</v>
      </c>
      <c r="K6">
        <f t="shared" si="1"/>
        <v>129.3130000000001</v>
      </c>
      <c r="L6">
        <f t="shared" si="2"/>
        <v>147.63199999999961</v>
      </c>
    </row>
    <row r="7" spans="1:12" x14ac:dyDescent="0.35">
      <c r="A7" t="s">
        <v>1940</v>
      </c>
      <c r="B7" s="82">
        <f>'Social Benefits - old'!AD72</f>
        <v>1607.5219999999999</v>
      </c>
      <c r="C7" s="82">
        <f>'Social Benefits - old'!AE72</f>
        <v>1617.5219999999999</v>
      </c>
      <c r="D7">
        <f>C7-B7</f>
        <v>10</v>
      </c>
      <c r="E7">
        <f>'Social Benefits'!AD19</f>
        <v>1607.5219999999999</v>
      </c>
      <c r="F7">
        <f>'Social Benefits'!AE19</f>
        <v>1575.4390000000001</v>
      </c>
      <c r="G7">
        <f>F7-E7</f>
        <v>-32.082999999999856</v>
      </c>
      <c r="I7">
        <f t="shared" si="0"/>
        <v>-42.082999999999856</v>
      </c>
    </row>
    <row r="8" spans="1:12" x14ac:dyDescent="0.35">
      <c r="B8">
        <f>SUM(B5:B7)</f>
        <v>3367.8791604763946</v>
      </c>
      <c r="C8">
        <f t="shared" ref="C8:I8" si="3">SUM(C5:C7)</f>
        <v>3389.6059053306126</v>
      </c>
      <c r="D8">
        <f t="shared" si="3"/>
        <v>21.726744854217714</v>
      </c>
      <c r="E8">
        <f t="shared" si="3"/>
        <v>3522.5429999999997</v>
      </c>
      <c r="F8">
        <f t="shared" si="3"/>
        <v>3537.7789999999995</v>
      </c>
      <c r="G8">
        <f t="shared" si="3"/>
        <v>15.235999999999876</v>
      </c>
      <c r="H8">
        <f t="shared" si="3"/>
        <v>0</v>
      </c>
      <c r="I8">
        <f t="shared" si="3"/>
        <v>-6.4907448542178372</v>
      </c>
    </row>
    <row r="9" spans="1:12" x14ac:dyDescent="0.35">
      <c r="B9">
        <f>B3-B8</f>
        <v>103.80300000000079</v>
      </c>
      <c r="C9">
        <f t="shared" ref="C9:I9" si="4">C3-C8</f>
        <v>103.80299999999988</v>
      </c>
      <c r="D9">
        <f t="shared" si="4"/>
        <v>-6.8212102632969618E-13</v>
      </c>
      <c r="E9">
        <f t="shared" si="4"/>
        <v>134.45700000000033</v>
      </c>
      <c r="F9">
        <f t="shared" si="4"/>
        <v>114.22100000000046</v>
      </c>
      <c r="G9">
        <f t="shared" si="4"/>
        <v>-20.235999999999876</v>
      </c>
      <c r="H9">
        <f t="shared" si="4"/>
        <v>0</v>
      </c>
      <c r="I9">
        <f t="shared" si="4"/>
        <v>-20.235999999999194</v>
      </c>
    </row>
    <row r="10" spans="1:12" x14ac:dyDescent="0.35">
      <c r="A10" t="s">
        <v>1941</v>
      </c>
      <c r="B10" s="82">
        <f>B6+B7</f>
        <v>2187.9299999999998</v>
      </c>
      <c r="C10" s="82">
        <f t="shared" ref="C10:G10" si="5">C6+C7</f>
        <v>2194.63</v>
      </c>
      <c r="D10" s="82">
        <f t="shared" si="5"/>
        <v>6.7000000000002728</v>
      </c>
      <c r="E10" s="82">
        <f t="shared" si="5"/>
        <v>2317.2429999999999</v>
      </c>
      <c r="F10" s="82">
        <f t="shared" si="5"/>
        <v>2300.1790000000001</v>
      </c>
      <c r="G10" s="82">
        <f t="shared" si="5"/>
        <v>-17.064000000000078</v>
      </c>
    </row>
    <row r="11" spans="1:12" x14ac:dyDescent="0.35">
      <c r="B11" s="82">
        <f>B4-B10</f>
        <v>81.068000000000211</v>
      </c>
      <c r="C11" s="82">
        <f t="shared" ref="C11:G11" si="6">C4-C10</f>
        <v>81.068000000000211</v>
      </c>
      <c r="D11" s="82">
        <f t="shared" si="6"/>
        <v>0</v>
      </c>
      <c r="E11" s="82">
        <f t="shared" si="6"/>
        <v>-1122.2429999999999</v>
      </c>
      <c r="F11" s="82">
        <f t="shared" si="6"/>
        <v>-1050.5790000000002</v>
      </c>
      <c r="G11" s="82">
        <f t="shared" si="6"/>
        <v>71.663999999999987</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N88"/>
  <sheetViews>
    <sheetView topLeftCell="P1" zoomScaleNormal="100" workbookViewId="0">
      <selection activeCell="AE14" sqref="AE14"/>
    </sheetView>
  </sheetViews>
  <sheetFormatPr defaultColWidth="10.90625" defaultRowHeight="14.5" x14ac:dyDescent="0.35"/>
  <cols>
    <col min="1" max="1" width="17.26953125" customWidth="1"/>
  </cols>
  <sheetData>
    <row r="1" spans="2:40" x14ac:dyDescent="0.35">
      <c r="B1" s="1387" t="s">
        <v>1853</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2:40" ht="14.25" customHeight="1" x14ac:dyDescent="0.35">
      <c r="B2" s="1477" t="s">
        <v>1854</v>
      </c>
      <c r="C2" s="1477"/>
      <c r="D2" s="1477"/>
      <c r="E2" s="1477"/>
      <c r="F2" s="1477"/>
      <c r="G2" s="1477"/>
      <c r="H2" s="1477"/>
      <c r="I2" s="1477"/>
      <c r="J2" s="1477"/>
      <c r="K2" s="1477"/>
      <c r="L2" s="1477"/>
      <c r="M2" s="1477"/>
      <c r="N2" s="1477"/>
      <c r="O2" s="1477"/>
      <c r="P2" s="1477"/>
      <c r="Q2" s="1477"/>
      <c r="R2" s="1477"/>
      <c r="S2" s="708"/>
      <c r="T2" s="1484"/>
      <c r="U2" s="1484"/>
      <c r="V2" s="1484"/>
      <c r="W2" s="1484"/>
      <c r="X2" s="1484"/>
      <c r="Y2" s="1484"/>
      <c r="Z2" s="1484"/>
      <c r="AA2" s="1484"/>
      <c r="AB2" s="1484"/>
      <c r="AC2" s="1484"/>
    </row>
    <row r="3" spans="2:40" x14ac:dyDescent="0.35">
      <c r="B3" s="1477"/>
      <c r="C3" s="1477"/>
      <c r="D3" s="1477"/>
      <c r="E3" s="1477"/>
      <c r="F3" s="1477"/>
      <c r="G3" s="1477"/>
      <c r="H3" s="1477"/>
      <c r="I3" s="1477"/>
      <c r="J3" s="1477"/>
      <c r="K3" s="1477"/>
      <c r="L3" s="1477"/>
      <c r="M3" s="1477"/>
      <c r="N3" s="1477"/>
      <c r="O3" s="1477"/>
      <c r="P3" s="1477"/>
      <c r="Q3" s="1477"/>
      <c r="R3" s="1477"/>
      <c r="S3" s="708"/>
      <c r="T3" s="1484"/>
      <c r="U3" s="1484"/>
      <c r="V3" s="1484"/>
      <c r="W3" s="1484"/>
      <c r="X3" s="1484"/>
      <c r="Y3" s="1484"/>
      <c r="Z3" s="1484"/>
      <c r="AA3" s="1484"/>
      <c r="AB3" s="1484"/>
      <c r="AC3" s="1484"/>
    </row>
    <row r="4" spans="2:40" ht="21" customHeight="1" x14ac:dyDescent="0.35">
      <c r="B4" s="1477"/>
      <c r="C4" s="1477"/>
      <c r="D4" s="1477"/>
      <c r="E4" s="1477"/>
      <c r="F4" s="1477"/>
      <c r="G4" s="1477"/>
      <c r="H4" s="1477"/>
      <c r="I4" s="1477"/>
      <c r="J4" s="1477"/>
      <c r="K4" s="1477"/>
      <c r="L4" s="1477"/>
      <c r="M4" s="1477"/>
      <c r="N4" s="1477"/>
      <c r="O4" s="1477"/>
      <c r="P4" s="1477"/>
      <c r="Q4" s="1477"/>
      <c r="R4" s="1477"/>
      <c r="S4" s="708"/>
      <c r="T4" s="1484"/>
      <c r="U4" s="1484"/>
      <c r="V4" s="1484"/>
      <c r="W4" s="1484"/>
      <c r="X4" s="1484"/>
      <c r="Y4" s="1484"/>
      <c r="Z4" s="1484"/>
      <c r="AA4" s="1484"/>
      <c r="AB4" s="1484"/>
      <c r="AC4" s="1484"/>
    </row>
    <row r="6" spans="2:40" x14ac:dyDescent="0.35">
      <c r="B6" s="630" t="s">
        <v>299</v>
      </c>
    </row>
    <row r="7" spans="2:40" ht="14.9" customHeight="1" x14ac:dyDescent="0.35">
      <c r="B7" s="1389" t="s">
        <v>1826</v>
      </c>
      <c r="C7" s="1390"/>
      <c r="D7" s="1393" t="s">
        <v>246</v>
      </c>
      <c r="E7" s="1456"/>
      <c r="F7" s="1456"/>
      <c r="G7" s="1456"/>
      <c r="H7" s="1456"/>
      <c r="I7" s="1456"/>
      <c r="J7" s="1456"/>
      <c r="K7" s="1456"/>
      <c r="L7" s="1456"/>
      <c r="M7" s="1456"/>
      <c r="N7" s="1456"/>
      <c r="O7" s="1456"/>
      <c r="P7" s="1456"/>
      <c r="Q7" s="1456"/>
      <c r="R7" s="1456"/>
      <c r="S7" s="1456"/>
      <c r="T7" s="1456"/>
      <c r="U7" s="1455"/>
      <c r="V7" s="1392"/>
      <c r="W7" s="1490" t="s">
        <v>247</v>
      </c>
      <c r="X7" s="1486"/>
      <c r="Y7" s="1486"/>
      <c r="Z7" s="1486"/>
      <c r="AA7" s="1486"/>
      <c r="AB7" s="1486"/>
      <c r="AC7" s="1486"/>
      <c r="AD7" s="1486"/>
      <c r="AE7" s="1486"/>
      <c r="AF7" s="1486"/>
      <c r="AG7" s="1486"/>
      <c r="AH7" s="1486"/>
      <c r="AI7" s="1486"/>
      <c r="AJ7" s="1486"/>
      <c r="AK7" s="1486"/>
      <c r="AL7" s="1486"/>
      <c r="AM7" s="1486"/>
      <c r="AN7" s="1486"/>
    </row>
    <row r="8" spans="2:40" x14ac:dyDescent="0.35">
      <c r="B8" s="1391"/>
      <c r="C8" s="1392"/>
      <c r="D8" s="249">
        <v>2018</v>
      </c>
      <c r="E8" s="1398">
        <v>2019</v>
      </c>
      <c r="F8" s="1415"/>
      <c r="G8" s="1415"/>
      <c r="H8" s="1400"/>
      <c r="I8" s="1398">
        <v>2020</v>
      </c>
      <c r="J8" s="1415"/>
      <c r="K8" s="1415"/>
      <c r="L8" s="1415"/>
      <c r="M8" s="1398">
        <v>2021</v>
      </c>
      <c r="N8" s="1415"/>
      <c r="O8" s="1415"/>
      <c r="P8" s="1399"/>
      <c r="Q8" s="1398">
        <v>2022</v>
      </c>
      <c r="R8" s="1399"/>
      <c r="S8" s="1399"/>
      <c r="T8" s="1399"/>
      <c r="U8" s="283"/>
      <c r="V8" s="277">
        <v>2023</v>
      </c>
      <c r="W8" s="437"/>
      <c r="X8" s="431"/>
      <c r="Y8" s="1424">
        <v>2024</v>
      </c>
      <c r="Z8" s="1413"/>
      <c r="AA8" s="1413"/>
      <c r="AB8" s="1414"/>
      <c r="AC8" s="1412">
        <v>2025</v>
      </c>
      <c r="AD8" s="1413"/>
      <c r="AE8" s="1413"/>
      <c r="AF8" s="1414"/>
      <c r="AG8" s="1412">
        <v>2026</v>
      </c>
      <c r="AH8" s="1413"/>
      <c r="AI8" s="1413"/>
      <c r="AJ8" s="1414"/>
      <c r="AK8" s="1412">
        <v>2027</v>
      </c>
      <c r="AL8" s="1413"/>
      <c r="AM8" s="1413"/>
      <c r="AN8" s="1414"/>
    </row>
    <row r="9" spans="2:40" x14ac:dyDescent="0.35">
      <c r="B9" s="1393"/>
      <c r="C9" s="1394"/>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0" t="s">
        <v>226</v>
      </c>
      <c r="X9" s="276" t="s">
        <v>248</v>
      </c>
      <c r="Y9" s="270" t="s">
        <v>249</v>
      </c>
      <c r="Z9" s="269" t="s">
        <v>250</v>
      </c>
      <c r="AA9" s="270" t="s">
        <v>226</v>
      </c>
      <c r="AB9" s="270" t="s">
        <v>248</v>
      </c>
      <c r="AC9" s="275" t="s">
        <v>249</v>
      </c>
      <c r="AD9" s="269" t="s">
        <v>250</v>
      </c>
      <c r="AE9" s="270" t="s">
        <v>226</v>
      </c>
      <c r="AF9" s="270" t="s">
        <v>248</v>
      </c>
      <c r="AG9" s="275" t="s">
        <v>249</v>
      </c>
      <c r="AH9" s="269" t="s">
        <v>250</v>
      </c>
      <c r="AI9" s="270" t="s">
        <v>226</v>
      </c>
      <c r="AJ9" s="276" t="s">
        <v>248</v>
      </c>
      <c r="AK9" s="275" t="s">
        <v>249</v>
      </c>
      <c r="AL9" s="269" t="s">
        <v>250</v>
      </c>
      <c r="AM9" s="270" t="s">
        <v>226</v>
      </c>
      <c r="AN9" s="276" t="s">
        <v>248</v>
      </c>
    </row>
    <row r="10" spans="2:40" x14ac:dyDescent="0.35">
      <c r="S10" s="879" t="s">
        <v>172</v>
      </c>
      <c r="T10" s="879" t="s">
        <v>173</v>
      </c>
      <c r="U10" s="879" t="s">
        <v>174</v>
      </c>
      <c r="V10" s="879" t="s">
        <v>175</v>
      </c>
      <c r="W10" s="879" t="s">
        <v>176</v>
      </c>
      <c r="X10" s="879" t="s">
        <v>177</v>
      </c>
      <c r="Y10" s="879" t="s">
        <v>178</v>
      </c>
      <c r="Z10" s="879" t="s">
        <v>179</v>
      </c>
      <c r="AA10" s="879" t="s">
        <v>163</v>
      </c>
      <c r="AB10" s="879" t="s">
        <v>164</v>
      </c>
      <c r="AC10" s="879" t="s">
        <v>165</v>
      </c>
      <c r="AD10" s="879" t="s">
        <v>728</v>
      </c>
      <c r="AE10" s="879" t="s">
        <v>729</v>
      </c>
      <c r="AF10" s="879" t="s">
        <v>730</v>
      </c>
      <c r="AG10" s="879" t="s">
        <v>1108</v>
      </c>
      <c r="AH10" s="879" t="s">
        <v>1109</v>
      </c>
      <c r="AI10" s="879" t="s">
        <v>1110</v>
      </c>
      <c r="AJ10" s="879" t="s">
        <v>1111</v>
      </c>
      <c r="AK10" s="879" t="s">
        <v>1112</v>
      </c>
      <c r="AL10" s="879" t="s">
        <v>1113</v>
      </c>
      <c r="AM10" s="879" t="s">
        <v>1114</v>
      </c>
      <c r="AN10" s="879" t="s">
        <v>1115</v>
      </c>
    </row>
    <row r="11" spans="2:40" x14ac:dyDescent="0.35">
      <c r="S11" s="877"/>
      <c r="T11" s="877"/>
      <c r="U11" s="877"/>
      <c r="V11" s="877"/>
      <c r="W11" s="877"/>
      <c r="X11" s="877"/>
      <c r="Y11" s="877"/>
      <c r="Z11" s="877"/>
      <c r="AA11" s="877"/>
      <c r="AB11" s="877"/>
      <c r="AC11" s="877"/>
      <c r="AD11" s="877"/>
      <c r="AE11" s="877"/>
      <c r="AF11" s="877"/>
      <c r="AG11" s="877"/>
      <c r="AH11" s="877"/>
    </row>
    <row r="12" spans="2:40" x14ac:dyDescent="0.35">
      <c r="B12" s="877" t="s">
        <v>1800</v>
      </c>
      <c r="P12" t="s">
        <v>1800</v>
      </c>
      <c r="S12" s="232">
        <v>4.0506371546650497</v>
      </c>
      <c r="T12" s="232">
        <v>6.7510619244417409</v>
      </c>
      <c r="U12" s="232">
        <v>25.428999915397224</v>
      </c>
      <c r="V12" s="232">
        <v>38.481052969317929</v>
      </c>
      <c r="W12" s="232">
        <v>51.308070625757232</v>
      </c>
      <c r="X12" s="232">
        <v>56.236345830599703</v>
      </c>
      <c r="Y12" s="232">
        <v>63.685017487233758</v>
      </c>
      <c r="Z12" s="232">
        <v>69.310902424268548</v>
      </c>
      <c r="AA12" s="232">
        <v>64.357873325703125</v>
      </c>
      <c r="AB12" s="232">
        <v>57.18149450002155</v>
      </c>
      <c r="AC12" s="232">
        <v>50.898506202341103</v>
      </c>
      <c r="AD12" s="232">
        <v>63.658013239535997</v>
      </c>
      <c r="AE12" s="232">
        <v>77.412176733598628</v>
      </c>
      <c r="AF12" s="232">
        <v>86.188557235372897</v>
      </c>
      <c r="AG12" s="232">
        <v>105.31656602129117</v>
      </c>
      <c r="AH12" s="232">
        <v>120.73149074876648</v>
      </c>
      <c r="AI12" s="232">
        <v>126.01869741259176</v>
      </c>
      <c r="AJ12" s="232">
        <v>123.55455981017052</v>
      </c>
      <c r="AK12" s="232">
        <v>108.1036294190982</v>
      </c>
      <c r="AL12" s="232">
        <v>86.599246835776441</v>
      </c>
      <c r="AM12" s="232">
        <v>63.534243770921236</v>
      </c>
      <c r="AN12" s="232">
        <v>37.643921290687153</v>
      </c>
    </row>
    <row r="13" spans="2:40" x14ac:dyDescent="0.35">
      <c r="B13" s="877" t="s">
        <v>1801</v>
      </c>
      <c r="P13" t="s">
        <v>1801</v>
      </c>
      <c r="S13" s="77">
        <f>Deflators!S65</f>
        <v>1.1700921610724198</v>
      </c>
      <c r="T13" s="77">
        <f>Deflators!T65</f>
        <v>1.1816953797963978</v>
      </c>
      <c r="U13" s="77">
        <f>Deflators!U65</f>
        <v>1.1930329508641051</v>
      </c>
      <c r="V13" s="77">
        <f>Deflators!V65</f>
        <v>1.2018426483730558</v>
      </c>
      <c r="W13" s="77">
        <f>Deflators!W65</f>
        <v>1.2099234936414858</v>
      </c>
      <c r="X13" s="77">
        <f>Deflators!X65</f>
        <v>1.2153872461161388</v>
      </c>
      <c r="Y13" s="77">
        <f>Deflators!Y65</f>
        <v>1.2261425049029808</v>
      </c>
      <c r="Z13" s="77">
        <f>Deflators!Z65</f>
        <v>1.2340158404957025</v>
      </c>
      <c r="AA13" s="77">
        <f>Deflators!AA65</f>
        <v>1.2392086998478269</v>
      </c>
      <c r="AB13" s="77">
        <f>Deflators!AB65</f>
        <v>1.2469471659038411</v>
      </c>
      <c r="AC13" s="77">
        <f>Deflators!AC65</f>
        <v>1.2575095743249032</v>
      </c>
      <c r="AD13" s="77">
        <f>Deflators!AD65</f>
        <v>1.2641541557975642</v>
      </c>
      <c r="AE13" s="77">
        <f>Deflators!AE65</f>
        <v>1.2727278214731963</v>
      </c>
      <c r="AF13" s="77">
        <f>Deflators!AF65</f>
        <v>1.2817174281897932</v>
      </c>
      <c r="AG13" s="77">
        <f>Deflators!AG65</f>
        <v>1.2910773068228831</v>
      </c>
      <c r="AH13" s="878">
        <f>Deflators!AH65</f>
        <v>1.2999528957206659</v>
      </c>
      <c r="AI13" s="878">
        <f>Deflators!AI65</f>
        <v>1.3084235824704034</v>
      </c>
      <c r="AJ13" s="878">
        <f>Deflators!AJ65</f>
        <v>1.3163659565417745</v>
      </c>
      <c r="AK13" s="878">
        <f>Deflators!AK65</f>
        <v>1.324100831631422</v>
      </c>
      <c r="AL13" s="878">
        <f>Deflators!AL65</f>
        <v>1.3316852298253947</v>
      </c>
      <c r="AM13" s="878">
        <f>Deflators!AM65</f>
        <v>1.3391575097994544</v>
      </c>
      <c r="AN13" s="878">
        <f>Deflators!AN65</f>
        <v>1.3465401266176333</v>
      </c>
    </row>
    <row r="14" spans="2:40" x14ac:dyDescent="0.35">
      <c r="B14" s="868" t="s">
        <v>1802</v>
      </c>
      <c r="P14" s="867" t="s">
        <v>1802</v>
      </c>
      <c r="S14" s="867">
        <f>S12*S13</f>
        <v>4.7396187820222657</v>
      </c>
      <c r="T14" s="867">
        <f t="shared" ref="T14:AI14" si="0">T12*T13</f>
        <v>7.9776986848321831</v>
      </c>
      <c r="U14" s="867">
        <f t="shared" si="0"/>
        <v>30.337634806589428</v>
      </c>
      <c r="V14" s="867">
        <f t="shared" si="0"/>
        <v>46.248170612828901</v>
      </c>
      <c r="W14" s="867">
        <f t="shared" si="0"/>
        <v>62.078840063520282</v>
      </c>
      <c r="X14" s="867">
        <f t="shared" si="0"/>
        <v>68.348937490687376</v>
      </c>
      <c r="Y14" s="867">
        <f t="shared" si="0"/>
        <v>78.086906866586943</v>
      </c>
      <c r="Z14" s="867">
        <f t="shared" si="0"/>
        <v>85.530751510599373</v>
      </c>
      <c r="AA14" s="867">
        <f t="shared" si="0"/>
        <v>79.752836528915708</v>
      </c>
      <c r="AB14" s="867">
        <f t="shared" si="0"/>
        <v>71.302302508947946</v>
      </c>
      <c r="AC14" s="867">
        <f t="shared" si="0"/>
        <v>64.005358868279401</v>
      </c>
      <c r="AD14" s="867">
        <f t="shared" si="0"/>
        <v>80.473541986575796</v>
      </c>
      <c r="AE14" s="867">
        <f>AE12*AE13</f>
        <v>98.524631049651035</v>
      </c>
      <c r="AF14" s="867">
        <f t="shared" si="0"/>
        <v>110.46937591911095</v>
      </c>
      <c r="AG14" s="867">
        <f>AG12*AG13</f>
        <v>135.97182842260295</v>
      </c>
      <c r="AH14" s="867">
        <f t="shared" si="0"/>
        <v>156.94525100353175</v>
      </c>
      <c r="AI14" s="867">
        <f t="shared" si="0"/>
        <v>164.88583552683707</v>
      </c>
      <c r="AJ14" s="867">
        <f>AJ12*AJ13</f>
        <v>162.64301630961299</v>
      </c>
      <c r="AK14" s="867">
        <f t="shared" ref="AK14:AN14" si="1">AK12*AK13</f>
        <v>143.14010561620299</v>
      </c>
      <c r="AL14" s="867">
        <f t="shared" si="1"/>
        <v>115.32293792520704</v>
      </c>
      <c r="AM14" s="867">
        <f t="shared" si="1"/>
        <v>85.082359675258374</v>
      </c>
      <c r="AN14" s="867">
        <f t="shared" si="1"/>
        <v>50.689050541146102</v>
      </c>
    </row>
    <row r="15" spans="2:40" x14ac:dyDescent="0.35">
      <c r="S15" s="232"/>
      <c r="T15" s="232"/>
      <c r="U15" s="232"/>
      <c r="V15" s="232"/>
      <c r="W15" s="232"/>
      <c r="X15" s="232"/>
      <c r="Y15" s="232"/>
      <c r="Z15" s="232"/>
      <c r="AA15" s="232"/>
      <c r="AB15" s="232"/>
      <c r="AC15" s="232"/>
      <c r="AD15" s="232"/>
      <c r="AE15" s="232"/>
      <c r="AF15" s="232"/>
      <c r="AG15" s="232"/>
      <c r="AH15" s="232"/>
      <c r="AI15" s="232"/>
      <c r="AJ15" s="232"/>
      <c r="AK15" s="232"/>
      <c r="AL15" s="232"/>
      <c r="AM15" s="232"/>
      <c r="AN15" s="232"/>
    </row>
    <row r="16" spans="2:40" x14ac:dyDescent="0.35">
      <c r="S16" s="232">
        <v>4.0506371546650453</v>
      </c>
      <c r="T16" s="232">
        <v>6.7510619244417409</v>
      </c>
      <c r="U16" s="232">
        <v>25.428999915397224</v>
      </c>
      <c r="V16" s="232">
        <v>38.481052969317929</v>
      </c>
      <c r="W16" s="232">
        <v>51.308070625757232</v>
      </c>
      <c r="X16" s="232">
        <v>56.236345830599703</v>
      </c>
      <c r="Y16" s="232">
        <v>63.685017487233758</v>
      </c>
      <c r="Z16" s="232">
        <v>69.310902424268548</v>
      </c>
      <c r="AA16" s="232">
        <v>64.357873325703125</v>
      </c>
      <c r="AB16" s="232">
        <v>57.18149450002155</v>
      </c>
      <c r="AC16" s="232">
        <v>59.094295378613374</v>
      </c>
      <c r="AD16" s="232">
        <v>70.233547553942245</v>
      </c>
      <c r="AE16" s="232">
        <v>81.462813888263668</v>
      </c>
      <c r="AF16" s="232">
        <v>86.188557235372897</v>
      </c>
      <c r="AG16" s="232">
        <v>105.31656602129117</v>
      </c>
      <c r="AH16" s="232">
        <v>120.73149074876648</v>
      </c>
      <c r="AI16" s="232">
        <v>126.01869741259176</v>
      </c>
      <c r="AJ16" s="232">
        <v>123.55455981017052</v>
      </c>
      <c r="AK16" s="232">
        <v>112.20152400723433</v>
      </c>
      <c r="AL16" s="232">
        <v>93.984908581115704</v>
      </c>
      <c r="AM16" s="232">
        <v>72.945224093593026</v>
      </c>
      <c r="AN16" s="232">
        <v>47.054901613358936</v>
      </c>
    </row>
    <row r="18" spans="2:40" x14ac:dyDescent="0.35">
      <c r="P18" t="s">
        <v>1901</v>
      </c>
      <c r="S18" s="877">
        <v>9.676624590017175</v>
      </c>
      <c r="T18" s="877">
        <v>9.6670597070816413</v>
      </c>
      <c r="U18" s="877">
        <v>29.968874069165178</v>
      </c>
      <c r="V18" s="877">
        <v>48.407564583050345</v>
      </c>
      <c r="W18" s="877">
        <v>68.860864510897471</v>
      </c>
      <c r="X18" s="877">
        <v>88.107434654608909</v>
      </c>
      <c r="Y18" s="877">
        <v>101.08174054588757</v>
      </c>
      <c r="Z18" s="877">
        <v>103.56513754278419</v>
      </c>
      <c r="AA18" s="877">
        <v>106.00637033635157</v>
      </c>
      <c r="AB18" s="877">
        <v>108.38917414017335</v>
      </c>
      <c r="AC18" s="877">
        <v>110.69246087615031</v>
      </c>
      <c r="AD18" s="877">
        <v>112.950351679587</v>
      </c>
      <c r="AE18" s="877">
        <v>115.16440141682602</v>
      </c>
      <c r="AF18" s="877">
        <v>117.3462460140392</v>
      </c>
      <c r="AG18" s="877">
        <v>118.525001293339</v>
      </c>
      <c r="AH18" s="621">
        <f>AG18</f>
        <v>118.525001293339</v>
      </c>
      <c r="AI18" s="621">
        <f t="shared" ref="AI18:AN18" si="2">AH18</f>
        <v>118.525001293339</v>
      </c>
      <c r="AJ18" s="621">
        <f t="shared" si="2"/>
        <v>118.525001293339</v>
      </c>
      <c r="AK18" s="621">
        <f t="shared" si="2"/>
        <v>118.525001293339</v>
      </c>
      <c r="AL18" s="621">
        <f t="shared" si="2"/>
        <v>118.525001293339</v>
      </c>
      <c r="AM18" s="621">
        <f t="shared" si="2"/>
        <v>118.525001293339</v>
      </c>
      <c r="AN18" s="621">
        <f t="shared" si="2"/>
        <v>118.525001293339</v>
      </c>
    </row>
    <row r="19" spans="2:40" x14ac:dyDescent="0.35">
      <c r="S19" s="232"/>
    </row>
    <row r="20" spans="2:40" x14ac:dyDescent="0.35">
      <c r="S20" s="232"/>
    </row>
    <row r="21" spans="2:40" x14ac:dyDescent="0.35">
      <c r="S21" s="232"/>
    </row>
    <row r="22" spans="2:40" x14ac:dyDescent="0.35">
      <c r="S22" s="232"/>
    </row>
    <row r="23" spans="2:40" x14ac:dyDescent="0.35">
      <c r="B23" s="745"/>
      <c r="C23" s="745"/>
      <c r="D23" s="745"/>
      <c r="E23" s="745"/>
      <c r="H23" s="745"/>
      <c r="I23" s="745"/>
      <c r="J23" s="745"/>
      <c r="K23" t="s">
        <v>1880</v>
      </c>
      <c r="S23" s="232"/>
    </row>
    <row r="24" spans="2:40" ht="29.15" customHeight="1" x14ac:dyDescent="0.35">
      <c r="B24" s="745"/>
      <c r="C24" s="869" t="s">
        <v>1881</v>
      </c>
      <c r="D24" s="745"/>
      <c r="E24" s="745"/>
      <c r="H24" s="745"/>
      <c r="I24" s="745"/>
      <c r="J24" s="745"/>
      <c r="K24" t="s">
        <v>1882</v>
      </c>
      <c r="S24" s="232"/>
    </row>
    <row r="25" spans="2:40" ht="29.15" customHeight="1" x14ac:dyDescent="0.35">
      <c r="B25" s="745"/>
      <c r="C25" s="869" t="s">
        <v>1883</v>
      </c>
      <c r="D25" s="1499" t="s">
        <v>1884</v>
      </c>
      <c r="E25" s="1499"/>
      <c r="F25" s="1499"/>
      <c r="G25" s="745"/>
      <c r="H25" s="745"/>
      <c r="I25" s="745"/>
      <c r="J25" s="745"/>
      <c r="S25" s="232"/>
    </row>
    <row r="26" spans="2:40" ht="72.650000000000006" customHeight="1" x14ac:dyDescent="0.35">
      <c r="B26" s="870">
        <v>44774</v>
      </c>
      <c r="C26" s="745">
        <v>9</v>
      </c>
      <c r="D26" s="745"/>
      <c r="E26" s="745"/>
      <c r="H26" s="745"/>
      <c r="I26" s="745"/>
      <c r="J26" s="869" t="s">
        <v>1885</v>
      </c>
      <c r="K26" s="24" t="s">
        <v>1886</v>
      </c>
      <c r="L26" s="24" t="s">
        <v>1887</v>
      </c>
      <c r="M26" s="24" t="s">
        <v>1888</v>
      </c>
      <c r="N26" s="869" t="s">
        <v>1889</v>
      </c>
      <c r="O26" s="869" t="s">
        <v>2018</v>
      </c>
      <c r="S26" s="232"/>
    </row>
    <row r="27" spans="2:40" x14ac:dyDescent="0.35">
      <c r="B27" s="870">
        <f>B26+31</f>
        <v>44805</v>
      </c>
      <c r="C27" s="745">
        <v>9</v>
      </c>
      <c r="D27" s="745">
        <v>2022</v>
      </c>
      <c r="E27" s="745" t="s">
        <v>297</v>
      </c>
      <c r="F27">
        <f>SUM(C26:C27)/3</f>
        <v>6</v>
      </c>
      <c r="H27" s="745">
        <v>2022</v>
      </c>
      <c r="I27" s="745" t="s">
        <v>297</v>
      </c>
      <c r="J27" s="232">
        <v>6</v>
      </c>
      <c r="K27" s="232"/>
      <c r="L27" s="232"/>
      <c r="M27" s="232">
        <f>K27+J27</f>
        <v>6</v>
      </c>
      <c r="N27" s="232">
        <f>M27*F$81</f>
        <v>4.0506371546650453</v>
      </c>
      <c r="O27" s="232">
        <v>6</v>
      </c>
      <c r="S27" s="232"/>
    </row>
    <row r="28" spans="2:40" x14ac:dyDescent="0.35">
      <c r="B28" s="870">
        <f t="shared" ref="B28:B57" si="3">B27+31</f>
        <v>44836</v>
      </c>
      <c r="C28" s="745">
        <v>10</v>
      </c>
      <c r="D28" s="745"/>
      <c r="E28" s="745"/>
      <c r="H28" s="745">
        <v>2022</v>
      </c>
      <c r="I28" s="745" t="s">
        <v>739</v>
      </c>
      <c r="J28" s="232">
        <v>10</v>
      </c>
      <c r="K28" s="232"/>
      <c r="L28" s="232"/>
      <c r="M28" s="232">
        <f t="shared" ref="M28:M48" si="4">K28+J28</f>
        <v>10</v>
      </c>
      <c r="N28" s="232">
        <f t="shared" ref="N28:N48" si="5">M28*F$81</f>
        <v>6.7510619244417409</v>
      </c>
      <c r="O28" s="232">
        <v>10</v>
      </c>
      <c r="S28" s="232"/>
    </row>
    <row r="29" spans="2:40" x14ac:dyDescent="0.35">
      <c r="B29" s="870">
        <f t="shared" si="3"/>
        <v>44867</v>
      </c>
      <c r="C29" s="745">
        <v>10</v>
      </c>
      <c r="D29" s="745"/>
      <c r="E29" s="745"/>
      <c r="H29" s="745">
        <v>2023</v>
      </c>
      <c r="I29" s="745" t="s">
        <v>228</v>
      </c>
      <c r="J29" s="232">
        <v>37.666666666666664</v>
      </c>
      <c r="K29" s="232"/>
      <c r="L29" s="232"/>
      <c r="M29" s="232">
        <f t="shared" si="4"/>
        <v>37.666666666666664</v>
      </c>
      <c r="N29" s="232">
        <f t="shared" si="5"/>
        <v>25.428999915397224</v>
      </c>
      <c r="O29" s="232">
        <v>37.666666666666664</v>
      </c>
      <c r="S29" s="232"/>
    </row>
    <row r="30" spans="2:40" x14ac:dyDescent="0.35">
      <c r="B30" s="870">
        <f t="shared" si="3"/>
        <v>44898</v>
      </c>
      <c r="C30" s="745">
        <v>10</v>
      </c>
      <c r="D30" s="745">
        <v>2022</v>
      </c>
      <c r="E30" s="745" t="s">
        <v>739</v>
      </c>
      <c r="F30">
        <f>AVERAGE(C28:C30)</f>
        <v>10</v>
      </c>
      <c r="H30" s="745">
        <v>2023</v>
      </c>
      <c r="I30" s="745" t="s">
        <v>229</v>
      </c>
      <c r="J30" s="232">
        <v>57</v>
      </c>
      <c r="K30" s="232"/>
      <c r="L30" s="232"/>
      <c r="M30" s="232">
        <f t="shared" si="4"/>
        <v>57</v>
      </c>
      <c r="N30" s="232">
        <f t="shared" si="5"/>
        <v>38.481052969317929</v>
      </c>
      <c r="O30" s="232">
        <v>57</v>
      </c>
      <c r="S30" s="232"/>
    </row>
    <row r="31" spans="2:40" x14ac:dyDescent="0.35">
      <c r="B31" s="870">
        <f t="shared" si="3"/>
        <v>44929</v>
      </c>
      <c r="C31" s="745">
        <v>34</v>
      </c>
      <c r="D31" s="745"/>
      <c r="E31" s="745"/>
      <c r="H31" s="745">
        <v>2023</v>
      </c>
      <c r="I31" s="745" t="s">
        <v>297</v>
      </c>
      <c r="J31" s="232">
        <v>76.666666666666671</v>
      </c>
      <c r="K31" s="232"/>
      <c r="L31" s="232"/>
      <c r="M31" s="232">
        <v>76</v>
      </c>
      <c r="N31" s="232">
        <f t="shared" si="5"/>
        <v>51.308070625757232</v>
      </c>
      <c r="O31" s="232">
        <v>76.666666666666671</v>
      </c>
      <c r="S31" s="232"/>
    </row>
    <row r="32" spans="2:40" x14ac:dyDescent="0.35">
      <c r="B32" s="870">
        <f t="shared" si="3"/>
        <v>44960</v>
      </c>
      <c r="C32" s="745">
        <v>35</v>
      </c>
      <c r="D32" s="745"/>
      <c r="E32" s="745"/>
      <c r="H32" s="745">
        <v>2023</v>
      </c>
      <c r="I32" s="745" t="s">
        <v>739</v>
      </c>
      <c r="J32" s="232">
        <v>84</v>
      </c>
      <c r="K32" s="232"/>
      <c r="L32" s="232"/>
      <c r="M32" s="232">
        <v>83.3</v>
      </c>
      <c r="N32" s="232">
        <f t="shared" si="5"/>
        <v>56.236345830599703</v>
      </c>
      <c r="O32" s="232">
        <v>84</v>
      </c>
      <c r="S32" s="232"/>
    </row>
    <row r="33" spans="2:19" x14ac:dyDescent="0.35">
      <c r="B33" s="870">
        <f t="shared" si="3"/>
        <v>44991</v>
      </c>
      <c r="C33" s="745">
        <v>44</v>
      </c>
      <c r="D33" s="745">
        <v>2023</v>
      </c>
      <c r="E33" s="745" t="s">
        <v>228</v>
      </c>
      <c r="F33">
        <f>AVERAGE(C31:C33)</f>
        <v>37.666666666666664</v>
      </c>
      <c r="H33" s="745">
        <v>2024</v>
      </c>
      <c r="I33" s="745" t="s">
        <v>228</v>
      </c>
      <c r="J33" s="232">
        <v>94.333333333333329</v>
      </c>
      <c r="K33" s="232"/>
      <c r="L33" s="232"/>
      <c r="M33" s="232">
        <f t="shared" si="4"/>
        <v>94.333333333333329</v>
      </c>
      <c r="N33" s="232">
        <f t="shared" si="5"/>
        <v>63.685017487233758</v>
      </c>
      <c r="O33" s="232">
        <v>94.333333333333329</v>
      </c>
      <c r="P33" t="s">
        <v>1900</v>
      </c>
      <c r="S33" s="232"/>
    </row>
    <row r="34" spans="2:19" x14ac:dyDescent="0.35">
      <c r="B34" s="870">
        <f t="shared" si="3"/>
        <v>45022</v>
      </c>
      <c r="C34" s="745">
        <v>49</v>
      </c>
      <c r="D34" s="745"/>
      <c r="E34" s="745"/>
      <c r="H34" s="745">
        <v>2024</v>
      </c>
      <c r="I34" s="745" t="s">
        <v>229</v>
      </c>
      <c r="J34" s="232">
        <v>102.66666666666667</v>
      </c>
      <c r="K34" s="232"/>
      <c r="L34" s="232"/>
      <c r="M34" s="232">
        <f t="shared" si="4"/>
        <v>102.66666666666667</v>
      </c>
      <c r="N34" s="232">
        <f t="shared" si="5"/>
        <v>69.310902424268548</v>
      </c>
      <c r="O34" s="232">
        <v>102.66666666666667</v>
      </c>
      <c r="S34" s="232"/>
    </row>
    <row r="35" spans="2:19" x14ac:dyDescent="0.35">
      <c r="B35" s="870">
        <f t="shared" si="3"/>
        <v>45053</v>
      </c>
      <c r="C35" s="745">
        <v>58</v>
      </c>
      <c r="D35" s="745"/>
      <c r="E35" s="745"/>
      <c r="H35" s="745">
        <v>2024</v>
      </c>
      <c r="I35" s="745" t="s">
        <v>297</v>
      </c>
      <c r="J35" s="232">
        <v>92.33</v>
      </c>
      <c r="K35" s="232">
        <f>(+J27)*0.5</f>
        <v>3</v>
      </c>
      <c r="L35" s="232">
        <f>K35</f>
        <v>3</v>
      </c>
      <c r="M35" s="232">
        <f t="shared" si="4"/>
        <v>95.33</v>
      </c>
      <c r="N35" s="232">
        <f t="shared" si="5"/>
        <v>64.357873325703125</v>
      </c>
      <c r="O35" s="232">
        <v>92.33</v>
      </c>
      <c r="S35" s="232"/>
    </row>
    <row r="36" spans="2:19" x14ac:dyDescent="0.35">
      <c r="B36" s="870">
        <f t="shared" si="3"/>
        <v>45084</v>
      </c>
      <c r="C36" s="745">
        <v>64</v>
      </c>
      <c r="D36" s="745">
        <v>2023</v>
      </c>
      <c r="E36" s="745" t="s">
        <v>229</v>
      </c>
      <c r="F36">
        <f>AVERAGE(C34:C36)</f>
        <v>57</v>
      </c>
      <c r="H36" s="745">
        <v>2024</v>
      </c>
      <c r="I36" s="745" t="s">
        <v>739</v>
      </c>
      <c r="J36" s="232">
        <v>76.7</v>
      </c>
      <c r="K36" s="232">
        <f>(J27+J28)*0.5</f>
        <v>8</v>
      </c>
      <c r="L36" s="232">
        <f>K36</f>
        <v>8</v>
      </c>
      <c r="M36" s="232">
        <f t="shared" si="4"/>
        <v>84.7</v>
      </c>
      <c r="N36" s="232">
        <f t="shared" si="5"/>
        <v>57.18149450002155</v>
      </c>
      <c r="O36" s="232">
        <v>76.7</v>
      </c>
      <c r="S36" s="232"/>
    </row>
    <row r="37" spans="2:19" x14ac:dyDescent="0.35">
      <c r="B37" s="870">
        <f t="shared" si="3"/>
        <v>45115</v>
      </c>
      <c r="C37" s="745">
        <v>72</v>
      </c>
      <c r="D37" s="745"/>
      <c r="E37" s="745"/>
      <c r="H37" s="745">
        <v>2025</v>
      </c>
      <c r="I37" s="745" t="s">
        <v>228</v>
      </c>
      <c r="J37" s="232">
        <f>O37*0.8</f>
        <v>48.56</v>
      </c>
      <c r="K37" s="232">
        <f>(J27+J28+J29)*0.5</f>
        <v>26.833333333333332</v>
      </c>
      <c r="L37" s="232">
        <f>K37-10</f>
        <v>16.833333333333332</v>
      </c>
      <c r="M37" s="232">
        <f t="shared" si="4"/>
        <v>75.393333333333331</v>
      </c>
      <c r="N37" s="232">
        <f t="shared" si="5"/>
        <v>50.898506202341103</v>
      </c>
      <c r="O37" s="232">
        <v>60.7</v>
      </c>
    </row>
    <row r="38" spans="2:19" x14ac:dyDescent="0.35">
      <c r="B38" s="870">
        <f t="shared" si="3"/>
        <v>45146</v>
      </c>
      <c r="C38" s="745">
        <v>76</v>
      </c>
      <c r="D38" s="745"/>
      <c r="E38" s="745"/>
      <c r="H38" s="745">
        <v>2025</v>
      </c>
      <c r="I38" s="745" t="s">
        <v>229</v>
      </c>
      <c r="J38" s="232">
        <f t="shared" ref="J38:J42" si="6">O38*0.8</f>
        <v>38.960000000000008</v>
      </c>
      <c r="K38" s="232">
        <f t="shared" ref="K38:K50" si="7">(J27+J28+J29+J30)*0.5</f>
        <v>55.333333333333329</v>
      </c>
      <c r="L38" s="232">
        <f>K38-15</f>
        <v>40.333333333333329</v>
      </c>
      <c r="M38" s="232">
        <f t="shared" si="4"/>
        <v>94.293333333333337</v>
      </c>
      <c r="N38" s="232">
        <f t="shared" si="5"/>
        <v>63.658013239535997</v>
      </c>
      <c r="O38" s="232">
        <v>48.7</v>
      </c>
    </row>
    <row r="39" spans="2:19" x14ac:dyDescent="0.35">
      <c r="B39" s="870">
        <f t="shared" si="3"/>
        <v>45177</v>
      </c>
      <c r="C39" s="745">
        <v>80</v>
      </c>
      <c r="D39" s="745">
        <v>2023</v>
      </c>
      <c r="E39" s="745" t="s">
        <v>297</v>
      </c>
      <c r="F39">
        <f>AVERAGE(C37:C39)</f>
        <v>76</v>
      </c>
      <c r="H39" s="745">
        <v>2025</v>
      </c>
      <c r="I39" s="745" t="s">
        <v>297</v>
      </c>
      <c r="J39" s="232">
        <f t="shared" si="6"/>
        <v>24</v>
      </c>
      <c r="K39" s="232">
        <f t="shared" si="7"/>
        <v>90.666666666666657</v>
      </c>
      <c r="L39" s="232">
        <f>K39</f>
        <v>90.666666666666657</v>
      </c>
      <c r="M39" s="232">
        <f t="shared" si="4"/>
        <v>114.66666666666666</v>
      </c>
      <c r="N39" s="232">
        <f t="shared" si="5"/>
        <v>77.412176733598628</v>
      </c>
      <c r="O39" s="232">
        <v>30</v>
      </c>
    </row>
    <row r="40" spans="2:19" x14ac:dyDescent="0.35">
      <c r="B40" s="870">
        <f t="shared" si="3"/>
        <v>45208</v>
      </c>
      <c r="C40" s="745">
        <v>82</v>
      </c>
      <c r="D40" s="745"/>
      <c r="E40" s="745"/>
      <c r="H40" s="745">
        <v>2025</v>
      </c>
      <c r="I40" s="745" t="s">
        <v>739</v>
      </c>
      <c r="J40" s="232">
        <f t="shared" si="6"/>
        <v>0</v>
      </c>
      <c r="K40" s="232">
        <f t="shared" si="7"/>
        <v>127.66666666666666</v>
      </c>
      <c r="L40" s="232">
        <f>K40+15</f>
        <v>142.66666666666666</v>
      </c>
      <c r="M40" s="232">
        <f t="shared" si="4"/>
        <v>127.66666666666666</v>
      </c>
      <c r="N40" s="232">
        <f t="shared" si="5"/>
        <v>86.188557235372897</v>
      </c>
      <c r="O40" s="232">
        <v>0</v>
      </c>
    </row>
    <row r="41" spans="2:19" x14ac:dyDescent="0.35">
      <c r="B41" s="870">
        <f t="shared" si="3"/>
        <v>45239</v>
      </c>
      <c r="C41" s="745">
        <v>82</v>
      </c>
      <c r="D41" s="745"/>
      <c r="E41" s="745"/>
      <c r="H41" s="745">
        <v>2026</v>
      </c>
      <c r="I41" s="745" t="s">
        <v>228</v>
      </c>
      <c r="J41" s="232">
        <f t="shared" si="6"/>
        <v>0</v>
      </c>
      <c r="K41" s="232">
        <f t="shared" si="7"/>
        <v>156</v>
      </c>
      <c r="L41" s="232">
        <f>K41+10</f>
        <v>166</v>
      </c>
      <c r="M41" s="232">
        <f t="shared" si="4"/>
        <v>156</v>
      </c>
      <c r="N41" s="232">
        <f t="shared" si="5"/>
        <v>105.31656602129117</v>
      </c>
      <c r="O41" s="232">
        <v>0</v>
      </c>
    </row>
    <row r="42" spans="2:19" x14ac:dyDescent="0.35">
      <c r="B42" s="870">
        <f t="shared" si="3"/>
        <v>45270</v>
      </c>
      <c r="C42" s="745">
        <v>86</v>
      </c>
      <c r="D42" s="745">
        <v>2023</v>
      </c>
      <c r="E42" s="745" t="s">
        <v>739</v>
      </c>
      <c r="F42">
        <f>AVERAGE(C40:C42)</f>
        <v>83.333333333333329</v>
      </c>
      <c r="H42" s="745">
        <v>2026</v>
      </c>
      <c r="I42" s="745" t="s">
        <v>229</v>
      </c>
      <c r="J42" s="232">
        <f t="shared" si="6"/>
        <v>0</v>
      </c>
      <c r="K42" s="232">
        <f t="shared" si="7"/>
        <v>178.83333333333334</v>
      </c>
      <c r="L42" s="232">
        <f>K42</f>
        <v>178.83333333333334</v>
      </c>
      <c r="M42" s="232">
        <f t="shared" si="4"/>
        <v>178.83333333333334</v>
      </c>
      <c r="N42" s="232">
        <f t="shared" si="5"/>
        <v>120.73149074876648</v>
      </c>
      <c r="O42" s="232">
        <v>0</v>
      </c>
    </row>
    <row r="43" spans="2:19" x14ac:dyDescent="0.35">
      <c r="B43" s="870">
        <f t="shared" si="3"/>
        <v>45301</v>
      </c>
      <c r="C43" s="745">
        <v>90</v>
      </c>
      <c r="D43" s="745"/>
      <c r="E43" s="745"/>
      <c r="H43" s="745">
        <v>2026</v>
      </c>
      <c r="I43" s="745" t="s">
        <v>297</v>
      </c>
      <c r="J43" s="232"/>
      <c r="K43" s="232">
        <f t="shared" si="7"/>
        <v>186.66499999999999</v>
      </c>
      <c r="L43" s="232">
        <f t="shared" ref="L43:L51" si="8">K43</f>
        <v>186.66499999999999</v>
      </c>
      <c r="M43" s="232">
        <f t="shared" si="4"/>
        <v>186.66499999999999</v>
      </c>
      <c r="N43" s="232">
        <f t="shared" si="5"/>
        <v>126.01869741259176</v>
      </c>
      <c r="O43" s="232"/>
    </row>
    <row r="44" spans="2:19" x14ac:dyDescent="0.35">
      <c r="B44" s="870">
        <f t="shared" si="3"/>
        <v>45332</v>
      </c>
      <c r="C44" s="745">
        <v>95</v>
      </c>
      <c r="D44" s="745"/>
      <c r="E44" s="745"/>
      <c r="H44" s="745">
        <v>2026</v>
      </c>
      <c r="I44" s="745" t="s">
        <v>739</v>
      </c>
      <c r="J44" s="232"/>
      <c r="K44" s="232">
        <f>(J33+J34+J35+J36)*0.5</f>
        <v>183.01499999999999</v>
      </c>
      <c r="L44" s="232">
        <f t="shared" si="8"/>
        <v>183.01499999999999</v>
      </c>
      <c r="M44" s="232">
        <f t="shared" si="4"/>
        <v>183.01499999999999</v>
      </c>
      <c r="N44" s="232">
        <f t="shared" si="5"/>
        <v>123.55455981017052</v>
      </c>
      <c r="O44" s="232"/>
    </row>
    <row r="45" spans="2:19" x14ac:dyDescent="0.35">
      <c r="B45" s="870">
        <f t="shared" si="3"/>
        <v>45363</v>
      </c>
      <c r="C45" s="745">
        <v>98</v>
      </c>
      <c r="D45" s="745">
        <v>2024</v>
      </c>
      <c r="E45" s="745" t="s">
        <v>228</v>
      </c>
      <c r="F45">
        <f>AVERAGE(C43:C45)</f>
        <v>94.333333333333329</v>
      </c>
      <c r="H45" s="745">
        <v>2027</v>
      </c>
      <c r="I45" s="745" t="s">
        <v>228</v>
      </c>
      <c r="J45" s="232"/>
      <c r="K45" s="232">
        <f t="shared" si="7"/>
        <v>160.12833333333333</v>
      </c>
      <c r="L45" s="232">
        <f t="shared" si="8"/>
        <v>160.12833333333333</v>
      </c>
      <c r="M45" s="232">
        <f t="shared" si="4"/>
        <v>160.12833333333333</v>
      </c>
      <c r="N45" s="232">
        <f t="shared" si="5"/>
        <v>108.1036294190982</v>
      </c>
      <c r="O45" s="232"/>
    </row>
    <row r="46" spans="2:19" x14ac:dyDescent="0.35">
      <c r="B46" s="870">
        <f t="shared" si="3"/>
        <v>45394</v>
      </c>
      <c r="C46" s="745">
        <v>98</v>
      </c>
      <c r="D46" s="745"/>
      <c r="E46" s="745"/>
      <c r="H46" s="745">
        <v>2027</v>
      </c>
      <c r="I46" s="745" t="s">
        <v>229</v>
      </c>
      <c r="J46" s="232"/>
      <c r="K46" s="232">
        <f t="shared" si="7"/>
        <v>128.27500000000001</v>
      </c>
      <c r="L46" s="232">
        <f t="shared" si="8"/>
        <v>128.27500000000001</v>
      </c>
      <c r="M46" s="232">
        <f t="shared" si="4"/>
        <v>128.27500000000001</v>
      </c>
      <c r="N46" s="232">
        <f t="shared" si="5"/>
        <v>86.599246835776441</v>
      </c>
      <c r="O46" s="232"/>
    </row>
    <row r="47" spans="2:19" x14ac:dyDescent="0.35">
      <c r="B47" s="870">
        <f t="shared" si="3"/>
        <v>45425</v>
      </c>
      <c r="C47" s="745">
        <v>104</v>
      </c>
      <c r="D47" s="745"/>
      <c r="E47" s="745"/>
      <c r="H47" s="745">
        <v>2027</v>
      </c>
      <c r="I47" s="745" t="s">
        <v>297</v>
      </c>
      <c r="J47" s="232"/>
      <c r="K47" s="232">
        <f t="shared" si="7"/>
        <v>94.110000000000014</v>
      </c>
      <c r="L47" s="232">
        <f t="shared" si="8"/>
        <v>94.110000000000014</v>
      </c>
      <c r="M47" s="232">
        <f t="shared" si="4"/>
        <v>94.110000000000014</v>
      </c>
      <c r="N47" s="232">
        <f t="shared" si="5"/>
        <v>63.534243770921236</v>
      </c>
      <c r="O47" s="232"/>
    </row>
    <row r="48" spans="2:19" x14ac:dyDescent="0.35">
      <c r="B48" s="870">
        <f t="shared" si="3"/>
        <v>45456</v>
      </c>
      <c r="C48" s="745">
        <v>106</v>
      </c>
      <c r="D48" s="745">
        <v>2024</v>
      </c>
      <c r="E48" s="745" t="s">
        <v>229</v>
      </c>
      <c r="F48">
        <f>AVERAGE(C46:C48)</f>
        <v>102.66666666666667</v>
      </c>
      <c r="H48" s="745">
        <v>2027</v>
      </c>
      <c r="I48" s="745" t="s">
        <v>739</v>
      </c>
      <c r="J48" s="232"/>
      <c r="K48" s="232">
        <f t="shared" si="7"/>
        <v>55.760000000000005</v>
      </c>
      <c r="L48" s="232">
        <f t="shared" si="8"/>
        <v>55.760000000000005</v>
      </c>
      <c r="M48" s="232">
        <f t="shared" si="4"/>
        <v>55.760000000000005</v>
      </c>
      <c r="N48" s="232">
        <f t="shared" si="5"/>
        <v>37.643921290687153</v>
      </c>
      <c r="O48" s="232"/>
    </row>
    <row r="49" spans="2:15" x14ac:dyDescent="0.35">
      <c r="B49" s="870">
        <f t="shared" si="3"/>
        <v>45487</v>
      </c>
      <c r="C49" s="745">
        <v>96</v>
      </c>
      <c r="D49" s="745"/>
      <c r="E49" s="745"/>
      <c r="H49" s="745" t="s">
        <v>289</v>
      </c>
      <c r="I49" s="745" t="s">
        <v>289</v>
      </c>
      <c r="J49" s="745"/>
      <c r="K49" s="232">
        <f t="shared" si="7"/>
        <v>31.480000000000004</v>
      </c>
      <c r="L49" s="232">
        <f t="shared" si="8"/>
        <v>31.480000000000004</v>
      </c>
      <c r="M49" s="232"/>
      <c r="N49" s="232"/>
      <c r="O49" s="745"/>
    </row>
    <row r="50" spans="2:15" x14ac:dyDescent="0.35">
      <c r="B50" s="870">
        <f t="shared" si="3"/>
        <v>45518</v>
      </c>
      <c r="C50" s="745">
        <v>93</v>
      </c>
      <c r="D50" s="745"/>
      <c r="E50" s="745"/>
      <c r="H50" s="745" t="s">
        <v>289</v>
      </c>
      <c r="I50" s="745" t="s">
        <v>289</v>
      </c>
      <c r="J50" s="745"/>
      <c r="K50" s="232">
        <f t="shared" si="7"/>
        <v>12</v>
      </c>
      <c r="L50" s="232">
        <f t="shared" si="8"/>
        <v>12</v>
      </c>
      <c r="M50" s="232"/>
      <c r="N50" s="232"/>
      <c r="O50" s="745"/>
    </row>
    <row r="51" spans="2:15" x14ac:dyDescent="0.35">
      <c r="B51" s="870">
        <f t="shared" si="3"/>
        <v>45549</v>
      </c>
      <c r="C51" s="745">
        <v>88</v>
      </c>
      <c r="D51" s="745">
        <v>2024</v>
      </c>
      <c r="E51" s="745" t="s">
        <v>297</v>
      </c>
      <c r="F51">
        <f>AVERAGE(C49:C51)</f>
        <v>92.333333333333329</v>
      </c>
      <c r="H51" s="745" t="s">
        <v>289</v>
      </c>
      <c r="I51" s="745" t="s">
        <v>289</v>
      </c>
      <c r="J51" s="745"/>
      <c r="K51" s="232">
        <f t="shared" ref="K51" si="9">J41+J42+J43</f>
        <v>0</v>
      </c>
      <c r="L51" s="232">
        <f t="shared" si="8"/>
        <v>0</v>
      </c>
      <c r="M51" s="232"/>
      <c r="N51" s="232"/>
      <c r="O51" s="745"/>
    </row>
    <row r="52" spans="2:15" x14ac:dyDescent="0.35">
      <c r="B52" s="870">
        <f t="shared" si="3"/>
        <v>45580</v>
      </c>
      <c r="C52" s="745">
        <v>80</v>
      </c>
      <c r="D52" s="745"/>
      <c r="E52" s="745"/>
      <c r="H52" s="745" t="s">
        <v>289</v>
      </c>
      <c r="I52" s="745" t="s">
        <v>289</v>
      </c>
      <c r="J52" s="745">
        <f>SUM(J27:J51)</f>
        <v>748.88333333333344</v>
      </c>
      <c r="K52">
        <f>SUM(K27:K51)</f>
        <v>1497.7666666666667</v>
      </c>
      <c r="L52">
        <f>SUM(L27:L51)</f>
        <v>1497.7666666666667</v>
      </c>
      <c r="O52" s="745">
        <f>SUM(O27:O51)</f>
        <v>776.76333333333343</v>
      </c>
    </row>
    <row r="53" spans="2:15" x14ac:dyDescent="0.35">
      <c r="B53" s="870">
        <f t="shared" si="3"/>
        <v>45611</v>
      </c>
      <c r="C53" s="745">
        <v>76</v>
      </c>
      <c r="D53" s="745"/>
      <c r="E53" s="745"/>
      <c r="H53" s="745"/>
      <c r="I53" s="745"/>
      <c r="J53" s="745"/>
    </row>
    <row r="54" spans="2:15" x14ac:dyDescent="0.35">
      <c r="B54" s="870">
        <f t="shared" si="3"/>
        <v>45642</v>
      </c>
      <c r="C54" s="745">
        <v>74</v>
      </c>
      <c r="D54" s="745">
        <v>2024</v>
      </c>
      <c r="E54" s="745" t="s">
        <v>739</v>
      </c>
      <c r="F54">
        <f>AVERAGE(C52:C54)</f>
        <v>76.666666666666671</v>
      </c>
      <c r="H54" s="745"/>
      <c r="I54" s="745"/>
      <c r="J54" s="745"/>
    </row>
    <row r="55" spans="2:15" x14ac:dyDescent="0.35">
      <c r="B55" s="870">
        <f t="shared" si="3"/>
        <v>45673</v>
      </c>
      <c r="C55" s="745">
        <v>66</v>
      </c>
      <c r="D55" s="745"/>
      <c r="E55" s="745"/>
      <c r="H55" s="745"/>
      <c r="I55" s="745"/>
      <c r="J55" s="745"/>
    </row>
    <row r="56" spans="2:15" x14ac:dyDescent="0.35">
      <c r="B56" s="870">
        <f t="shared" si="3"/>
        <v>45704</v>
      </c>
      <c r="C56" s="745">
        <v>58</v>
      </c>
      <c r="D56" s="745"/>
      <c r="E56" s="745"/>
      <c r="H56" s="745"/>
      <c r="I56" s="745"/>
      <c r="J56" s="745"/>
    </row>
    <row r="57" spans="2:15" x14ac:dyDescent="0.35">
      <c r="B57" s="870">
        <f t="shared" si="3"/>
        <v>45735</v>
      </c>
      <c r="C57" s="745">
        <v>58</v>
      </c>
      <c r="D57" s="745">
        <v>2025</v>
      </c>
      <c r="E57" s="745" t="s">
        <v>228</v>
      </c>
      <c r="F57">
        <f>AVERAGE(C55:C57)</f>
        <v>60.666666666666664</v>
      </c>
      <c r="H57" s="745"/>
      <c r="I57" s="745"/>
      <c r="J57" s="745"/>
    </row>
    <row r="58" spans="2:15" x14ac:dyDescent="0.35">
      <c r="B58" s="870"/>
      <c r="C58" s="871">
        <v>50</v>
      </c>
      <c r="D58" s="745"/>
      <c r="E58" s="745"/>
      <c r="H58" s="745"/>
      <c r="I58" s="745"/>
      <c r="J58" s="745"/>
    </row>
    <row r="59" spans="2:15" x14ac:dyDescent="0.35">
      <c r="B59" s="870"/>
      <c r="C59" s="871">
        <v>48</v>
      </c>
      <c r="D59" s="745"/>
      <c r="E59" s="745"/>
      <c r="H59" s="745"/>
      <c r="I59" s="745"/>
      <c r="J59" s="745"/>
    </row>
    <row r="60" spans="2:15" x14ac:dyDescent="0.35">
      <c r="B60" s="745"/>
      <c r="C60" s="871">
        <v>48</v>
      </c>
      <c r="D60" s="745">
        <v>2025</v>
      </c>
      <c r="E60" s="745" t="s">
        <v>229</v>
      </c>
      <c r="F60">
        <f>AVERAGE(C58:C60)</f>
        <v>48.666666666666664</v>
      </c>
      <c r="H60" s="745"/>
      <c r="I60" s="745"/>
      <c r="J60" s="745"/>
    </row>
    <row r="61" spans="2:15" x14ac:dyDescent="0.35">
      <c r="B61" s="745"/>
      <c r="C61" s="745">
        <v>40</v>
      </c>
      <c r="D61" s="745"/>
      <c r="E61" s="745"/>
      <c r="H61" s="745"/>
      <c r="I61" s="745"/>
      <c r="J61" s="745"/>
    </row>
    <row r="62" spans="2:15" x14ac:dyDescent="0.35">
      <c r="B62" s="745"/>
      <c r="C62" s="871">
        <v>30</v>
      </c>
      <c r="D62" s="745"/>
      <c r="E62" s="745"/>
      <c r="H62" s="745"/>
      <c r="I62" s="745"/>
      <c r="J62" s="745"/>
    </row>
    <row r="63" spans="2:15" x14ac:dyDescent="0.35">
      <c r="B63" s="745"/>
      <c r="C63" s="871">
        <v>20</v>
      </c>
      <c r="D63" s="745"/>
      <c r="E63" s="745"/>
      <c r="F63">
        <f>AVERAGE(C61:C63)</f>
        <v>30</v>
      </c>
      <c r="H63" s="745"/>
      <c r="I63" s="745"/>
      <c r="J63" s="745"/>
    </row>
    <row r="64" spans="2:15" x14ac:dyDescent="0.35">
      <c r="B64" s="745"/>
      <c r="C64" s="745"/>
      <c r="D64" s="745"/>
      <c r="E64" s="745"/>
      <c r="H64" s="745"/>
      <c r="I64" s="745"/>
      <c r="J64" s="745"/>
    </row>
    <row r="65" spans="2:10" x14ac:dyDescent="0.35">
      <c r="B65" s="745"/>
      <c r="C65" s="869"/>
      <c r="D65" s="872"/>
      <c r="E65" s="869"/>
      <c r="H65" s="745"/>
      <c r="I65" s="745"/>
      <c r="J65" s="745"/>
    </row>
    <row r="66" spans="2:10" x14ac:dyDescent="0.35">
      <c r="B66" s="745"/>
      <c r="C66" s="745"/>
      <c r="D66" s="745"/>
      <c r="E66" s="745"/>
      <c r="F66" t="e">
        <f>AVERAGE(C64:C66)</f>
        <v>#DIV/0!</v>
      </c>
      <c r="H66" s="745"/>
      <c r="I66" s="745"/>
      <c r="J66" s="745"/>
    </row>
    <row r="67" spans="2:10" x14ac:dyDescent="0.35">
      <c r="B67" s="745"/>
      <c r="C67" s="745"/>
      <c r="D67" s="284"/>
      <c r="E67" s="745"/>
      <c r="H67" s="745"/>
      <c r="I67" s="745"/>
      <c r="J67" s="745"/>
    </row>
    <row r="68" spans="2:10" x14ac:dyDescent="0.35">
      <c r="B68" s="745"/>
      <c r="C68" s="745"/>
      <c r="D68" s="284"/>
      <c r="E68" s="284"/>
      <c r="H68" s="745"/>
      <c r="I68" s="745"/>
      <c r="J68" s="745"/>
    </row>
    <row r="69" spans="2:10" x14ac:dyDescent="0.35">
      <c r="B69" s="873"/>
      <c r="C69" s="874"/>
      <c r="D69" s="875"/>
      <c r="E69" s="745"/>
      <c r="H69" s="745"/>
      <c r="I69" s="745"/>
      <c r="J69" s="745"/>
    </row>
    <row r="70" spans="2:10" x14ac:dyDescent="0.35">
      <c r="B70" s="284" t="s">
        <v>1890</v>
      </c>
      <c r="C70" s="284"/>
      <c r="D70" s="875"/>
      <c r="E70" s="745"/>
      <c r="H70" s="745"/>
      <c r="I70" s="745"/>
      <c r="J70" s="745"/>
    </row>
    <row r="71" spans="2:10" x14ac:dyDescent="0.35">
      <c r="B71" s="284" t="s">
        <v>1891</v>
      </c>
      <c r="C71" s="284"/>
      <c r="D71" s="875"/>
      <c r="E71" s="745"/>
      <c r="H71" s="745"/>
      <c r="I71" s="745"/>
      <c r="J71" s="745"/>
    </row>
    <row r="72" spans="2:10" x14ac:dyDescent="0.35">
      <c r="B72" s="284" t="s">
        <v>1892</v>
      </c>
      <c r="C72" s="284"/>
      <c r="D72" s="875"/>
      <c r="E72" s="745"/>
      <c r="H72" s="745"/>
      <c r="I72" s="745"/>
      <c r="J72" s="745"/>
    </row>
    <row r="73" spans="2:10" x14ac:dyDescent="0.35">
      <c r="B73" s="284" t="s">
        <v>1893</v>
      </c>
      <c r="C73" s="284"/>
      <c r="D73" s="875"/>
      <c r="E73" s="745"/>
      <c r="H73" s="745" t="s">
        <v>1894</v>
      </c>
      <c r="I73" s="745"/>
      <c r="J73" s="745"/>
    </row>
    <row r="74" spans="2:10" x14ac:dyDescent="0.35">
      <c r="B74" s="284" t="s">
        <v>1895</v>
      </c>
      <c r="C74" s="284"/>
      <c r="D74" s="875"/>
      <c r="E74" s="745"/>
      <c r="H74" s="745" t="s">
        <v>1896</v>
      </c>
      <c r="I74" s="745"/>
      <c r="J74" s="745"/>
    </row>
    <row r="75" spans="2:10" x14ac:dyDescent="0.35">
      <c r="B75" s="284" t="s">
        <v>1803</v>
      </c>
      <c r="C75" s="284"/>
      <c r="D75" s="745"/>
      <c r="E75" s="745"/>
      <c r="H75" s="745"/>
      <c r="I75" s="745"/>
      <c r="J75" s="745"/>
    </row>
    <row r="76" spans="2:10" x14ac:dyDescent="0.35">
      <c r="B76" s="745"/>
      <c r="C76" s="745"/>
      <c r="D76" s="745"/>
      <c r="E76" s="745"/>
      <c r="H76" s="745"/>
      <c r="I76" s="745"/>
      <c r="J76" s="745"/>
    </row>
    <row r="77" spans="2:10" x14ac:dyDescent="0.35">
      <c r="B77" s="284" t="s">
        <v>1897</v>
      </c>
      <c r="C77" s="284" t="s">
        <v>1898</v>
      </c>
      <c r="D77" s="745"/>
      <c r="E77" s="745"/>
      <c r="H77" s="745"/>
      <c r="I77" s="745"/>
      <c r="J77" s="745"/>
    </row>
    <row r="78" spans="2:10" x14ac:dyDescent="0.35">
      <c r="B78" s="745"/>
      <c r="C78" s="745"/>
      <c r="D78" s="745"/>
      <c r="E78" s="745"/>
      <c r="H78" s="745"/>
      <c r="I78" s="745"/>
      <c r="J78" s="745"/>
    </row>
    <row r="79" spans="2:10" x14ac:dyDescent="0.35">
      <c r="B79" s="284" t="s">
        <v>1899</v>
      </c>
      <c r="C79" s="284"/>
      <c r="D79" s="745"/>
      <c r="E79" s="745"/>
      <c r="H79" s="745"/>
      <c r="I79" s="745"/>
      <c r="J79" s="745"/>
    </row>
    <row r="80" spans="2:10" x14ac:dyDescent="0.35">
      <c r="B80" s="284" t="s">
        <v>1804</v>
      </c>
      <c r="C80" s="284" t="s">
        <v>1897</v>
      </c>
      <c r="D80" s="745"/>
      <c r="E80" s="745"/>
      <c r="H80" s="745"/>
      <c r="I80" s="745"/>
      <c r="J80" s="745"/>
    </row>
    <row r="81" spans="2:10" x14ac:dyDescent="0.35">
      <c r="B81" s="876">
        <v>42736</v>
      </c>
      <c r="C81" s="875">
        <v>234.95833333333334</v>
      </c>
      <c r="D81" s="745"/>
      <c r="E81" s="745"/>
      <c r="F81">
        <f>C81/C86</f>
        <v>0.67510619244417414</v>
      </c>
      <c r="H81" s="745"/>
      <c r="I81" s="745"/>
      <c r="J81" s="745"/>
    </row>
    <row r="82" spans="2:10" x14ac:dyDescent="0.35">
      <c r="B82" s="876">
        <v>43101</v>
      </c>
      <c r="C82" s="875">
        <v>247.02500000000001</v>
      </c>
      <c r="D82" s="745"/>
      <c r="E82" s="745"/>
      <c r="H82" s="745"/>
      <c r="I82" s="745"/>
      <c r="J82" s="745"/>
    </row>
    <row r="83" spans="2:10" x14ac:dyDescent="0.35">
      <c r="B83" s="876">
        <v>43466</v>
      </c>
      <c r="C83" s="875">
        <v>251.27500000000001</v>
      </c>
      <c r="D83" s="745"/>
      <c r="E83" s="745"/>
      <c r="H83" s="745"/>
      <c r="I83" s="745"/>
      <c r="J83" s="745"/>
    </row>
    <row r="84" spans="2:10" x14ac:dyDescent="0.35">
      <c r="B84" s="876">
        <v>43831</v>
      </c>
      <c r="C84" s="875">
        <v>256.94166666666666</v>
      </c>
      <c r="D84" s="745"/>
      <c r="E84" s="745"/>
      <c r="H84" s="745"/>
      <c r="I84" s="745"/>
      <c r="J84" s="745"/>
    </row>
    <row r="85" spans="2:10" x14ac:dyDescent="0.35">
      <c r="B85" s="876">
        <v>44197</v>
      </c>
      <c r="C85" s="875">
        <v>298.95841666666666</v>
      </c>
      <c r="D85" s="745"/>
      <c r="E85" s="745"/>
      <c r="H85" s="745"/>
      <c r="I85" s="745"/>
      <c r="J85" s="745"/>
    </row>
    <row r="86" spans="2:10" x14ac:dyDescent="0.35">
      <c r="B86" s="876">
        <v>44562</v>
      </c>
      <c r="C86" s="875">
        <v>348.03166666666669</v>
      </c>
      <c r="D86" s="745"/>
      <c r="E86" s="745"/>
      <c r="H86" s="745"/>
      <c r="I86" s="745"/>
      <c r="J86" s="745"/>
    </row>
    <row r="87" spans="2:10" x14ac:dyDescent="0.35">
      <c r="B87" s="876">
        <v>44927</v>
      </c>
      <c r="C87" s="875">
        <v>351.04091666666665</v>
      </c>
      <c r="D87" s="745"/>
      <c r="E87" s="745"/>
      <c r="H87" s="745"/>
      <c r="I87" s="745"/>
      <c r="J87" s="745"/>
    </row>
    <row r="88" spans="2:10" x14ac:dyDescent="0.35">
      <c r="B88" s="876">
        <v>45292</v>
      </c>
      <c r="C88" s="284">
        <v>0</v>
      </c>
      <c r="D88" s="745"/>
      <c r="E88" s="745"/>
      <c r="H88" s="745"/>
      <c r="I88" s="745"/>
      <c r="J88" s="745"/>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AI19"/>
  <sheetViews>
    <sheetView zoomScale="115" zoomScaleNormal="115" workbookViewId="0">
      <selection activeCell="Y22" sqref="Y22"/>
    </sheetView>
  </sheetViews>
  <sheetFormatPr defaultColWidth="10.90625" defaultRowHeight="14.5" x14ac:dyDescent="0.35"/>
  <cols>
    <col min="3" max="3" width="16.26953125" customWidth="1"/>
    <col min="4" max="23" width="16.26953125" hidden="1" customWidth="1"/>
  </cols>
  <sheetData>
    <row r="1" spans="2:35" x14ac:dyDescent="0.35">
      <c r="B1" t="s">
        <v>2016</v>
      </c>
    </row>
    <row r="2" spans="2:35" x14ac:dyDescent="0.35">
      <c r="B2" t="s">
        <v>2016</v>
      </c>
    </row>
    <row r="3" spans="2:35" x14ac:dyDescent="0.35">
      <c r="B3" t="s">
        <v>2016</v>
      </c>
    </row>
    <row r="4" spans="2:35" x14ac:dyDescent="0.35">
      <c r="B4" t="s">
        <v>2016</v>
      </c>
    </row>
    <row r="5" spans="2:35" x14ac:dyDescent="0.35">
      <c r="B5" t="s">
        <v>2016</v>
      </c>
    </row>
    <row r="6" spans="2:35" x14ac:dyDescent="0.35">
      <c r="B6" s="1500" t="s">
        <v>299</v>
      </c>
      <c r="C6" s="1501"/>
      <c r="D6" s="1413">
        <v>2020</v>
      </c>
      <c r="E6" s="1413"/>
      <c r="F6" s="1413"/>
      <c r="G6" s="1414"/>
      <c r="H6" s="1413">
        <v>2021</v>
      </c>
      <c r="I6" s="1413"/>
      <c r="J6" s="1413"/>
      <c r="K6" s="1414"/>
      <c r="L6" s="1413">
        <v>2022</v>
      </c>
      <c r="M6" s="1413"/>
      <c r="N6" s="1413"/>
      <c r="O6" s="1414"/>
      <c r="P6" s="1413">
        <v>2023</v>
      </c>
      <c r="Q6" s="1413"/>
      <c r="R6" s="1413"/>
      <c r="S6" s="1414"/>
      <c r="T6" s="1413">
        <v>2024</v>
      </c>
      <c r="U6" s="1413"/>
      <c r="V6" s="1413"/>
      <c r="W6" s="1414"/>
      <c r="X6" s="1413">
        <v>2025</v>
      </c>
      <c r="Y6" s="1413"/>
      <c r="Z6" s="1413"/>
      <c r="AA6" s="1414"/>
      <c r="AB6" s="1412">
        <v>2026</v>
      </c>
      <c r="AC6" s="1413"/>
      <c r="AD6" s="1413"/>
      <c r="AE6" s="1414"/>
      <c r="AF6" s="1412">
        <v>2027</v>
      </c>
      <c r="AG6" s="1413"/>
      <c r="AH6" s="1413"/>
      <c r="AI6" s="1414"/>
    </row>
    <row r="7" spans="2:35" x14ac:dyDescent="0.35">
      <c r="B7" s="884"/>
      <c r="C7" s="885"/>
      <c r="D7" s="247" t="s">
        <v>249</v>
      </c>
      <c r="E7" s="247" t="s">
        <v>250</v>
      </c>
      <c r="F7" s="247" t="s">
        <v>226</v>
      </c>
      <c r="G7" s="247" t="s">
        <v>248</v>
      </c>
      <c r="H7" s="247" t="s">
        <v>249</v>
      </c>
      <c r="I7" s="247" t="s">
        <v>250</v>
      </c>
      <c r="J7" s="247" t="s">
        <v>226</v>
      </c>
      <c r="K7" s="247" t="s">
        <v>248</v>
      </c>
      <c r="L7" s="247" t="s">
        <v>249</v>
      </c>
      <c r="M7" s="247" t="s">
        <v>250</v>
      </c>
      <c r="N7" s="247" t="s">
        <v>226</v>
      </c>
      <c r="O7" s="247" t="s">
        <v>248</v>
      </c>
      <c r="P7" s="247" t="s">
        <v>249</v>
      </c>
      <c r="Q7" s="247" t="s">
        <v>250</v>
      </c>
      <c r="R7" s="247" t="s">
        <v>226</v>
      </c>
      <c r="S7" s="247" t="s">
        <v>248</v>
      </c>
      <c r="T7" s="247" t="s">
        <v>249</v>
      </c>
      <c r="U7" s="247" t="s">
        <v>250</v>
      </c>
      <c r="V7" s="247" t="s">
        <v>226</v>
      </c>
      <c r="W7" s="247" t="s">
        <v>248</v>
      </c>
      <c r="X7" s="247" t="s">
        <v>249</v>
      </c>
      <c r="Y7" s="247" t="s">
        <v>250</v>
      </c>
      <c r="Z7" s="247" t="s">
        <v>226</v>
      </c>
      <c r="AA7" s="247" t="s">
        <v>248</v>
      </c>
      <c r="AB7" s="430" t="s">
        <v>249</v>
      </c>
      <c r="AC7" s="247" t="s">
        <v>250</v>
      </c>
      <c r="AD7" s="247" t="s">
        <v>226</v>
      </c>
      <c r="AE7" s="247" t="s">
        <v>248</v>
      </c>
      <c r="AF7" s="430" t="s">
        <v>249</v>
      </c>
      <c r="AG7" s="247" t="s">
        <v>250</v>
      </c>
      <c r="AH7" s="247" t="s">
        <v>226</v>
      </c>
      <c r="AI7" s="276" t="s">
        <v>248</v>
      </c>
    </row>
    <row r="8" spans="2:35" x14ac:dyDescent="0.35">
      <c r="B8" s="86" t="s">
        <v>2017</v>
      </c>
      <c r="C8" s="119"/>
      <c r="D8" s="882">
        <v>0</v>
      </c>
      <c r="E8" s="882">
        <v>0</v>
      </c>
      <c r="F8" s="882">
        <v>0</v>
      </c>
      <c r="G8" s="882">
        <v>0</v>
      </c>
      <c r="H8" s="882">
        <v>0</v>
      </c>
      <c r="I8" s="882">
        <v>0</v>
      </c>
      <c r="J8" s="882">
        <v>0</v>
      </c>
      <c r="K8" s="882">
        <v>0</v>
      </c>
      <c r="L8" s="882">
        <v>0</v>
      </c>
      <c r="M8" s="882">
        <v>0</v>
      </c>
      <c r="N8" s="882">
        <v>0</v>
      </c>
      <c r="O8" s="882">
        <v>0</v>
      </c>
      <c r="P8" s="882">
        <v>0</v>
      </c>
      <c r="Q8" s="882">
        <v>0</v>
      </c>
      <c r="R8" s="882">
        <v>0</v>
      </c>
      <c r="S8" s="882">
        <v>0</v>
      </c>
      <c r="T8" s="882">
        <v>0</v>
      </c>
      <c r="U8" s="882">
        <v>0</v>
      </c>
      <c r="V8" s="882">
        <v>0</v>
      </c>
      <c r="W8" s="882">
        <v>0</v>
      </c>
      <c r="X8" s="882">
        <v>0</v>
      </c>
      <c r="Y8" s="882">
        <v>-0.2</v>
      </c>
      <c r="Z8" s="882">
        <v>0</v>
      </c>
      <c r="AA8" s="882">
        <v>0</v>
      </c>
      <c r="AB8" s="882">
        <v>0</v>
      </c>
      <c r="AC8" s="882">
        <v>0</v>
      </c>
      <c r="AD8" s="882">
        <v>0</v>
      </c>
      <c r="AE8" s="882">
        <v>0</v>
      </c>
      <c r="AF8" s="882">
        <v>0</v>
      </c>
      <c r="AG8" s="882">
        <v>0</v>
      </c>
      <c r="AH8" s="882">
        <v>0</v>
      </c>
      <c r="AI8" s="285"/>
    </row>
    <row r="9" spans="2:35" x14ac:dyDescent="0.35">
      <c r="B9" s="53" t="s">
        <v>2010</v>
      </c>
      <c r="C9" s="44"/>
      <c r="D9" s="882">
        <v>0</v>
      </c>
      <c r="E9" s="882">
        <v>0</v>
      </c>
      <c r="F9" s="882">
        <v>0</v>
      </c>
      <c r="G9" s="882">
        <v>0</v>
      </c>
      <c r="H9" s="882">
        <v>0</v>
      </c>
      <c r="I9" s="882">
        <v>0</v>
      </c>
      <c r="J9" s="882">
        <v>0</v>
      </c>
      <c r="K9" s="882">
        <v>0</v>
      </c>
      <c r="L9" s="882">
        <v>0</v>
      </c>
      <c r="M9" s="882">
        <v>0</v>
      </c>
      <c r="N9" s="882">
        <v>0</v>
      </c>
      <c r="O9" s="882">
        <v>0</v>
      </c>
      <c r="P9" s="882">
        <v>0</v>
      </c>
      <c r="Q9" s="882">
        <v>0</v>
      </c>
      <c r="R9" s="882">
        <v>0</v>
      </c>
      <c r="S9" s="882">
        <v>0</v>
      </c>
      <c r="T9" s="882">
        <v>0</v>
      </c>
      <c r="U9" s="882">
        <v>0</v>
      </c>
      <c r="V9" s="882">
        <v>0</v>
      </c>
      <c r="W9" s="882">
        <v>0</v>
      </c>
      <c r="X9" s="232">
        <v>0</v>
      </c>
      <c r="Y9" s="880">
        <v>0</v>
      </c>
      <c r="Z9" s="880">
        <v>0</v>
      </c>
      <c r="AA9" s="880">
        <v>0</v>
      </c>
      <c r="AB9" s="881">
        <v>0.06</v>
      </c>
      <c r="AC9" s="881">
        <v>0.06</v>
      </c>
      <c r="AD9" s="881">
        <v>0.06</v>
      </c>
      <c r="AE9" s="881">
        <v>0.06</v>
      </c>
      <c r="AF9" s="881">
        <v>0.06</v>
      </c>
      <c r="AG9" s="881">
        <v>0.06</v>
      </c>
      <c r="AI9" s="883"/>
    </row>
    <row r="10" spans="2:35" x14ac:dyDescent="0.35">
      <c r="B10" s="280" t="s">
        <v>278</v>
      </c>
      <c r="C10" s="43"/>
      <c r="D10" s="886">
        <f t="shared" ref="D10:AB10" si="0">D8+D9</f>
        <v>0</v>
      </c>
      <c r="E10" s="887">
        <f t="shared" si="0"/>
        <v>0</v>
      </c>
      <c r="F10" s="887">
        <f t="shared" si="0"/>
        <v>0</v>
      </c>
      <c r="G10" s="887">
        <f t="shared" si="0"/>
        <v>0</v>
      </c>
      <c r="H10" s="886">
        <f t="shared" si="0"/>
        <v>0</v>
      </c>
      <c r="I10" s="887">
        <f t="shared" si="0"/>
        <v>0</v>
      </c>
      <c r="J10" s="887">
        <f t="shared" si="0"/>
        <v>0</v>
      </c>
      <c r="K10" s="887">
        <f t="shared" si="0"/>
        <v>0</v>
      </c>
      <c r="L10" s="886">
        <f t="shared" si="0"/>
        <v>0</v>
      </c>
      <c r="M10" s="887">
        <f t="shared" si="0"/>
        <v>0</v>
      </c>
      <c r="N10" s="887">
        <f t="shared" si="0"/>
        <v>0</v>
      </c>
      <c r="O10" s="887">
        <f t="shared" si="0"/>
        <v>0</v>
      </c>
      <c r="P10" s="886">
        <f t="shared" si="0"/>
        <v>0</v>
      </c>
      <c r="Q10" s="887">
        <f t="shared" si="0"/>
        <v>0</v>
      </c>
      <c r="R10" s="887">
        <f t="shared" si="0"/>
        <v>0</v>
      </c>
      <c r="S10" s="887">
        <f t="shared" si="0"/>
        <v>0</v>
      </c>
      <c r="T10" s="886">
        <f t="shared" si="0"/>
        <v>0</v>
      </c>
      <c r="U10" s="887">
        <f t="shared" si="0"/>
        <v>0</v>
      </c>
      <c r="V10" s="887">
        <f t="shared" si="0"/>
        <v>0</v>
      </c>
      <c r="W10" s="887">
        <f t="shared" si="0"/>
        <v>0</v>
      </c>
      <c r="X10" s="886">
        <f t="shared" si="0"/>
        <v>0</v>
      </c>
      <c r="Y10" s="887">
        <f t="shared" si="0"/>
        <v>-0.2</v>
      </c>
      <c r="Z10" s="887">
        <f t="shared" si="0"/>
        <v>0</v>
      </c>
      <c r="AA10" s="887">
        <f t="shared" si="0"/>
        <v>0</v>
      </c>
      <c r="AB10" s="887">
        <f t="shared" si="0"/>
        <v>0.06</v>
      </c>
      <c r="AC10" s="887">
        <f t="shared" ref="AC10:AH10" si="1">AC8+AC9</f>
        <v>0.06</v>
      </c>
      <c r="AD10" s="887">
        <f t="shared" si="1"/>
        <v>0.06</v>
      </c>
      <c r="AE10" s="887">
        <f t="shared" si="1"/>
        <v>0.06</v>
      </c>
      <c r="AF10" s="887">
        <f>AF8+AF9</f>
        <v>0.06</v>
      </c>
      <c r="AG10" s="887">
        <f t="shared" si="1"/>
        <v>0.06</v>
      </c>
      <c r="AH10" s="887">
        <f t="shared" si="1"/>
        <v>0</v>
      </c>
      <c r="AI10" s="267"/>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C1:BZ158"/>
  <sheetViews>
    <sheetView topLeftCell="C1" zoomScaleNormal="100" workbookViewId="0">
      <pane xSplit="2" ySplit="7" topLeftCell="AB8" activePane="bottomRight" state="frozen"/>
      <selection activeCell="C1" sqref="C1"/>
      <selection pane="topRight" activeCell="E1" sqref="E1"/>
      <selection pane="bottomLeft" activeCell="C8" sqref="C8"/>
      <selection pane="bottomRight" activeCell="AH16" sqref="AH16"/>
    </sheetView>
  </sheetViews>
  <sheetFormatPr defaultColWidth="10.90625" defaultRowHeight="14.5" x14ac:dyDescent="0.35"/>
  <cols>
    <col min="1" max="2" width="0" hidden="1" customWidth="1"/>
    <col min="3" max="3" width="18" customWidth="1"/>
    <col min="4" max="4" width="53.9062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87" t="s">
        <v>49</v>
      </c>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4:57" ht="14.25" customHeight="1" x14ac:dyDescent="0.35">
      <c r="D2" s="317" t="s">
        <v>864</v>
      </c>
      <c r="E2" s="317"/>
      <c r="F2" s="317"/>
      <c r="G2" s="317"/>
      <c r="H2" s="317"/>
      <c r="I2" s="317"/>
      <c r="J2" s="317"/>
      <c r="K2" s="317"/>
      <c r="L2" s="317"/>
      <c r="M2" s="317"/>
      <c r="N2" s="317"/>
      <c r="O2" s="317"/>
      <c r="P2" s="317"/>
      <c r="Q2" s="317"/>
      <c r="R2" s="317"/>
      <c r="S2" s="317"/>
      <c r="T2" s="317"/>
      <c r="U2" s="317"/>
      <c r="V2" s="317"/>
      <c r="W2" s="317"/>
      <c r="X2" s="317"/>
      <c r="Y2" s="317"/>
      <c r="Z2" s="317"/>
      <c r="AA2" s="317"/>
      <c r="AB2" s="317"/>
      <c r="AC2" s="317"/>
    </row>
    <row r="3" spans="4:57" ht="84.75" customHeight="1" x14ac:dyDescent="0.35">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910"/>
      <c r="AE3" s="633"/>
      <c r="AG3" s="134"/>
      <c r="AH3" s="134"/>
      <c r="AI3" s="633"/>
      <c r="AK3" s="134"/>
      <c r="AM3" s="633"/>
    </row>
    <row r="4" spans="4:57" x14ac:dyDescent="0.35">
      <c r="D4" s="948" t="s">
        <v>299</v>
      </c>
      <c r="W4" s="44"/>
      <c r="AD4" s="920"/>
      <c r="AE4" s="82"/>
      <c r="AI4" s="77"/>
      <c r="AJ4" s="88"/>
      <c r="AL4" s="88"/>
      <c r="AM4" s="119"/>
      <c r="AN4" s="82"/>
    </row>
    <row r="5" spans="4:57" x14ac:dyDescent="0.35">
      <c r="D5" s="1389" t="s">
        <v>367</v>
      </c>
      <c r="E5" s="1390"/>
      <c r="F5" s="1502" t="s">
        <v>246</v>
      </c>
      <c r="G5" s="1503"/>
      <c r="H5" s="1503"/>
      <c r="I5" s="1503"/>
      <c r="J5" s="1503"/>
      <c r="K5" s="1503"/>
      <c r="L5" s="1503"/>
      <c r="M5" s="1503"/>
      <c r="N5" s="1503"/>
      <c r="O5" s="1503"/>
      <c r="P5" s="1503"/>
      <c r="Q5" s="1503"/>
      <c r="R5" s="1503"/>
      <c r="S5" s="1503"/>
      <c r="T5" s="1503"/>
      <c r="U5" s="1503"/>
      <c r="V5" s="1503"/>
      <c r="W5" s="1503"/>
      <c r="X5" s="1503"/>
      <c r="Y5" s="1503"/>
      <c r="Z5" s="1503"/>
      <c r="AA5" s="1503"/>
      <c r="AB5" s="1504"/>
      <c r="AC5" s="259"/>
      <c r="AD5" s="260"/>
      <c r="AE5" s="260"/>
      <c r="AF5" s="260"/>
      <c r="AG5" s="1419" t="s">
        <v>247</v>
      </c>
      <c r="AH5" s="1420"/>
      <c r="AI5" s="1420"/>
      <c r="AJ5" s="1420"/>
      <c r="AK5" s="1420"/>
      <c r="AL5" s="1420"/>
      <c r="AM5" s="1420"/>
      <c r="AN5" s="1421"/>
      <c r="AO5" s="1032"/>
      <c r="AP5" s="1032"/>
      <c r="AQ5" s="1032"/>
      <c r="AR5" s="1032"/>
      <c r="AS5" s="1032"/>
      <c r="AT5" s="1032"/>
      <c r="AU5" s="1032"/>
      <c r="AV5" s="1032"/>
      <c r="AW5" s="1032"/>
      <c r="AX5" s="1032"/>
      <c r="AY5" s="1032"/>
      <c r="AZ5" s="1032"/>
      <c r="BA5" s="1032"/>
      <c r="BB5" s="1032"/>
      <c r="BC5" s="1032"/>
      <c r="BD5" s="1032"/>
      <c r="BE5" s="1032"/>
    </row>
    <row r="6" spans="4:57" x14ac:dyDescent="0.35">
      <c r="D6" s="1391"/>
      <c r="E6" s="1455"/>
      <c r="F6" s="1395">
        <v>2019</v>
      </c>
      <c r="G6" s="1396"/>
      <c r="H6" s="1397"/>
      <c r="I6" s="1396">
        <v>2020</v>
      </c>
      <c r="J6" s="1396"/>
      <c r="K6" s="1396"/>
      <c r="L6" s="1396"/>
      <c r="M6" s="1398">
        <v>2021</v>
      </c>
      <c r="N6" s="1415"/>
      <c r="O6" s="1415"/>
      <c r="P6" s="1415"/>
      <c r="Q6" s="1398">
        <v>2022</v>
      </c>
      <c r="R6" s="1399"/>
      <c r="S6" s="1399"/>
      <c r="T6" s="1400"/>
      <c r="U6" s="1398">
        <v>2023</v>
      </c>
      <c r="V6" s="1399"/>
      <c r="W6" s="1399"/>
      <c r="X6" s="1400"/>
      <c r="Y6" s="1398">
        <v>2024</v>
      </c>
      <c r="Z6" s="1415"/>
      <c r="AA6" s="1415"/>
      <c r="AB6" s="1400"/>
      <c r="AC6" s="1398">
        <v>2025</v>
      </c>
      <c r="AD6" s="1415"/>
      <c r="AE6" s="1415"/>
      <c r="AF6" s="1400"/>
      <c r="AG6" s="1412">
        <v>2026</v>
      </c>
      <c r="AH6" s="1413"/>
      <c r="AI6" s="1413"/>
      <c r="AJ6" s="1414"/>
      <c r="AK6" s="1412">
        <v>2027</v>
      </c>
      <c r="AL6" s="1413"/>
      <c r="AM6" s="1413"/>
      <c r="AN6" s="1414"/>
      <c r="AO6" s="990"/>
      <c r="AP6" s="990"/>
      <c r="AQ6" s="990"/>
      <c r="AR6" s="990"/>
      <c r="AS6" s="990"/>
      <c r="AT6" s="990"/>
      <c r="AU6" s="990"/>
      <c r="AV6" s="990"/>
      <c r="AW6" s="990"/>
      <c r="AX6" s="990"/>
      <c r="AY6" s="990"/>
      <c r="AZ6" s="990"/>
      <c r="BA6" s="990"/>
      <c r="BB6" s="990"/>
      <c r="BC6" s="990"/>
      <c r="BD6" s="990"/>
    </row>
    <row r="7" spans="4:57" x14ac:dyDescent="0.35">
      <c r="D7" s="1393"/>
      <c r="E7" s="1456"/>
      <c r="F7" s="244" t="s">
        <v>250</v>
      </c>
      <c r="G7" s="245" t="s">
        <v>226</v>
      </c>
      <c r="H7" s="246" t="s">
        <v>248</v>
      </c>
      <c r="I7" s="245" t="s">
        <v>249</v>
      </c>
      <c r="J7" s="245" t="s">
        <v>250</v>
      </c>
      <c r="K7" s="245" t="s">
        <v>226</v>
      </c>
      <c r="L7" s="245" t="s">
        <v>248</v>
      </c>
      <c r="M7" s="244" t="s">
        <v>249</v>
      </c>
      <c r="N7" s="245" t="s">
        <v>250</v>
      </c>
      <c r="O7" s="245" t="s">
        <v>226</v>
      </c>
      <c r="P7" s="245" t="s">
        <v>248</v>
      </c>
      <c r="Q7" s="244" t="s">
        <v>249</v>
      </c>
      <c r="R7" s="245" t="s">
        <v>250</v>
      </c>
      <c r="S7" s="245" t="s">
        <v>226</v>
      </c>
      <c r="T7" s="246" t="s">
        <v>248</v>
      </c>
      <c r="U7" s="245" t="s">
        <v>249</v>
      </c>
      <c r="V7" s="273" t="s">
        <v>250</v>
      </c>
      <c r="W7" s="245" t="s">
        <v>226</v>
      </c>
      <c r="X7" s="246" t="s">
        <v>248</v>
      </c>
      <c r="Y7" s="244" t="s">
        <v>249</v>
      </c>
      <c r="Z7" s="278" t="s">
        <v>250</v>
      </c>
      <c r="AA7" s="245" t="s">
        <v>226</v>
      </c>
      <c r="AB7" s="245" t="s">
        <v>248</v>
      </c>
      <c r="AC7" s="272" t="s">
        <v>249</v>
      </c>
      <c r="AD7" s="274" t="s">
        <v>250</v>
      </c>
      <c r="AE7" s="273" t="s">
        <v>226</v>
      </c>
      <c r="AF7" s="273" t="s">
        <v>248</v>
      </c>
      <c r="AG7" s="275" t="s">
        <v>249</v>
      </c>
      <c r="AH7" s="269" t="s">
        <v>250</v>
      </c>
      <c r="AI7" s="270" t="s">
        <v>226</v>
      </c>
      <c r="AJ7" s="276" t="s">
        <v>248</v>
      </c>
      <c r="AK7" s="275" t="s">
        <v>249</v>
      </c>
      <c r="AL7" s="269" t="s">
        <v>250</v>
      </c>
      <c r="AM7" s="270" t="s">
        <v>226</v>
      </c>
      <c r="AN7" s="276" t="s">
        <v>248</v>
      </c>
      <c r="AO7" s="1014"/>
      <c r="AP7" s="1014"/>
      <c r="AQ7" s="1014"/>
      <c r="AR7" s="1014"/>
      <c r="AS7" s="1014"/>
      <c r="AT7" s="1014"/>
      <c r="AU7" s="1014"/>
      <c r="AV7" s="1014"/>
      <c r="AW7" s="1014"/>
      <c r="AX7" s="1014"/>
      <c r="AY7" s="1014"/>
      <c r="AZ7" s="1014"/>
      <c r="BA7" s="1014"/>
      <c r="BB7" s="1014"/>
      <c r="BC7" s="1014"/>
      <c r="BD7" s="1014"/>
    </row>
    <row r="8" spans="4:57" x14ac:dyDescent="0.35">
      <c r="D8" s="960" t="s">
        <v>429</v>
      </c>
      <c r="E8" s="75"/>
      <c r="F8" s="975"/>
      <c r="G8" s="958"/>
      <c r="H8" s="958"/>
      <c r="I8" s="958"/>
      <c r="J8" s="958"/>
      <c r="K8" s="958"/>
      <c r="L8" s="958"/>
      <c r="M8" s="958"/>
      <c r="N8" s="958"/>
      <c r="O8" s="958"/>
      <c r="P8" s="958"/>
      <c r="Q8" s="958"/>
      <c r="R8" s="958"/>
      <c r="S8" s="958"/>
      <c r="T8" s="958"/>
      <c r="U8" s="958"/>
      <c r="V8" s="958"/>
      <c r="W8" s="958"/>
      <c r="X8" s="958"/>
      <c r="Y8" s="958"/>
      <c r="Z8" s="958"/>
      <c r="AA8" s="958"/>
      <c r="AB8" s="958"/>
      <c r="AC8" s="958"/>
      <c r="AD8" s="958"/>
      <c r="AE8" s="958"/>
      <c r="AF8" s="958"/>
      <c r="AG8" s="903"/>
      <c r="AH8" s="903"/>
      <c r="AI8" s="903"/>
      <c r="AJ8" s="903"/>
      <c r="AK8" s="973"/>
      <c r="AL8" s="903"/>
      <c r="AM8" s="903"/>
      <c r="AN8" s="903"/>
      <c r="AO8" s="826"/>
      <c r="AP8" s="826"/>
      <c r="AQ8" s="826"/>
      <c r="AR8" s="826"/>
      <c r="AS8" s="826"/>
      <c r="AT8" s="826"/>
      <c r="AU8" s="826"/>
      <c r="AV8" s="826"/>
      <c r="AW8" s="826"/>
      <c r="AX8" s="826"/>
      <c r="AY8" s="826"/>
      <c r="AZ8" s="826"/>
      <c r="BA8" s="826"/>
      <c r="BB8" s="826"/>
      <c r="BC8" s="826"/>
      <c r="BD8" s="826"/>
    </row>
    <row r="9" spans="4:57" ht="14.9" customHeight="1" x14ac:dyDescent="0.35">
      <c r="D9" s="602" t="s">
        <v>444</v>
      </c>
      <c r="E9" s="959"/>
      <c r="F9" s="976">
        <f t="shared" ref="F9:S9" si="0">SUM(F10:F15)</f>
        <v>3259.3999999999996</v>
      </c>
      <c r="G9" s="1041">
        <f t="shared" si="0"/>
        <v>3286.9</v>
      </c>
      <c r="H9" s="1041">
        <f t="shared" si="0"/>
        <v>3343.3</v>
      </c>
      <c r="I9" s="1041">
        <f t="shared" si="0"/>
        <v>3391.7</v>
      </c>
      <c r="J9" s="1041">
        <f t="shared" si="0"/>
        <v>3135.4999999999995</v>
      </c>
      <c r="K9" s="1041">
        <f t="shared" si="0"/>
        <v>3319.2000000000003</v>
      </c>
      <c r="L9" s="1041">
        <f t="shared" si="0"/>
        <v>3478.2</v>
      </c>
      <c r="M9" s="1041">
        <f t="shared" si="0"/>
        <v>3641.3</v>
      </c>
      <c r="N9" s="1041">
        <f t="shared" si="0"/>
        <v>3796.8</v>
      </c>
      <c r="O9" s="1041">
        <f t="shared" si="0"/>
        <v>3918.8</v>
      </c>
      <c r="P9" s="1041">
        <f t="shared" si="0"/>
        <v>4047.1</v>
      </c>
      <c r="Q9" s="1041">
        <f t="shared" si="0"/>
        <v>4448.1000000000004</v>
      </c>
      <c r="R9" s="1041">
        <f t="shared" si="0"/>
        <v>4479.0999999999995</v>
      </c>
      <c r="S9" s="1041">
        <f t="shared" si="0"/>
        <v>4539</v>
      </c>
      <c r="T9" s="1041">
        <f t="shared" ref="T9:AN9" si="1">SUM(T10,T13,T15)</f>
        <v>4511</v>
      </c>
      <c r="U9" s="1041">
        <f t="shared" si="1"/>
        <v>4191.5</v>
      </c>
      <c r="V9" s="1041">
        <f t="shared" si="1"/>
        <v>4210.6000000000004</v>
      </c>
      <c r="W9" s="1041">
        <f t="shared" si="1"/>
        <v>4257.8999999999996</v>
      </c>
      <c r="X9" s="1041">
        <f t="shared" si="1"/>
        <v>4302.2</v>
      </c>
      <c r="Y9" s="1041">
        <f t="shared" si="1"/>
        <v>4390.8</v>
      </c>
      <c r="Z9" s="1041">
        <f t="shared" si="1"/>
        <v>4456.5</v>
      </c>
      <c r="AA9" s="1041">
        <f t="shared" si="1"/>
        <v>4526.8</v>
      </c>
      <c r="AB9" s="1041">
        <f t="shared" si="1"/>
        <v>4590.2999999999993</v>
      </c>
      <c r="AC9" s="1041">
        <f t="shared" si="1"/>
        <v>4710.9000000000005</v>
      </c>
      <c r="AD9" s="1041">
        <f t="shared" si="1"/>
        <v>4925.5</v>
      </c>
      <c r="AE9" s="1041">
        <f t="shared" si="1"/>
        <v>5048.3999999999996</v>
      </c>
      <c r="AF9" s="1041">
        <f t="shared" si="1"/>
        <v>5136.9000000000005</v>
      </c>
      <c r="AG9" s="1041">
        <f t="shared" si="1"/>
        <v>5083.4035395912024</v>
      </c>
      <c r="AH9" s="1041">
        <f t="shared" si="1"/>
        <v>5104.382523722551</v>
      </c>
      <c r="AI9" s="1041">
        <f t="shared" si="1"/>
        <v>5143.5171824534737</v>
      </c>
      <c r="AJ9" s="1041">
        <f t="shared" si="1"/>
        <v>5172.4494522309542</v>
      </c>
      <c r="AK9" s="1041">
        <f t="shared" si="1"/>
        <v>5414.3876569918202</v>
      </c>
      <c r="AL9" s="1041">
        <f t="shared" si="1"/>
        <v>5444.6542243154609</v>
      </c>
      <c r="AM9" s="1041">
        <f t="shared" si="1"/>
        <v>5475.1712566780307</v>
      </c>
      <c r="AN9" s="1041">
        <f t="shared" si="1"/>
        <v>5505.1727179686422</v>
      </c>
      <c r="AO9" s="922">
        <f>AJ10/AF10-1</f>
        <v>-1.4346398298025642E-2</v>
      </c>
      <c r="AP9" s="922">
        <f>AK10/AG10-1</f>
        <v>9.8335658097223888E-2</v>
      </c>
      <c r="AQ9" s="922">
        <f>AL10/AH10-1</f>
        <v>9.8335658097223666E-2</v>
      </c>
      <c r="AR9" s="922">
        <f>AM10/AI10-1</f>
        <v>9.8335658097223666E-2</v>
      </c>
      <c r="AS9" s="922">
        <f>AN10/AJ10-1</f>
        <v>9.8335658097223666E-2</v>
      </c>
      <c r="AV9" s="1034"/>
      <c r="AW9" s="1034"/>
      <c r="AX9" s="1034"/>
      <c r="AY9" s="1034"/>
      <c r="AZ9" s="1034"/>
      <c r="BA9" s="1034"/>
      <c r="BB9" s="1034"/>
      <c r="BC9" s="1034"/>
      <c r="BD9" s="1034"/>
    </row>
    <row r="10" spans="4:57" x14ac:dyDescent="0.35">
      <c r="D10" s="635" t="s">
        <v>1946</v>
      </c>
      <c r="E10" s="59" t="s">
        <v>103</v>
      </c>
      <c r="F10" s="977">
        <f>'Haver Pivoted'!GQ27</f>
        <v>1686.7</v>
      </c>
      <c r="G10" s="977">
        <f>'Haver Pivoted'!GR27</f>
        <v>1699.8</v>
      </c>
      <c r="H10" s="977">
        <f>'Haver Pivoted'!GS27</f>
        <v>1736.2</v>
      </c>
      <c r="I10" s="977">
        <f>'Haver Pivoted'!GT27</f>
        <v>1755</v>
      </c>
      <c r="J10" s="977">
        <f>'Haver Pivoted'!GU27</f>
        <v>1621.8</v>
      </c>
      <c r="K10" s="977">
        <f>'Haver Pivoted'!GV27</f>
        <v>1736.7</v>
      </c>
      <c r="L10" s="977">
        <f>'Haver Pivoted'!GW27</f>
        <v>1850.3</v>
      </c>
      <c r="M10" s="977">
        <f>'Haver Pivoted'!GX27</f>
        <v>1993.7</v>
      </c>
      <c r="N10" s="977">
        <f>'Haver Pivoted'!GY27</f>
        <v>2093.9</v>
      </c>
      <c r="O10" s="977">
        <f>'Haver Pivoted'!GZ27</f>
        <v>2176.1</v>
      </c>
      <c r="P10" s="977">
        <f>'Haver Pivoted'!HA27</f>
        <v>2246.8000000000002</v>
      </c>
      <c r="Q10" s="977">
        <f>'Haver Pivoted'!HB27</f>
        <v>2595.5</v>
      </c>
      <c r="R10" s="977">
        <f>'Haver Pivoted'!HC27</f>
        <v>2600.4</v>
      </c>
      <c r="S10" s="977">
        <f>'Haver Pivoted'!HD27</f>
        <v>2626.1</v>
      </c>
      <c r="T10" s="977">
        <f>'Haver Pivoted'!HE27</f>
        <v>2599.4</v>
      </c>
      <c r="U10" s="977">
        <f>'Haver Pivoted'!HF27</f>
        <v>2265.6</v>
      </c>
      <c r="V10" s="977">
        <f>'Haver Pivoted'!HG27</f>
        <v>2262.6</v>
      </c>
      <c r="W10" s="977">
        <f>'Haver Pivoted'!HH27</f>
        <v>2282.4</v>
      </c>
      <c r="X10" s="977">
        <f>'Haver Pivoted'!HI27</f>
        <v>2303.6</v>
      </c>
      <c r="Y10" s="977">
        <f>'Haver Pivoted'!HJ27</f>
        <v>2343</v>
      </c>
      <c r="Z10" s="977">
        <f>'Haver Pivoted'!HK27</f>
        <v>2383.8000000000002</v>
      </c>
      <c r="AA10" s="977">
        <f>'Haver Pivoted'!HL27</f>
        <v>2423.4</v>
      </c>
      <c r="AB10" s="977">
        <f>'Haver Pivoted'!HM27</f>
        <v>2462.8000000000002</v>
      </c>
      <c r="AC10" s="977">
        <f>'Haver Pivoted'!HN27</f>
        <v>2538.3000000000002</v>
      </c>
      <c r="AD10" s="977">
        <f>'Haver Pivoted'!HO27</f>
        <v>2571.9</v>
      </c>
      <c r="AE10" s="977">
        <f>'Haver Pivoted'!HP27</f>
        <v>2616</v>
      </c>
      <c r="AF10" s="977">
        <f>'Haver Pivoted'!HQ27</f>
        <v>2653.1</v>
      </c>
      <c r="AG10" s="1012">
        <f>AC10*(1+M62)+AG11+AG12</f>
        <v>2584.0900978915665</v>
      </c>
      <c r="AH10" s="1042">
        <f>AG10*(1.016)^0.25+AH11+AH12</f>
        <v>2594.3650126652187</v>
      </c>
      <c r="AI10" s="1042">
        <f>AH10*(1.016)^0.25+AI11+AI12</f>
        <v>2604.6807827765742</v>
      </c>
      <c r="AJ10" s="1042">
        <f>AI10*(1.016)^0.25+AJ11+AJ12</f>
        <v>2615.0375706755081</v>
      </c>
      <c r="AK10" s="1012">
        <f>AG10*(1+N62)+AK11+AK12</f>
        <v>2838.1982982502532</v>
      </c>
      <c r="AL10" s="1042">
        <f>AK10*(1.016)^0.25+AL11+AL12</f>
        <v>2849.483603530065</v>
      </c>
      <c r="AM10" s="1042">
        <f>AL10*(1.016)^0.25+AM11+AM12</f>
        <v>2860.8137816841004</v>
      </c>
      <c r="AN10" s="1042">
        <f>AM10*(1.016)^0.25+AN11+AN12</f>
        <v>2872.1890111368493</v>
      </c>
      <c r="AO10" s="1006"/>
      <c r="AP10" s="1006"/>
      <c r="AV10" s="826"/>
      <c r="AW10" s="826"/>
      <c r="AX10" s="826"/>
      <c r="AY10" s="826"/>
      <c r="AZ10" s="826"/>
      <c r="BA10" s="826"/>
      <c r="BB10" s="826"/>
      <c r="BC10" s="826"/>
      <c r="BD10" s="826"/>
    </row>
    <row r="11" spans="4:57" x14ac:dyDescent="0.35">
      <c r="D11" s="991" t="s">
        <v>1929</v>
      </c>
      <c r="E11" s="59"/>
      <c r="F11" s="978"/>
      <c r="G11" s="994"/>
      <c r="H11" s="994"/>
      <c r="I11" s="994"/>
      <c r="J11" s="994"/>
      <c r="K11" s="994"/>
      <c r="L11" s="994"/>
      <c r="M11" s="994"/>
      <c r="N11" s="994"/>
      <c r="O11" s="994"/>
      <c r="P11" s="994"/>
      <c r="Q11" s="994"/>
      <c r="R11" s="994"/>
      <c r="S11" s="994"/>
      <c r="T11" s="994"/>
      <c r="U11" s="994"/>
      <c r="V11" s="994"/>
      <c r="W11" s="994"/>
      <c r="X11" s="994"/>
      <c r="Y11" s="921"/>
      <c r="Z11" s="921"/>
      <c r="AA11" s="921"/>
      <c r="AB11" s="921"/>
      <c r="AC11" s="921"/>
      <c r="AD11" s="921"/>
      <c r="AE11" s="921"/>
      <c r="AF11" s="921"/>
      <c r="AG11" s="1042"/>
      <c r="AH11" s="1042"/>
      <c r="AI11" s="1042"/>
      <c r="AJ11" s="1042"/>
      <c r="AK11" s="1042"/>
      <c r="AL11" s="1042"/>
      <c r="AM11" s="1042"/>
      <c r="AN11" s="1042"/>
      <c r="AO11" s="1006"/>
      <c r="AP11" s="1006">
        <v>-116</v>
      </c>
      <c r="AQ11">
        <v>0</v>
      </c>
      <c r="AR11">
        <v>-380</v>
      </c>
      <c r="AS11">
        <v>0</v>
      </c>
      <c r="AT11">
        <v>0</v>
      </c>
      <c r="AU11">
        <v>0</v>
      </c>
      <c r="AV11" s="826">
        <v>-55</v>
      </c>
      <c r="AW11" s="826">
        <v>0</v>
      </c>
      <c r="AX11" s="826">
        <v>0</v>
      </c>
      <c r="AY11" s="826">
        <v>0</v>
      </c>
      <c r="AZ11" s="826"/>
      <c r="BA11" s="826"/>
      <c r="BB11" s="826"/>
      <c r="BC11" s="826"/>
      <c r="BD11" s="826"/>
    </row>
    <row r="12" spans="4:57" x14ac:dyDescent="0.35">
      <c r="D12" s="635" t="s">
        <v>1699</v>
      </c>
      <c r="E12" s="59"/>
      <c r="F12" s="979"/>
      <c r="G12" s="980"/>
      <c r="H12" s="980"/>
      <c r="I12" s="980"/>
      <c r="J12" s="980"/>
      <c r="K12" s="980"/>
      <c r="L12" s="980"/>
      <c r="M12" s="980"/>
      <c r="N12" s="980"/>
      <c r="O12" s="980"/>
      <c r="P12" s="980"/>
      <c r="Q12" s="980"/>
      <c r="R12" s="980"/>
      <c r="S12" s="956"/>
      <c r="T12" s="956">
        <v>46</v>
      </c>
      <c r="U12" s="956">
        <v>-5</v>
      </c>
      <c r="V12" s="956">
        <v>12</v>
      </c>
      <c r="W12" s="956">
        <v>67</v>
      </c>
      <c r="X12" s="956">
        <v>7</v>
      </c>
      <c r="Y12" s="956">
        <v>-205</v>
      </c>
      <c r="Z12" s="956">
        <v>47</v>
      </c>
      <c r="AA12" s="956">
        <v>17</v>
      </c>
      <c r="AB12" s="956">
        <v>10</v>
      </c>
      <c r="AC12" s="956">
        <v>-32</v>
      </c>
      <c r="AD12" s="956">
        <v>42</v>
      </c>
      <c r="AE12" s="956">
        <v>155</v>
      </c>
      <c r="AF12" s="956">
        <v>54</v>
      </c>
      <c r="AG12" s="956">
        <v>-45</v>
      </c>
      <c r="AH12" s="956">
        <v>0</v>
      </c>
      <c r="AI12" s="956">
        <v>0</v>
      </c>
      <c r="AJ12" s="956">
        <v>0</v>
      </c>
      <c r="AK12" s="956">
        <v>70</v>
      </c>
      <c r="AL12" s="956">
        <v>0</v>
      </c>
      <c r="AM12" s="956">
        <v>0</v>
      </c>
      <c r="AN12" s="956">
        <v>0</v>
      </c>
      <c r="AO12" s="1006"/>
      <c r="AP12" s="1006"/>
      <c r="AV12" s="826"/>
      <c r="AW12" s="826"/>
      <c r="AX12" s="826"/>
      <c r="AY12" s="826"/>
      <c r="AZ12" s="826"/>
      <c r="BA12" s="826"/>
      <c r="BB12" s="826"/>
      <c r="BC12" s="826"/>
      <c r="BD12" s="826"/>
    </row>
    <row r="13" spans="4:57" x14ac:dyDescent="0.35">
      <c r="D13" s="635" t="s">
        <v>446</v>
      </c>
      <c r="E13" s="56" t="s">
        <v>109</v>
      </c>
      <c r="F13" s="977">
        <f>'Haver Pivoted'!GQ30</f>
        <v>1403.5</v>
      </c>
      <c r="G13" s="977">
        <f>'Haver Pivoted'!GR30</f>
        <v>1410.3</v>
      </c>
      <c r="H13" s="977">
        <f>'Haver Pivoted'!GS30</f>
        <v>1428.2</v>
      </c>
      <c r="I13" s="977">
        <f>'Haver Pivoted'!GT30</f>
        <v>1453.2</v>
      </c>
      <c r="J13" s="977">
        <f>'Haver Pivoted'!GU30</f>
        <v>1383.6</v>
      </c>
      <c r="K13" s="977">
        <f>'Haver Pivoted'!GV30</f>
        <v>1432.9</v>
      </c>
      <c r="L13" s="977">
        <f>'Haver Pivoted'!GW30</f>
        <v>1469.7</v>
      </c>
      <c r="M13" s="977">
        <f>'Haver Pivoted'!GX30</f>
        <v>1486.4</v>
      </c>
      <c r="N13" s="977">
        <f>'Haver Pivoted'!GY30</f>
        <v>1521.6</v>
      </c>
      <c r="O13" s="977">
        <f>'Haver Pivoted'!GZ30</f>
        <v>1558.7</v>
      </c>
      <c r="P13" s="977">
        <f>'Haver Pivoted'!HA30</f>
        <v>1604.6</v>
      </c>
      <c r="Q13" s="977">
        <f>'Haver Pivoted'!HB30</f>
        <v>1645.8</v>
      </c>
      <c r="R13" s="977">
        <f>'Haver Pivoted'!HC30</f>
        <v>1668</v>
      </c>
      <c r="S13" s="977">
        <f>'Haver Pivoted'!HD30</f>
        <v>1712</v>
      </c>
      <c r="T13" s="977">
        <f>'Haver Pivoted'!HE30</f>
        <v>1723</v>
      </c>
      <c r="U13" s="977">
        <f>'Haver Pivoted'!HF30</f>
        <v>1745.3</v>
      </c>
      <c r="V13" s="977">
        <f>'Haver Pivoted'!HG30</f>
        <v>1770.4</v>
      </c>
      <c r="W13" s="977">
        <f>'Haver Pivoted'!HH30</f>
        <v>1800.5</v>
      </c>
      <c r="X13" s="977">
        <f>'Haver Pivoted'!HI30</f>
        <v>1823.9</v>
      </c>
      <c r="Y13" s="977">
        <f>'Haver Pivoted'!HJ30</f>
        <v>1866.3</v>
      </c>
      <c r="Z13" s="977">
        <f>'Haver Pivoted'!HK30</f>
        <v>1892.8</v>
      </c>
      <c r="AA13" s="977">
        <f>'Haver Pivoted'!HL30</f>
        <v>1914.2</v>
      </c>
      <c r="AB13" s="977">
        <f>'Haver Pivoted'!HM30</f>
        <v>1937.6</v>
      </c>
      <c r="AC13" s="977">
        <f>'Haver Pivoted'!HN30</f>
        <v>1974</v>
      </c>
      <c r="AD13" s="977">
        <f>'Haver Pivoted'!HO30</f>
        <v>1982.9</v>
      </c>
      <c r="AE13" s="977">
        <f>'Haver Pivoted'!HP30</f>
        <v>1998.2</v>
      </c>
      <c r="AF13" s="977">
        <f>'Haver Pivoted'!HQ30</f>
        <v>2016.7</v>
      </c>
      <c r="AG13" s="1012">
        <f>AF13*(1+M64)^0.25+AG14</f>
        <v>2025.8305596284558</v>
      </c>
      <c r="AH13" s="1042">
        <f>AG13*(1+M64)^0.25+AH14</f>
        <v>2048.0613148211</v>
      </c>
      <c r="AI13" s="1042">
        <f>AH13*(1+M64)^0.25+AI14</f>
        <v>2070.5360225368645</v>
      </c>
      <c r="AJ13" s="1042">
        <f>AI13*(1+N64)^0.25+AJ14</f>
        <v>2090.3760939297413</v>
      </c>
      <c r="AK13" s="1012">
        <f>AJ13*(1+N64)^0.25+AK14</f>
        <v>2110.4062747573685</v>
      </c>
      <c r="AL13" s="1042">
        <f>AK13*(1+N64)^0.25+AL14</f>
        <v>2130.6283866662743</v>
      </c>
      <c r="AM13" s="1042">
        <f>AL13*(1+N64)^0.25+AM14</f>
        <v>2151.0442687581767</v>
      </c>
      <c r="AN13" s="1042">
        <f>AM13*(1+O64)^0.25+AN14</f>
        <v>2171.4461921519373</v>
      </c>
      <c r="AO13" s="1006"/>
      <c r="AP13" s="1006"/>
      <c r="AV13" s="826"/>
      <c r="AW13" s="826"/>
      <c r="AX13" s="826"/>
      <c r="AY13" s="826"/>
      <c r="AZ13" s="826"/>
      <c r="BA13" s="826"/>
      <c r="BB13" s="826"/>
      <c r="BC13" s="826"/>
      <c r="BD13" s="826"/>
    </row>
    <row r="14" spans="4:57" x14ac:dyDescent="0.35">
      <c r="D14" s="635" t="s">
        <v>1682</v>
      </c>
      <c r="E14" s="56"/>
      <c r="F14" s="978"/>
      <c r="G14" s="994"/>
      <c r="H14" s="994"/>
      <c r="I14" s="994"/>
      <c r="J14" s="994"/>
      <c r="K14" s="994"/>
      <c r="L14" s="994"/>
      <c r="M14" s="994"/>
      <c r="N14" s="994"/>
      <c r="O14" s="994"/>
      <c r="P14" s="994"/>
      <c r="Q14" s="994"/>
      <c r="R14" s="994"/>
      <c r="S14" s="994"/>
      <c r="T14" s="1042"/>
      <c r="U14" s="1042">
        <v>8</v>
      </c>
      <c r="V14" s="1042">
        <v>-10</v>
      </c>
      <c r="W14" s="1042">
        <v>-5</v>
      </c>
      <c r="X14" s="1042">
        <v>-6</v>
      </c>
      <c r="Y14" s="1042">
        <v>21</v>
      </c>
      <c r="Z14" s="1042">
        <v>5</v>
      </c>
      <c r="AA14" s="1042">
        <v>-10</v>
      </c>
      <c r="AB14" s="1042"/>
      <c r="AC14" s="1042">
        <v>5</v>
      </c>
      <c r="AD14" s="1042">
        <v>4</v>
      </c>
      <c r="AE14" s="1042">
        <v>-2</v>
      </c>
      <c r="AF14" s="1042">
        <v>-6</v>
      </c>
      <c r="AG14" s="1042">
        <v>-13</v>
      </c>
      <c r="AH14" s="1042"/>
      <c r="AI14" s="1042"/>
      <c r="AJ14" s="1042"/>
      <c r="AK14" s="1042"/>
      <c r="AL14" s="1042"/>
      <c r="AM14" s="1042"/>
      <c r="AN14" s="1042"/>
      <c r="AO14" s="1006"/>
      <c r="AP14" s="1006"/>
      <c r="AV14" s="826"/>
      <c r="AW14" s="826"/>
      <c r="AX14" s="826"/>
      <c r="AY14" s="826"/>
      <c r="AZ14" s="826"/>
      <c r="BA14" s="826"/>
      <c r="BB14" s="826"/>
      <c r="BC14" s="826"/>
      <c r="BD14" s="826"/>
    </row>
    <row r="15" spans="4:57" x14ac:dyDescent="0.35">
      <c r="D15" s="635" t="s">
        <v>447</v>
      </c>
      <c r="E15" s="59" t="s">
        <v>105</v>
      </c>
      <c r="F15" s="981">
        <f t="shared" ref="F15:AD15" si="2">F16+F17</f>
        <v>169.2</v>
      </c>
      <c r="G15" s="982">
        <f t="shared" si="2"/>
        <v>176.8</v>
      </c>
      <c r="H15" s="982">
        <f t="shared" si="2"/>
        <v>178.9</v>
      </c>
      <c r="I15" s="982">
        <f t="shared" si="2"/>
        <v>183.5</v>
      </c>
      <c r="J15" s="982">
        <f t="shared" si="2"/>
        <v>130.1</v>
      </c>
      <c r="K15" s="982">
        <f t="shared" si="2"/>
        <v>149.60000000000002</v>
      </c>
      <c r="L15" s="982">
        <f t="shared" si="2"/>
        <v>158.19999999999999</v>
      </c>
      <c r="M15" s="982">
        <f t="shared" si="2"/>
        <v>161.19999999999999</v>
      </c>
      <c r="N15" s="982">
        <f t="shared" si="2"/>
        <v>181.3</v>
      </c>
      <c r="O15" s="982">
        <f t="shared" si="2"/>
        <v>184</v>
      </c>
      <c r="P15" s="982">
        <f t="shared" si="2"/>
        <v>195.7</v>
      </c>
      <c r="Q15" s="982">
        <f t="shared" si="2"/>
        <v>206.8</v>
      </c>
      <c r="R15" s="982">
        <f t="shared" si="2"/>
        <v>210.7</v>
      </c>
      <c r="S15" s="982">
        <f t="shared" si="2"/>
        <v>200.9</v>
      </c>
      <c r="T15" s="982">
        <f t="shared" si="2"/>
        <v>188.6</v>
      </c>
      <c r="U15" s="982">
        <f t="shared" si="2"/>
        <v>180.60000000000002</v>
      </c>
      <c r="V15" s="982">
        <f t="shared" si="2"/>
        <v>177.6</v>
      </c>
      <c r="W15" s="982">
        <f t="shared" si="2"/>
        <v>175</v>
      </c>
      <c r="X15" s="982">
        <f t="shared" si="2"/>
        <v>174.7</v>
      </c>
      <c r="Y15" s="982">
        <f t="shared" si="2"/>
        <v>181.5</v>
      </c>
      <c r="Z15" s="982">
        <f t="shared" si="2"/>
        <v>179.9</v>
      </c>
      <c r="AA15" s="982">
        <f t="shared" si="2"/>
        <v>189.2</v>
      </c>
      <c r="AB15" s="982">
        <f t="shared" si="2"/>
        <v>189.89999999999998</v>
      </c>
      <c r="AC15" s="982">
        <f t="shared" si="2"/>
        <v>198.6</v>
      </c>
      <c r="AD15" s="982">
        <f t="shared" si="2"/>
        <v>370.7</v>
      </c>
      <c r="AE15" s="982">
        <f>AE16+AE17+AE18</f>
        <v>434.2</v>
      </c>
      <c r="AF15" s="982">
        <f>AF16+AF17+AF18</f>
        <v>467.1</v>
      </c>
      <c r="AG15" s="982">
        <f>AG16+AG17+AG18</f>
        <v>473.48288207117986</v>
      </c>
      <c r="AH15" s="982">
        <f>AH16+AH17</f>
        <v>461.95619623623196</v>
      </c>
      <c r="AI15" s="982">
        <f t="shared" ref="AI15:AN15" si="3">AI16+AI17+AI18</f>
        <v>468.30037714003453</v>
      </c>
      <c r="AJ15" s="982">
        <f t="shared" si="3"/>
        <v>467.03578762570476</v>
      </c>
      <c r="AK15" s="982">
        <f t="shared" si="3"/>
        <v>465.78308398419824</v>
      </c>
      <c r="AL15" s="982">
        <f t="shared" si="3"/>
        <v>464.5422341191213</v>
      </c>
      <c r="AM15" s="982">
        <f t="shared" si="3"/>
        <v>463.3132062357538</v>
      </c>
      <c r="AN15" s="982">
        <f t="shared" si="3"/>
        <v>461.5375146798562</v>
      </c>
      <c r="AO15" s="1006"/>
      <c r="AP15" s="1006"/>
      <c r="AV15" s="826"/>
      <c r="AW15" s="826"/>
      <c r="AX15" s="826"/>
      <c r="AY15" s="826"/>
      <c r="AZ15" s="826"/>
      <c r="BA15" s="826"/>
      <c r="BB15" s="826"/>
      <c r="BC15" s="826"/>
      <c r="BD15" s="826"/>
    </row>
    <row r="16" spans="4:57" x14ac:dyDescent="0.35">
      <c r="D16" s="635" t="s">
        <v>1942</v>
      </c>
      <c r="E16" s="59" t="s">
        <v>1944</v>
      </c>
      <c r="F16" s="541">
        <f>'Haver Pivoted'!GQ90</f>
        <v>70</v>
      </c>
      <c r="G16" s="541">
        <f>'Haver Pivoted'!GR90</f>
        <v>79.900000000000006</v>
      </c>
      <c r="H16" s="541">
        <f>'Haver Pivoted'!GS90</f>
        <v>85.4</v>
      </c>
      <c r="I16" s="541">
        <f>'Haver Pivoted'!GT90</f>
        <v>79.5</v>
      </c>
      <c r="J16" s="541">
        <f>'Haver Pivoted'!GU90</f>
        <v>55.4</v>
      </c>
      <c r="K16" s="541">
        <f>'Haver Pivoted'!GV90</f>
        <v>66.400000000000006</v>
      </c>
      <c r="L16" s="541">
        <f>'Haver Pivoted'!GW90</f>
        <v>73.2</v>
      </c>
      <c r="M16" s="541">
        <f>'Haver Pivoted'!GX90</f>
        <v>80.7</v>
      </c>
      <c r="N16" s="541">
        <f>'Haver Pivoted'!GY90</f>
        <v>89.8</v>
      </c>
      <c r="O16" s="541">
        <f>'Haver Pivoted'!GZ90</f>
        <v>89.2</v>
      </c>
      <c r="P16" s="541">
        <f>'Haver Pivoted'!HA90</f>
        <v>96.6</v>
      </c>
      <c r="Q16" s="541">
        <f>'Haver Pivoted'!HB90</f>
        <v>107.4</v>
      </c>
      <c r="R16" s="541">
        <f>'Haver Pivoted'!HC90</f>
        <v>110.2</v>
      </c>
      <c r="S16" s="541">
        <f>'Haver Pivoted'!HD90</f>
        <v>101.7</v>
      </c>
      <c r="T16" s="541">
        <f>'Haver Pivoted'!HE90</f>
        <v>90.1</v>
      </c>
      <c r="U16" s="541">
        <f>'Haver Pivoted'!HF90</f>
        <v>84.4</v>
      </c>
      <c r="V16" s="541">
        <f>'Haver Pivoted'!HG90</f>
        <v>83.5</v>
      </c>
      <c r="W16" s="541">
        <f>'Haver Pivoted'!HH90</f>
        <v>79.5</v>
      </c>
      <c r="X16" s="541">
        <f>'Haver Pivoted'!HI90</f>
        <v>79.099999999999994</v>
      </c>
      <c r="Y16" s="541">
        <f>'Haver Pivoted'!HJ90</f>
        <v>82.3</v>
      </c>
      <c r="Z16" s="541">
        <f>'Haver Pivoted'!HK90</f>
        <v>78.900000000000006</v>
      </c>
      <c r="AA16" s="541">
        <f>'Haver Pivoted'!HL90</f>
        <v>85.9</v>
      </c>
      <c r="AB16" s="541">
        <f>'Haver Pivoted'!HM90</f>
        <v>87.2</v>
      </c>
      <c r="AC16" s="541">
        <f>'Haver Pivoted'!HN90</f>
        <v>97</v>
      </c>
      <c r="AD16" s="541">
        <f>'Haver Pivoted'!HO90</f>
        <v>267.7</v>
      </c>
      <c r="AE16" s="541">
        <f>'Haver Pivoted'!HP90</f>
        <v>331.4</v>
      </c>
      <c r="AF16" s="541">
        <f>'Haver Pivoted'!HQ90</f>
        <v>364.3</v>
      </c>
      <c r="AG16" s="984">
        <f>AF16*(1+0.05)^0.25+AG18</f>
        <v>368.77077500249902</v>
      </c>
      <c r="AH16" s="984">
        <f t="shared" ref="AH16:AI16" si="4">AG16*(1+0.05)^0.25+AH18</f>
        <v>355.29641640390821</v>
      </c>
      <c r="AI16" s="984">
        <f t="shared" si="4"/>
        <v>359.65669731781458</v>
      </c>
      <c r="AJ16" s="984">
        <f>AI16*(1-0.02)^0.25</f>
        <v>357.84476715873535</v>
      </c>
      <c r="AK16" s="984">
        <f t="shared" ref="AK16:AN16" si="5">AJ16*(1-0.02)^0.25</f>
        <v>356.04196540161797</v>
      </c>
      <c r="AL16" s="984">
        <f t="shared" si="5"/>
        <v>354.24824605808811</v>
      </c>
      <c r="AM16" s="984">
        <f t="shared" si="5"/>
        <v>352.46356337145829</v>
      </c>
      <c r="AN16" s="984">
        <f t="shared" si="5"/>
        <v>350.6878718155607</v>
      </c>
      <c r="AO16" s="1006"/>
      <c r="AP16" s="541">
        <f>'Haver Pivoted'!IA90</f>
        <v>0</v>
      </c>
      <c r="AQ16" s="983">
        <f>AP16+89</f>
        <v>89</v>
      </c>
      <c r="AR16" s="984">
        <f>AQ16+60</f>
        <v>149</v>
      </c>
      <c r="AS16" s="984">
        <f>AR16*(1.038)^0.25</f>
        <v>150.39576488822217</v>
      </c>
      <c r="AT16" s="984">
        <f t="shared" ref="AT16" si="6">AS16*(1.038)^0.25</f>
        <v>151.80460467324431</v>
      </c>
      <c r="AU16" s="984">
        <f t="shared" ref="AU16" si="7">AT16*(1.038)^0.25</f>
        <v>153.22664183481052</v>
      </c>
      <c r="AV16" s="984">
        <f t="shared" ref="AV16" si="8">AU16*(1.038)^0.25</f>
        <v>154.66199999999995</v>
      </c>
      <c r="AW16" s="984">
        <f t="shared" ref="AW16" si="9">AV16*(1.038)^0.25</f>
        <v>156.11080395397457</v>
      </c>
      <c r="AX16" s="984">
        <f t="shared" ref="AX16" si="10">AW16*(1.038)^0.25</f>
        <v>157.57317965082754</v>
      </c>
      <c r="AY16" s="984">
        <f t="shared" ref="AY16" si="11">AX16*(1.038)^0.25</f>
        <v>159.04925422453326</v>
      </c>
      <c r="AZ16" s="984">
        <f t="shared" ref="AZ16" si="12">AY16*(1.038)^0.25</f>
        <v>160.53915599999988</v>
      </c>
      <c r="BA16" s="826"/>
      <c r="BB16" s="826"/>
      <c r="BC16" s="826"/>
      <c r="BD16" s="826"/>
    </row>
    <row r="17" spans="4:78" x14ac:dyDescent="0.35">
      <c r="D17" s="635" t="s">
        <v>1943</v>
      </c>
      <c r="E17" s="59" t="s">
        <v>1945</v>
      </c>
      <c r="F17" s="541">
        <f>'Haver Pivoted'!GQ91+'Haver Pivoted'!GQ92</f>
        <v>99.2</v>
      </c>
      <c r="G17" s="541">
        <f>'Haver Pivoted'!GR91+'Haver Pivoted'!GR92</f>
        <v>96.899999999999991</v>
      </c>
      <c r="H17" s="541">
        <f>'Haver Pivoted'!GS91+'Haver Pivoted'!GS92</f>
        <v>93.5</v>
      </c>
      <c r="I17" s="541">
        <f>'Haver Pivoted'!GT91+'Haver Pivoted'!GT92</f>
        <v>104</v>
      </c>
      <c r="J17" s="541">
        <f>'Haver Pivoted'!GU91+'Haver Pivoted'!GU92</f>
        <v>74.7</v>
      </c>
      <c r="K17" s="541">
        <f>'Haver Pivoted'!GV91+'Haver Pivoted'!GV92</f>
        <v>83.2</v>
      </c>
      <c r="L17" s="541">
        <f>'Haver Pivoted'!GW91+'Haver Pivoted'!GW92</f>
        <v>85</v>
      </c>
      <c r="M17" s="541">
        <f>'Haver Pivoted'!GX91+'Haver Pivoted'!GX92</f>
        <v>80.5</v>
      </c>
      <c r="N17" s="541">
        <f>'Haver Pivoted'!GY91+'Haver Pivoted'!GY92</f>
        <v>91.5</v>
      </c>
      <c r="O17" s="541">
        <f>'Haver Pivoted'!GZ91+'Haver Pivoted'!GZ92</f>
        <v>94.800000000000011</v>
      </c>
      <c r="P17" s="541">
        <f>'Haver Pivoted'!HA91+'Haver Pivoted'!HA92</f>
        <v>99.100000000000009</v>
      </c>
      <c r="Q17" s="541">
        <f>'Haver Pivoted'!HB91+'Haver Pivoted'!HB92</f>
        <v>99.4</v>
      </c>
      <c r="R17" s="541">
        <f>'Haver Pivoted'!HC91+'Haver Pivoted'!HC92</f>
        <v>100.5</v>
      </c>
      <c r="S17" s="541">
        <f>'Haver Pivoted'!HD91+'Haver Pivoted'!HD92</f>
        <v>99.2</v>
      </c>
      <c r="T17" s="541">
        <f>'Haver Pivoted'!HE91+'Haver Pivoted'!HE92</f>
        <v>98.5</v>
      </c>
      <c r="U17" s="541">
        <f>'Haver Pivoted'!HF91+'Haver Pivoted'!HF92</f>
        <v>96.2</v>
      </c>
      <c r="V17" s="541">
        <f>'Haver Pivoted'!HG91+'Haver Pivoted'!HG92</f>
        <v>94.1</v>
      </c>
      <c r="W17" s="541">
        <f>'Haver Pivoted'!HH91+'Haver Pivoted'!HH92</f>
        <v>95.5</v>
      </c>
      <c r="X17" s="541">
        <f>'Haver Pivoted'!HI91+'Haver Pivoted'!HI92</f>
        <v>95.6</v>
      </c>
      <c r="Y17" s="541">
        <f>'Haver Pivoted'!HJ91+'Haver Pivoted'!HJ92</f>
        <v>99.199999999999989</v>
      </c>
      <c r="Z17" s="541">
        <f>'Haver Pivoted'!HK91+'Haver Pivoted'!HK92</f>
        <v>101</v>
      </c>
      <c r="AA17" s="541">
        <f>'Haver Pivoted'!HL91+'Haver Pivoted'!HL92</f>
        <v>103.3</v>
      </c>
      <c r="AB17" s="541">
        <f>'Haver Pivoted'!HM91+'Haver Pivoted'!HM92</f>
        <v>102.69999999999999</v>
      </c>
      <c r="AC17" s="541">
        <f>'Haver Pivoted'!HN91+'Haver Pivoted'!HN92</f>
        <v>101.6</v>
      </c>
      <c r="AD17" s="541">
        <f>'Haver Pivoted'!HO91+'Haver Pivoted'!HO92</f>
        <v>103</v>
      </c>
      <c r="AE17" s="541">
        <f>'Haver Pivoted'!HP91+'Haver Pivoted'!HP92</f>
        <v>102.8</v>
      </c>
      <c r="AF17" s="541">
        <f>'Haver Pivoted'!HQ91+'Haver Pivoted'!HQ92</f>
        <v>102.8</v>
      </c>
      <c r="AG17" s="984">
        <f>AF17*(1+$M$67)^0.25</f>
        <v>104.71210706868085</v>
      </c>
      <c r="AH17" s="984">
        <f>AG17*(1+$M$67)^0.25</f>
        <v>106.65977983232376</v>
      </c>
      <c r="AI17" s="984">
        <f>AH17*(1+$M$67)^0.25</f>
        <v>108.64367982221997</v>
      </c>
      <c r="AJ17" s="984">
        <f>AI17*(1+$N$67)^0.25</f>
        <v>109.19102046696938</v>
      </c>
      <c r="AK17" s="984">
        <f>AJ17*(1+$N$67)^0.25</f>
        <v>109.74111858258028</v>
      </c>
      <c r="AL17" s="984">
        <f>AK17*(1+$N$67)^0.25</f>
        <v>110.29398806103316</v>
      </c>
      <c r="AM17" s="984">
        <f>AL17*(1+$N$67)^0.25</f>
        <v>110.84964286429549</v>
      </c>
      <c r="AN17" s="984">
        <f>AM17*(1+$O$67)^0.25</f>
        <v>110.84964286429549</v>
      </c>
      <c r="AO17" s="1006"/>
      <c r="AP17" s="1006"/>
      <c r="AV17" s="826"/>
      <c r="AW17" s="826"/>
      <c r="AX17" s="826"/>
      <c r="AY17" s="826"/>
      <c r="AZ17" s="826"/>
      <c r="BA17" s="826"/>
      <c r="BB17" s="826"/>
      <c r="BC17" s="826"/>
      <c r="BD17" s="826"/>
    </row>
    <row r="18" spans="4:78" x14ac:dyDescent="0.35">
      <c r="D18" s="1029" t="s">
        <v>2005</v>
      </c>
      <c r="E18" s="1030"/>
      <c r="F18" s="979"/>
      <c r="G18" s="980"/>
      <c r="H18" s="980"/>
      <c r="I18" s="980"/>
      <c r="J18" s="980"/>
      <c r="K18" s="980"/>
      <c r="L18" s="980"/>
      <c r="M18" s="980"/>
      <c r="N18" s="980"/>
      <c r="O18" s="980"/>
      <c r="P18" s="980"/>
      <c r="Q18" s="980"/>
      <c r="R18" s="980"/>
      <c r="S18" s="956"/>
      <c r="T18" s="956"/>
      <c r="U18" s="956"/>
      <c r="V18" s="956"/>
      <c r="W18" s="956"/>
      <c r="X18" s="956"/>
      <c r="Y18" s="956"/>
      <c r="Z18" s="956"/>
      <c r="AA18" s="956"/>
      <c r="AB18" s="956"/>
      <c r="AC18" s="956"/>
      <c r="AD18" s="956"/>
      <c r="AE18" s="956"/>
      <c r="AF18" s="956"/>
      <c r="AG18" s="956"/>
      <c r="AH18" s="956">
        <v>-18</v>
      </c>
      <c r="AI18" s="956"/>
      <c r="AJ18" s="956"/>
      <c r="AK18" s="956"/>
      <c r="AL18" s="956"/>
      <c r="AM18" s="956"/>
      <c r="AN18" s="956"/>
      <c r="AO18" s="1006"/>
      <c r="AP18" s="1006"/>
      <c r="AV18" s="826"/>
      <c r="AW18" s="826"/>
      <c r="AX18" s="826"/>
      <c r="AY18" s="826"/>
      <c r="AZ18" s="826"/>
      <c r="BA18" s="826"/>
      <c r="BB18" s="826"/>
      <c r="BC18" s="826"/>
      <c r="BD18" s="826"/>
    </row>
    <row r="19" spans="4:78" ht="14.9" customHeight="1" x14ac:dyDescent="0.35">
      <c r="D19" s="923" t="s">
        <v>2048</v>
      </c>
      <c r="E19" s="1027" t="s">
        <v>107</v>
      </c>
      <c r="F19" s="985">
        <f>'Haver Pivoted'!GQ29</f>
        <v>205.6</v>
      </c>
      <c r="G19" s="985">
        <f>'Haver Pivoted'!GR29</f>
        <v>206.9</v>
      </c>
      <c r="H19" s="985">
        <f>'Haver Pivoted'!GS29</f>
        <v>231.9</v>
      </c>
      <c r="I19" s="985">
        <f>'Haver Pivoted'!GT29</f>
        <v>192.5</v>
      </c>
      <c r="J19" s="985">
        <f>'Haver Pivoted'!GU29</f>
        <v>199.7</v>
      </c>
      <c r="K19" s="985">
        <f>'Haver Pivoted'!GV29</f>
        <v>257.7</v>
      </c>
      <c r="L19" s="985">
        <f>'Haver Pivoted'!GW29</f>
        <v>251</v>
      </c>
      <c r="M19" s="985">
        <f>'Haver Pivoted'!GX29</f>
        <v>280</v>
      </c>
      <c r="N19" s="985">
        <f>'Haver Pivoted'!GY29</f>
        <v>339.3</v>
      </c>
      <c r="O19" s="985">
        <f>'Haver Pivoted'!GZ29</f>
        <v>348.7</v>
      </c>
      <c r="P19" s="985">
        <f>'Haver Pivoted'!HA29</f>
        <v>374</v>
      </c>
      <c r="Q19" s="985">
        <f>'Haver Pivoted'!HB29</f>
        <v>385</v>
      </c>
      <c r="R19" s="985">
        <f>'Haver Pivoted'!HC29</f>
        <v>425.6</v>
      </c>
      <c r="S19" s="985">
        <f>'Haver Pivoted'!HD29</f>
        <v>416.9</v>
      </c>
      <c r="T19" s="985">
        <f>'Haver Pivoted'!HE29</f>
        <v>419.3</v>
      </c>
      <c r="U19" s="985">
        <f>'Haver Pivoted'!HF29</f>
        <v>419.2</v>
      </c>
      <c r="V19" s="985">
        <f>'Haver Pivoted'!HG29</f>
        <v>415.5</v>
      </c>
      <c r="W19" s="985">
        <f>'Haver Pivoted'!HH29</f>
        <v>428.4</v>
      </c>
      <c r="X19" s="985">
        <f>'Haver Pivoted'!HI29</f>
        <v>442.7</v>
      </c>
      <c r="Y19" s="985">
        <f>'Haver Pivoted'!HJ29</f>
        <v>472.3</v>
      </c>
      <c r="Z19" s="985">
        <f>'Haver Pivoted'!HK29</f>
        <v>495.3</v>
      </c>
      <c r="AA19" s="985">
        <f>'Haver Pivoted'!HL29</f>
        <v>490.6</v>
      </c>
      <c r="AB19" s="985">
        <f>'Haver Pivoted'!HM29</f>
        <v>508.6</v>
      </c>
      <c r="AC19" s="985">
        <f>'Haver Pivoted'!HN29</f>
        <v>469.2</v>
      </c>
      <c r="AD19" s="985">
        <f>'Haver Pivoted'!HO29</f>
        <v>469.7</v>
      </c>
      <c r="AE19" s="985">
        <f>'Haver Pivoted'!HP29+AE21</f>
        <v>208.5</v>
      </c>
      <c r="AF19" s="1042">
        <f>AE19*(1+$M$71)^0.25+AF21</f>
        <v>457.71681387337446</v>
      </c>
      <c r="AG19" s="1042">
        <f>AF19*(1+$M$71)^0.25+AG21</f>
        <v>445.02107513037333</v>
      </c>
      <c r="AH19" s="1042">
        <f>AG19*(1+$M$71)^0.25+AH21</f>
        <v>432.67747940975011</v>
      </c>
      <c r="AI19" s="1042">
        <f>AH19*(1+$M$71)^0.25+AI21</f>
        <v>420.67625928396706</v>
      </c>
      <c r="AJ19" s="1042">
        <f>AI19*(1+$M$71)^0.25+AJ21</f>
        <v>439.00791824563726</v>
      </c>
      <c r="AK19" s="1042">
        <f>AJ19*(1+$N71)^0.25+AK21</f>
        <v>443.11183920870417</v>
      </c>
      <c r="AL19" s="1042">
        <f>AK19*(1+$N71)^0.25+AL21</f>
        <v>447.25412432551667</v>
      </c>
      <c r="AM19" s="1042">
        <f>AL19*(1+$N71)^0.25+AM21</f>
        <v>451.43513223073313</v>
      </c>
      <c r="AN19" s="1042">
        <f>AM19*(1+$N71)^0.25+AN21</f>
        <v>455.65522491158993</v>
      </c>
      <c r="AO19" s="1006"/>
      <c r="AP19" s="1006"/>
      <c r="AV19" s="1034"/>
      <c r="AW19" s="1034"/>
      <c r="AX19" s="1034"/>
      <c r="AY19" s="1034"/>
      <c r="AZ19" s="1034"/>
      <c r="BA19" s="1034"/>
      <c r="BB19" s="1034"/>
      <c r="BC19" s="1034"/>
      <c r="BD19" s="1034"/>
    </row>
    <row r="20" spans="4:78" ht="14.9" customHeight="1" x14ac:dyDescent="0.35">
      <c r="D20" s="919" t="s">
        <v>2045</v>
      </c>
      <c r="E20" s="1027" t="s">
        <v>107</v>
      </c>
      <c r="F20" s="985">
        <v>205.6</v>
      </c>
      <c r="G20" s="918">
        <v>206.9</v>
      </c>
      <c r="H20" s="918">
        <v>231.9</v>
      </c>
      <c r="I20" s="918">
        <v>192.5</v>
      </c>
      <c r="J20" s="918">
        <v>199.7</v>
      </c>
      <c r="K20" s="918">
        <v>257.7</v>
      </c>
      <c r="L20" s="918">
        <v>251</v>
      </c>
      <c r="M20" s="918">
        <v>280</v>
      </c>
      <c r="N20" s="918">
        <v>339.3</v>
      </c>
      <c r="O20" s="918">
        <v>348.7</v>
      </c>
      <c r="P20" s="918">
        <v>374</v>
      </c>
      <c r="Q20" s="918">
        <v>385</v>
      </c>
      <c r="R20" s="918">
        <v>425.6</v>
      </c>
      <c r="S20" s="918">
        <v>416.9</v>
      </c>
      <c r="T20" s="918">
        <v>419.3</v>
      </c>
      <c r="U20" s="918">
        <v>419.2</v>
      </c>
      <c r="V20" s="918">
        <v>415.5</v>
      </c>
      <c r="W20" s="918">
        <v>428.4</v>
      </c>
      <c r="X20" s="918">
        <v>442.7</v>
      </c>
      <c r="Y20" s="918">
        <v>472.3</v>
      </c>
      <c r="Z20" s="918">
        <v>495.3</v>
      </c>
      <c r="AA20" s="918">
        <v>490.6</v>
      </c>
      <c r="AB20" s="918">
        <v>508.6</v>
      </c>
      <c r="AC20" s="918">
        <v>469.2</v>
      </c>
      <c r="AD20" s="918">
        <v>469.7</v>
      </c>
      <c r="AE20" s="1042">
        <v>78.824649082816052</v>
      </c>
      <c r="AF20" s="1042">
        <v>333.33760146829013</v>
      </c>
      <c r="AG20" s="1042">
        <v>331.27795026126284</v>
      </c>
      <c r="AH20" s="1042">
        <v>329.23102538056634</v>
      </c>
      <c r="AI20" s="1042">
        <v>327.19674819182734</v>
      </c>
      <c r="AJ20" s="1042">
        <v>325.17504054654444</v>
      </c>
      <c r="AK20" s="1042">
        <v>333.16582477908605</v>
      </c>
      <c r="AL20" s="1042">
        <v>331.10723495866409</v>
      </c>
      <c r="AM20" s="1042">
        <v>329.0613649063983</v>
      </c>
      <c r="AN20" s="1042">
        <v>387.18906678769639</v>
      </c>
      <c r="AO20" s="1006"/>
      <c r="AP20" s="1006"/>
      <c r="AV20" s="1034"/>
      <c r="AW20" s="1034"/>
      <c r="AX20" s="1034"/>
      <c r="AY20" s="1034"/>
      <c r="AZ20" s="1034"/>
      <c r="BA20" s="1034"/>
      <c r="BB20" s="1034"/>
      <c r="BC20" s="1034"/>
      <c r="BD20" s="1034"/>
    </row>
    <row r="21" spans="4:78" ht="14.9" customHeight="1" x14ac:dyDescent="0.35">
      <c r="D21" s="992" t="s">
        <v>2011</v>
      </c>
      <c r="E21" s="1027"/>
      <c r="F21" s="986"/>
      <c r="G21" s="987"/>
      <c r="H21" s="987"/>
      <c r="I21" s="987"/>
      <c r="J21" s="987"/>
      <c r="K21" s="987"/>
      <c r="L21" s="987"/>
      <c r="M21" s="987"/>
      <c r="N21" s="987"/>
      <c r="O21" s="987"/>
      <c r="P21" s="987"/>
      <c r="Q21" s="987"/>
      <c r="R21" s="987"/>
      <c r="S21" s="987"/>
      <c r="T21" s="987"/>
      <c r="U21" s="987"/>
      <c r="V21" s="987"/>
      <c r="W21" s="987"/>
      <c r="X21" s="987"/>
      <c r="Y21" s="987"/>
      <c r="Z21" s="987"/>
      <c r="AA21" s="987"/>
      <c r="AB21" s="1042"/>
      <c r="AC21" s="1042"/>
      <c r="AD21" s="1042"/>
      <c r="AE21" s="1042">
        <v>-300</v>
      </c>
      <c r="AF21" s="1042">
        <v>255</v>
      </c>
      <c r="AG21" s="1042"/>
      <c r="AH21" s="1042"/>
      <c r="AI21" s="1042"/>
      <c r="AJ21" s="1042">
        <v>30</v>
      </c>
      <c r="AK21" s="1042"/>
      <c r="AL21" s="1042"/>
      <c r="AM21" s="1042"/>
      <c r="AN21" s="1042"/>
      <c r="AO21" s="1006"/>
      <c r="AP21" s="1006">
        <v>-400</v>
      </c>
      <c r="AQ21">
        <v>255</v>
      </c>
      <c r="AR21">
        <v>0</v>
      </c>
      <c r="AS21">
        <v>0</v>
      </c>
      <c r="AT21">
        <v>0</v>
      </c>
      <c r="AU21">
        <v>0</v>
      </c>
      <c r="AV21" s="1034">
        <v>10</v>
      </c>
      <c r="AW21" s="1034">
        <v>0</v>
      </c>
      <c r="AX21" s="1034">
        <v>0</v>
      </c>
      <c r="AY21" s="1034">
        <v>0</v>
      </c>
      <c r="AZ21" s="1034"/>
      <c r="BA21" s="1034"/>
      <c r="BB21" s="1034"/>
      <c r="BC21" s="1034"/>
      <c r="BD21" s="1034"/>
    </row>
    <row r="22" spans="4:78" x14ac:dyDescent="0.35">
      <c r="E22" s="900"/>
      <c r="F22" s="1054"/>
      <c r="G22" s="1049"/>
      <c r="H22" s="1049"/>
      <c r="I22" s="1049"/>
      <c r="J22" s="1049"/>
      <c r="K22" s="1049"/>
      <c r="L22" s="1049"/>
      <c r="M22" s="1049"/>
      <c r="N22" s="1049"/>
      <c r="O22" s="1049"/>
      <c r="P22" s="1049"/>
      <c r="Q22" s="1049"/>
      <c r="R22" s="1049"/>
      <c r="S22" s="1049"/>
      <c r="T22" s="1049"/>
      <c r="U22" s="957"/>
      <c r="V22" s="1049"/>
      <c r="W22" s="1049"/>
      <c r="X22" s="989"/>
      <c r="Y22" s="1049"/>
      <c r="Z22" s="1049"/>
      <c r="AA22" s="1049"/>
      <c r="AB22" s="989"/>
      <c r="AC22" s="1049"/>
      <c r="AD22" s="633"/>
      <c r="AE22" s="1049"/>
      <c r="AF22" s="989"/>
      <c r="AG22" s="989"/>
      <c r="AH22" s="1006"/>
      <c r="AI22" s="1006"/>
      <c r="AJ22" s="989"/>
      <c r="AK22" s="989"/>
      <c r="AL22" s="1006"/>
      <c r="AM22" s="1006"/>
      <c r="AN22" s="1006"/>
      <c r="AO22" s="1006"/>
      <c r="AP22" s="1006"/>
    </row>
    <row r="23" spans="4:78" x14ac:dyDescent="0.35">
      <c r="D23" s="955" t="s">
        <v>436</v>
      </c>
      <c r="E23" s="56"/>
      <c r="F23" s="1054"/>
      <c r="G23" s="1049"/>
      <c r="H23" s="1049"/>
      <c r="I23" s="1049"/>
      <c r="J23" s="1049"/>
      <c r="K23" s="1049"/>
      <c r="L23" s="1049"/>
      <c r="M23" s="1049"/>
      <c r="N23" s="1049"/>
      <c r="O23" s="1049"/>
      <c r="P23" s="1049"/>
      <c r="Q23" s="1049"/>
      <c r="R23" s="1049"/>
      <c r="S23" s="1049"/>
      <c r="T23" s="1049"/>
      <c r="U23" s="1049"/>
      <c r="V23" s="1049"/>
      <c r="W23" s="1049"/>
      <c r="X23" s="989"/>
      <c r="Y23" s="1049"/>
      <c r="Z23" s="1049"/>
      <c r="AA23" s="1049"/>
      <c r="AB23" s="989"/>
      <c r="AC23" s="1049"/>
      <c r="AD23" s="633"/>
      <c r="AE23" s="1049"/>
      <c r="AF23" s="989"/>
      <c r="AG23" s="989"/>
      <c r="AH23" s="1006"/>
      <c r="AI23" s="1006"/>
      <c r="AJ23" s="989"/>
      <c r="AK23" s="989"/>
      <c r="AL23" s="1006"/>
      <c r="AM23" s="922"/>
      <c r="AN23" s="1006"/>
      <c r="AO23" s="1006"/>
      <c r="AP23" s="1006"/>
    </row>
    <row r="24" spans="4:78" ht="14.9" customHeight="1" x14ac:dyDescent="0.35">
      <c r="D24" s="1033" t="s">
        <v>444</v>
      </c>
      <c r="E24" s="1028"/>
      <c r="F24" s="949">
        <f t="shared" ref="F24:M24" si="13">SUM(F26:F29)</f>
        <v>1902.8</v>
      </c>
      <c r="G24" s="1013">
        <f t="shared" si="13"/>
        <v>1893</v>
      </c>
      <c r="H24" s="1013">
        <f t="shared" si="13"/>
        <v>1884.1999999999998</v>
      </c>
      <c r="I24" s="1013">
        <f t="shared" si="13"/>
        <v>1889</v>
      </c>
      <c r="J24" s="1013">
        <f t="shared" si="13"/>
        <v>1797.5</v>
      </c>
      <c r="K24" s="1013">
        <f t="shared" si="13"/>
        <v>1924.5</v>
      </c>
      <c r="L24" s="1013">
        <f t="shared" si="13"/>
        <v>1961.9</v>
      </c>
      <c r="M24" s="1013">
        <f t="shared" si="13"/>
        <v>2012.3000000000002</v>
      </c>
      <c r="N24" s="1044">
        <f t="shared" ref="N24:AE24" si="14">SUM(N26,N28,N29)</f>
        <v>2119.1999999999998</v>
      </c>
      <c r="O24" s="1044">
        <f t="shared" si="14"/>
        <v>2124.1000000000004</v>
      </c>
      <c r="P24" s="1044">
        <f t="shared" si="14"/>
        <v>2193.1000000000004</v>
      </c>
      <c r="Q24" s="1044">
        <f t="shared" si="14"/>
        <v>2285.3000000000002</v>
      </c>
      <c r="R24" s="1044">
        <f t="shared" si="14"/>
        <v>2353.3000000000002</v>
      </c>
      <c r="S24" s="1044">
        <f t="shared" si="14"/>
        <v>2270.6999999999998</v>
      </c>
      <c r="T24" s="1044">
        <f t="shared" si="14"/>
        <v>2266.1000000000004</v>
      </c>
      <c r="U24" s="1044">
        <f t="shared" si="14"/>
        <v>2245.5</v>
      </c>
      <c r="V24" s="1044">
        <f t="shared" si="14"/>
        <v>2236.1</v>
      </c>
      <c r="W24" s="1044">
        <f t="shared" si="14"/>
        <v>2270.3000000000002</v>
      </c>
      <c r="X24" s="1044">
        <f t="shared" si="14"/>
        <v>2301.1</v>
      </c>
      <c r="Y24" s="1044">
        <f t="shared" si="14"/>
        <v>2325.5</v>
      </c>
      <c r="Z24" s="1044">
        <f t="shared" si="14"/>
        <v>2363.6</v>
      </c>
      <c r="AA24" s="1044">
        <f t="shared" si="14"/>
        <v>2400.1</v>
      </c>
      <c r="AB24" s="1044">
        <f t="shared" si="14"/>
        <v>2436.6</v>
      </c>
      <c r="AC24" s="1044">
        <f t="shared" si="14"/>
        <v>2460.1</v>
      </c>
      <c r="AD24" s="1044">
        <f t="shared" si="14"/>
        <v>2490.5</v>
      </c>
      <c r="AE24" s="1044">
        <f t="shared" si="14"/>
        <v>2523.6000000000004</v>
      </c>
      <c r="AF24" s="1044">
        <f>SUM(AF26,AF28,AF29)</f>
        <v>2564.3999999999996</v>
      </c>
      <c r="AG24" s="1044">
        <f t="shared" ref="AG24:AN24" si="15">SUM(AG26,AG28,AG29)</f>
        <v>2587.0956271646055</v>
      </c>
      <c r="AH24" s="1044">
        <f t="shared" si="15"/>
        <v>2620.2518439313071</v>
      </c>
      <c r="AI24" s="1044">
        <f t="shared" si="15"/>
        <v>2650.1216841840487</v>
      </c>
      <c r="AJ24" s="1044">
        <f t="shared" si="15"/>
        <v>2678.1766203815573</v>
      </c>
      <c r="AK24" s="1044">
        <f t="shared" si="15"/>
        <v>2703.7773350444977</v>
      </c>
      <c r="AL24" s="1044">
        <f t="shared" si="15"/>
        <v>2729.4359962967014</v>
      </c>
      <c r="AM24" s="1044">
        <f t="shared" si="15"/>
        <v>2756.1492686552156</v>
      </c>
      <c r="AN24" s="1044">
        <f t="shared" si="15"/>
        <v>2783.2012152323091</v>
      </c>
      <c r="AO24" s="1006"/>
      <c r="AP24" s="992" t="s">
        <v>2011</v>
      </c>
      <c r="AQ24" s="1027"/>
      <c r="AR24" s="986"/>
      <c r="AS24" s="987"/>
      <c r="AT24" s="987"/>
      <c r="AU24" s="987"/>
      <c r="AV24" s="987"/>
      <c r="AW24" s="987"/>
      <c r="AX24" s="987"/>
      <c r="AY24" s="987"/>
      <c r="AZ24" s="987"/>
      <c r="BA24" s="987"/>
      <c r="BB24" s="987"/>
      <c r="BC24" s="987"/>
      <c r="BD24" s="987"/>
      <c r="BE24" s="987"/>
      <c r="BF24" s="987"/>
      <c r="BG24" s="987"/>
      <c r="BH24" s="987"/>
      <c r="BI24" s="987"/>
      <c r="BJ24" s="987"/>
      <c r="BK24" s="987"/>
      <c r="BL24" s="987"/>
      <c r="BM24" s="987"/>
      <c r="BN24" s="1042">
        <v>0</v>
      </c>
      <c r="BO24" s="1042">
        <v>0</v>
      </c>
      <c r="BP24" s="1042">
        <v>0</v>
      </c>
      <c r="BQ24" s="1042">
        <v>-400</v>
      </c>
      <c r="BR24" s="1042">
        <v>255</v>
      </c>
      <c r="BS24" s="1042">
        <v>0</v>
      </c>
      <c r="BT24" s="1042">
        <v>0</v>
      </c>
      <c r="BU24" s="1042">
        <v>0</v>
      </c>
      <c r="BV24" s="1042">
        <v>0</v>
      </c>
      <c r="BW24" s="1042">
        <v>10</v>
      </c>
      <c r="BX24" s="1042">
        <v>0</v>
      </c>
      <c r="BY24" s="1042">
        <v>0</v>
      </c>
      <c r="BZ24" s="1042">
        <v>0</v>
      </c>
    </row>
    <row r="25" spans="4:78" ht="14.9" customHeight="1" x14ac:dyDescent="0.35">
      <c r="D25" s="1033"/>
      <c r="E25" s="1028"/>
      <c r="F25" s="949"/>
      <c r="G25" s="1013"/>
      <c r="H25" s="1013"/>
      <c r="I25" s="1013"/>
      <c r="J25" s="1013"/>
      <c r="K25" s="1013"/>
      <c r="L25" s="1013"/>
      <c r="M25" s="1013"/>
      <c r="N25" s="1013"/>
      <c r="O25" s="1013"/>
      <c r="P25" s="1013"/>
      <c r="Q25" s="1013"/>
      <c r="R25" s="1013"/>
      <c r="S25" s="1013"/>
      <c r="T25" s="988">
        <f t="shared" ref="T25:AC25" si="16">(T24/S24)^4-1</f>
        <v>-8.0786379529033114E-3</v>
      </c>
      <c r="U25" s="988">
        <f t="shared" si="16"/>
        <v>-3.5869205711249075E-2</v>
      </c>
      <c r="V25" s="988">
        <f t="shared" si="16"/>
        <v>-1.6639750319704882E-2</v>
      </c>
      <c r="W25" s="988">
        <f t="shared" si="16"/>
        <v>6.2595837084799877E-2</v>
      </c>
      <c r="X25" s="988">
        <f t="shared" si="16"/>
        <v>5.5380275288517966E-2</v>
      </c>
      <c r="Y25" s="988">
        <f t="shared" si="16"/>
        <v>4.3093900105374727E-2</v>
      </c>
      <c r="Z25" s="988">
        <f t="shared" si="16"/>
        <v>6.7162485431403907E-2</v>
      </c>
      <c r="AA25" s="988">
        <f t="shared" si="16"/>
        <v>6.321580164643259E-2</v>
      </c>
      <c r="AB25" s="988">
        <f t="shared" si="16"/>
        <v>6.2232565571658016E-2</v>
      </c>
      <c r="AC25" s="988">
        <f t="shared" si="16"/>
        <v>3.914005232977269E-2</v>
      </c>
      <c r="AD25" s="988">
        <f>(AD24/AC24)^4-1</f>
        <v>5.0352661660615805E-2</v>
      </c>
      <c r="AE25" s="988">
        <f t="shared" ref="AE25" si="17">(AE24/AD24)^4-1</f>
        <v>5.4231262231418054E-2</v>
      </c>
      <c r="AF25" s="988">
        <f t="shared" ref="AF25" si="18">(AF24/AE24)^4-1</f>
        <v>6.6254796687862605E-2</v>
      </c>
      <c r="AG25" s="988">
        <f t="shared" ref="AG25" si="19">(AG24/AF24)^4-1</f>
        <v>3.58738143140791E-2</v>
      </c>
      <c r="AH25" s="988">
        <f t="shared" ref="AH25" si="20">(AH24/AG24)^4-1</f>
        <v>5.225794494794922E-2</v>
      </c>
      <c r="AI25" s="988">
        <f t="shared" ref="AI25" si="21">(AI24/AH24)^4-1</f>
        <v>4.6384075095180277E-2</v>
      </c>
      <c r="AJ25" s="988">
        <f t="shared" ref="AJ25" si="22">(AJ24/AI24)^4-1</f>
        <v>4.3022303463649214E-2</v>
      </c>
      <c r="AK25" s="988">
        <f t="shared" ref="AK25" si="23">(AK24/AJ24)^4-1</f>
        <v>3.878778644892833E-2</v>
      </c>
      <c r="AL25" s="988">
        <f t="shared" ref="AL25" si="24">(AL24/AK24)^4-1</f>
        <v>3.850350483443199E-2</v>
      </c>
      <c r="AM25" s="988">
        <f t="shared" ref="AM25" si="25">(AM24/AL24)^4-1</f>
        <v>3.9726897116440396E-2</v>
      </c>
      <c r="AN25" s="988">
        <f t="shared" ref="AN25" si="26">(AN24/AM24)^4-1</f>
        <v>3.9842307076111583E-2</v>
      </c>
      <c r="AO25" s="1006"/>
      <c r="AP25" s="1006"/>
    </row>
    <row r="26" spans="4:78" x14ac:dyDescent="0.35">
      <c r="D26" s="635" t="s">
        <v>449</v>
      </c>
      <c r="E26" s="56" t="s">
        <v>450</v>
      </c>
      <c r="F26" s="1009">
        <f>'Haver Pivoted'!GQ33</f>
        <v>531</v>
      </c>
      <c r="G26" s="927">
        <f>'Haver Pivoted'!GR33</f>
        <v>495.6</v>
      </c>
      <c r="H26" s="927">
        <f>'Haver Pivoted'!GS33</f>
        <v>490.1</v>
      </c>
      <c r="I26" s="927">
        <f>'Haver Pivoted'!GT33</f>
        <v>496.9</v>
      </c>
      <c r="J26" s="927">
        <f>'Haver Pivoted'!GU33</f>
        <v>490.3</v>
      </c>
      <c r="K26" s="927">
        <f>'Haver Pivoted'!GV33</f>
        <v>513.9</v>
      </c>
      <c r="L26" s="927">
        <f>'Haver Pivoted'!GW33</f>
        <v>528.1</v>
      </c>
      <c r="M26" s="927">
        <f>'Haver Pivoted'!GX33</f>
        <v>550.6</v>
      </c>
      <c r="N26" s="927">
        <f>'Haver Pivoted'!GY33</f>
        <v>573.9</v>
      </c>
      <c r="O26" s="927">
        <f>'Haver Pivoted'!GZ33</f>
        <v>565</v>
      </c>
      <c r="P26" s="927">
        <f>'Haver Pivoted'!HA33</f>
        <v>592</v>
      </c>
      <c r="Q26" s="927">
        <f>'Haver Pivoted'!HB33</f>
        <v>663.7</v>
      </c>
      <c r="R26" s="927">
        <f>'Haver Pivoted'!HC33</f>
        <v>697.2</v>
      </c>
      <c r="S26" s="927">
        <f>'Haver Pivoted'!HD33</f>
        <v>597.1</v>
      </c>
      <c r="T26" s="1040">
        <f>'Haver Pivoted'!HE33</f>
        <v>593.70000000000005</v>
      </c>
      <c r="U26" s="1040">
        <f>'Haver Pivoted'!HF33</f>
        <v>559.6</v>
      </c>
      <c r="V26" s="1040">
        <f>'Haver Pivoted'!HG33</f>
        <v>547.9</v>
      </c>
      <c r="W26" s="1040">
        <f>'Haver Pivoted'!HH33</f>
        <v>558.29999999999995</v>
      </c>
      <c r="X26" s="1040">
        <f>'Haver Pivoted'!HI33</f>
        <v>562.9</v>
      </c>
      <c r="Y26" s="1040">
        <f>'Haver Pivoted'!HJ33</f>
        <v>560.29999999999995</v>
      </c>
      <c r="Z26" s="1040">
        <f>'Haver Pivoted'!HK33</f>
        <v>573.79999999999995</v>
      </c>
      <c r="AA26" s="1040">
        <f>'Haver Pivoted'!HL33</f>
        <v>595.70000000000005</v>
      </c>
      <c r="AB26" s="1040">
        <f>'Haver Pivoted'!HM33</f>
        <v>610.20000000000005</v>
      </c>
      <c r="AC26" s="1040">
        <f>'Haver Pivoted'!HN33</f>
        <v>615.70000000000005</v>
      </c>
      <c r="AD26" s="1040">
        <f>'Haver Pivoted'!HO33</f>
        <v>629</v>
      </c>
      <c r="AE26" s="1040">
        <f>'Haver Pivoted'!HP33</f>
        <v>638.70000000000005</v>
      </c>
      <c r="AF26" s="1040">
        <f>'Haver Pivoted'!HQ33</f>
        <v>656.8</v>
      </c>
      <c r="AG26" s="994">
        <f t="shared" ref="AG26:AN26" si="27">$AC130*AG139*(AG112/$AC112)+AG27</f>
        <v>666.27099396911638</v>
      </c>
      <c r="AH26" s="994">
        <f t="shared" si="27"/>
        <v>675.4111817468588</v>
      </c>
      <c r="AI26" s="994">
        <f t="shared" si="27"/>
        <v>683.25520597665718</v>
      </c>
      <c r="AJ26" s="994">
        <f t="shared" si="27"/>
        <v>690.54692406410504</v>
      </c>
      <c r="AK26" s="994">
        <f t="shared" si="27"/>
        <v>696.87130827217607</v>
      </c>
      <c r="AL26" s="994">
        <f t="shared" si="27"/>
        <v>703.96509005427299</v>
      </c>
      <c r="AM26" s="994">
        <f t="shared" si="27"/>
        <v>711.11952973639677</v>
      </c>
      <c r="AN26" s="994">
        <f t="shared" si="27"/>
        <v>718.78796530822251</v>
      </c>
      <c r="AO26" s="1006"/>
      <c r="AP26" s="1006"/>
    </row>
    <row r="27" spans="4:78" x14ac:dyDescent="0.35">
      <c r="D27" s="635" t="s">
        <v>1833</v>
      </c>
      <c r="E27" s="56"/>
      <c r="F27" s="1009"/>
      <c r="G27" s="927"/>
      <c r="H27" s="927"/>
      <c r="I27" s="927"/>
      <c r="J27" s="927"/>
      <c r="K27" s="927"/>
      <c r="L27" s="927"/>
      <c r="M27" s="927"/>
      <c r="N27" s="927"/>
      <c r="O27" s="927"/>
      <c r="P27" s="927"/>
      <c r="Q27" s="927"/>
      <c r="R27" s="927"/>
      <c r="S27" s="927"/>
      <c r="T27" s="927"/>
      <c r="U27" s="927"/>
      <c r="V27" s="927"/>
      <c r="W27" s="927">
        <v>20</v>
      </c>
      <c r="X27" s="927">
        <v>20</v>
      </c>
      <c r="Y27" s="994">
        <v>0</v>
      </c>
      <c r="Z27" s="994">
        <f>-24</f>
        <v>-24</v>
      </c>
      <c r="AA27" s="994">
        <f>-11</f>
        <v>-11</v>
      </c>
      <c r="AB27" s="994">
        <f>-11</f>
        <v>-11</v>
      </c>
      <c r="AC27" s="994">
        <f t="shared" ref="AC27:AN27" si="28">-11</f>
        <v>-11</v>
      </c>
      <c r="AD27" s="994">
        <f>-11</f>
        <v>-11</v>
      </c>
      <c r="AE27" s="994">
        <f t="shared" si="28"/>
        <v>-11</v>
      </c>
      <c r="AF27" s="994">
        <f t="shared" si="28"/>
        <v>-11</v>
      </c>
      <c r="AG27" s="994">
        <f>-11</f>
        <v>-11</v>
      </c>
      <c r="AH27" s="994">
        <f t="shared" si="28"/>
        <v>-11</v>
      </c>
      <c r="AI27" s="994">
        <f t="shared" si="28"/>
        <v>-11</v>
      </c>
      <c r="AJ27" s="994">
        <f t="shared" si="28"/>
        <v>-11</v>
      </c>
      <c r="AK27" s="994">
        <f>-11</f>
        <v>-11</v>
      </c>
      <c r="AL27" s="994">
        <f t="shared" si="28"/>
        <v>-11</v>
      </c>
      <c r="AM27" s="994">
        <f t="shared" si="28"/>
        <v>-11</v>
      </c>
      <c r="AN27" s="994">
        <f t="shared" si="28"/>
        <v>-11</v>
      </c>
      <c r="AO27" s="1006"/>
      <c r="AP27" s="1006"/>
    </row>
    <row r="28" spans="4:78" x14ac:dyDescent="0.35">
      <c r="D28" s="635" t="s">
        <v>446</v>
      </c>
      <c r="E28" s="56" t="s">
        <v>451</v>
      </c>
      <c r="F28" s="1009">
        <f>'Haver Pivoted'!GQ36</f>
        <v>20.8</v>
      </c>
      <c r="G28" s="927">
        <f>'Haver Pivoted'!GR36</f>
        <v>20.6</v>
      </c>
      <c r="H28" s="927">
        <f>'Haver Pivoted'!GS36</f>
        <v>20.5</v>
      </c>
      <c r="I28" s="927">
        <f>'Haver Pivoted'!GT36</f>
        <v>20.3</v>
      </c>
      <c r="J28" s="927">
        <f>'Haver Pivoted'!GU36</f>
        <v>19.3</v>
      </c>
      <c r="K28" s="927">
        <f>'Haver Pivoted'!GV36</f>
        <v>19.899999999999999</v>
      </c>
      <c r="L28" s="927">
        <f>'Haver Pivoted'!GW36</f>
        <v>20.6</v>
      </c>
      <c r="M28" s="927">
        <f>'Haver Pivoted'!GX36</f>
        <v>21.2</v>
      </c>
      <c r="N28" s="927">
        <f>'Haver Pivoted'!GY36</f>
        <v>22</v>
      </c>
      <c r="O28" s="927">
        <f>'Haver Pivoted'!GZ36</f>
        <v>22.7</v>
      </c>
      <c r="P28" s="927">
        <f>'Haver Pivoted'!HA36</f>
        <v>23.2</v>
      </c>
      <c r="Q28" s="927">
        <f>'Haver Pivoted'!HB36</f>
        <v>23.5</v>
      </c>
      <c r="R28" s="927">
        <f>'Haver Pivoted'!HC36</f>
        <v>23.5</v>
      </c>
      <c r="S28" s="927">
        <f>'Haver Pivoted'!HD36</f>
        <v>23.3</v>
      </c>
      <c r="T28" s="1040">
        <f>'Haver Pivoted'!HE36</f>
        <v>22.5</v>
      </c>
      <c r="U28" s="1040">
        <f>'Haver Pivoted'!HF36</f>
        <v>21.7</v>
      </c>
      <c r="V28" s="1040">
        <f>'Haver Pivoted'!HG36</f>
        <v>21.4</v>
      </c>
      <c r="W28" s="1040">
        <f>'Haver Pivoted'!HH36</f>
        <v>22</v>
      </c>
      <c r="X28" s="1040">
        <f>'Haver Pivoted'!HI36</f>
        <v>23.2</v>
      </c>
      <c r="Y28" s="1040">
        <f>'Haver Pivoted'!HJ36</f>
        <v>25</v>
      </c>
      <c r="Z28" s="1040">
        <f>'Haver Pivoted'!HK36</f>
        <v>26.6</v>
      </c>
      <c r="AA28" s="1040">
        <f>'Haver Pivoted'!HL36</f>
        <v>27.6</v>
      </c>
      <c r="AB28" s="1040">
        <f>'Haver Pivoted'!HM36</f>
        <v>28.3</v>
      </c>
      <c r="AC28" s="1040">
        <f>'Haver Pivoted'!HN36</f>
        <v>28.6</v>
      </c>
      <c r="AD28" s="1040">
        <f>'Haver Pivoted'!HO36</f>
        <v>29</v>
      </c>
      <c r="AE28" s="1040">
        <f>'Haver Pivoted'!HP36</f>
        <v>29.5</v>
      </c>
      <c r="AF28" s="1040">
        <f>'Haver Pivoted'!HQ36</f>
        <v>30.3</v>
      </c>
      <c r="AG28" s="994">
        <f t="shared" ref="AG28:AN28" si="29">$AC131*AG140*(AG113/$AC113)</f>
        <v>30.805834188601636</v>
      </c>
      <c r="AH28" s="994">
        <f t="shared" si="29"/>
        <v>31.148570616087262</v>
      </c>
      <c r="AI28" s="994">
        <f t="shared" si="29"/>
        <v>31.493618145578861</v>
      </c>
      <c r="AJ28" s="994">
        <f t="shared" si="29"/>
        <v>31.831270148651345</v>
      </c>
      <c r="AK28" s="994">
        <f t="shared" si="29"/>
        <v>32.16545549871487</v>
      </c>
      <c r="AL28" s="994">
        <f t="shared" si="29"/>
        <v>32.499178628377209</v>
      </c>
      <c r="AM28" s="994">
        <f t="shared" si="29"/>
        <v>32.834981749844914</v>
      </c>
      <c r="AN28" s="994">
        <f t="shared" si="29"/>
        <v>33.171015981513222</v>
      </c>
      <c r="AO28" s="1006"/>
      <c r="AP28" s="1006"/>
    </row>
    <row r="29" spans="4:78" x14ac:dyDescent="0.35">
      <c r="D29" s="635" t="s">
        <v>447</v>
      </c>
      <c r="E29" s="56" t="s">
        <v>452</v>
      </c>
      <c r="F29" s="1009">
        <f>'Haver Pivoted'!GQ34</f>
        <v>1351</v>
      </c>
      <c r="G29" s="927">
        <f>'Haver Pivoted'!GR34</f>
        <v>1376.8</v>
      </c>
      <c r="H29" s="927">
        <f>'Haver Pivoted'!GS34</f>
        <v>1373.6</v>
      </c>
      <c r="I29" s="927">
        <f>'Haver Pivoted'!GT34</f>
        <v>1371.8</v>
      </c>
      <c r="J29" s="927">
        <f>'Haver Pivoted'!GU34</f>
        <v>1287.9000000000001</v>
      </c>
      <c r="K29" s="927">
        <f>'Haver Pivoted'!GV34</f>
        <v>1390.7</v>
      </c>
      <c r="L29" s="927">
        <f>'Haver Pivoted'!GW34</f>
        <v>1413.2</v>
      </c>
      <c r="M29" s="927">
        <f>'Haver Pivoted'!GX34</f>
        <v>1440.5</v>
      </c>
      <c r="N29" s="927">
        <f>'Haver Pivoted'!GY34</f>
        <v>1523.3</v>
      </c>
      <c r="O29" s="927">
        <f>'Haver Pivoted'!GZ34</f>
        <v>1536.4</v>
      </c>
      <c r="P29" s="927">
        <f>'Haver Pivoted'!HA34</f>
        <v>1577.9</v>
      </c>
      <c r="Q29" s="927">
        <f>'Haver Pivoted'!HB34</f>
        <v>1598.1</v>
      </c>
      <c r="R29" s="927">
        <f>'Haver Pivoted'!HC34</f>
        <v>1632.6</v>
      </c>
      <c r="S29" s="927">
        <f>'Haver Pivoted'!HD34</f>
        <v>1650.3</v>
      </c>
      <c r="T29" s="1040">
        <f>'Haver Pivoted'!HE34</f>
        <v>1649.9</v>
      </c>
      <c r="U29" s="1040">
        <f>'Haver Pivoted'!HF34</f>
        <v>1664.2</v>
      </c>
      <c r="V29" s="1040">
        <f>'Haver Pivoted'!HG34</f>
        <v>1666.8</v>
      </c>
      <c r="W29" s="1040">
        <f>'Haver Pivoted'!HH34</f>
        <v>1690</v>
      </c>
      <c r="X29" s="1040">
        <f>'Haver Pivoted'!HI34</f>
        <v>1715</v>
      </c>
      <c r="Y29" s="1040">
        <f>'Haver Pivoted'!HJ34</f>
        <v>1740.2</v>
      </c>
      <c r="Z29" s="1040">
        <f>'Haver Pivoted'!HK34</f>
        <v>1763.2</v>
      </c>
      <c r="AA29" s="1040">
        <f>'Haver Pivoted'!HL34</f>
        <v>1776.8</v>
      </c>
      <c r="AB29" s="1040">
        <f>'Haver Pivoted'!HM34</f>
        <v>1798.1</v>
      </c>
      <c r="AC29" s="1040">
        <f>'Haver Pivoted'!HN34</f>
        <v>1815.8</v>
      </c>
      <c r="AD29" s="1040">
        <f>'Haver Pivoted'!HO34</f>
        <v>1832.5</v>
      </c>
      <c r="AE29" s="1040">
        <f>'Haver Pivoted'!HP34</f>
        <v>1855.4</v>
      </c>
      <c r="AF29" s="1040">
        <f>'Haver Pivoted'!HQ34</f>
        <v>1877.3</v>
      </c>
      <c r="AG29" s="994">
        <f t="shared" ref="AG29:AN29" si="30">$AC136*AG141*(AG115/$AC115)</f>
        <v>1890.0187990068873</v>
      </c>
      <c r="AH29" s="994">
        <f t="shared" si="30"/>
        <v>1913.6920915683609</v>
      </c>
      <c r="AI29" s="994">
        <f t="shared" si="30"/>
        <v>1935.3728600618126</v>
      </c>
      <c r="AJ29" s="994">
        <f t="shared" si="30"/>
        <v>1955.7984261688009</v>
      </c>
      <c r="AK29" s="994">
        <f t="shared" si="30"/>
        <v>1974.7405712736065</v>
      </c>
      <c r="AL29" s="994">
        <f t="shared" si="30"/>
        <v>1992.9717276140511</v>
      </c>
      <c r="AM29" s="994">
        <f t="shared" si="30"/>
        <v>2012.1947571689739</v>
      </c>
      <c r="AN29" s="994">
        <f t="shared" si="30"/>
        <v>2031.2422339425734</v>
      </c>
      <c r="AO29" s="1006"/>
      <c r="AP29" s="1006"/>
    </row>
    <row r="30" spans="4:78" ht="14.9" customHeight="1" x14ac:dyDescent="0.35">
      <c r="D30" s="1035" t="s">
        <v>448</v>
      </c>
      <c r="E30" s="1055" t="s">
        <v>453</v>
      </c>
      <c r="F30" s="950">
        <f>'Haver Pivoted'!GQ35</f>
        <v>76.8</v>
      </c>
      <c r="G30" s="961">
        <f>'Haver Pivoted'!GR35</f>
        <v>74.099999999999994</v>
      </c>
      <c r="H30" s="961">
        <f>'Haver Pivoted'!GS35</f>
        <v>70.3</v>
      </c>
      <c r="I30" s="961">
        <f>'Haver Pivoted'!GT35</f>
        <v>63.5</v>
      </c>
      <c r="J30" s="961">
        <f>'Haver Pivoted'!GU35</f>
        <v>68.5</v>
      </c>
      <c r="K30" s="961">
        <f>'Haver Pivoted'!GV35</f>
        <v>81.599999999999994</v>
      </c>
      <c r="L30" s="961">
        <f>'Haver Pivoted'!GW35</f>
        <v>78.2</v>
      </c>
      <c r="M30" s="961">
        <f>'Haver Pivoted'!GX35</f>
        <v>81.599999999999994</v>
      </c>
      <c r="N30" s="961">
        <f>'Haver Pivoted'!GY35</f>
        <v>99.6</v>
      </c>
      <c r="O30" s="961">
        <f>'Haver Pivoted'!GZ35</f>
        <v>123.7</v>
      </c>
      <c r="P30" s="961">
        <f>'Haver Pivoted'!HA35</f>
        <v>173.4</v>
      </c>
      <c r="Q30" s="961">
        <f>'Haver Pivoted'!HB35</f>
        <v>184.7</v>
      </c>
      <c r="R30" s="961">
        <f>'Haver Pivoted'!HC35</f>
        <v>164.4</v>
      </c>
      <c r="S30" s="961">
        <f>'Haver Pivoted'!HD35</f>
        <v>169.6</v>
      </c>
      <c r="T30" s="963">
        <f>'Haver Pivoted'!HE35</f>
        <v>178.8</v>
      </c>
      <c r="U30" s="1043">
        <f>'Haver Pivoted'!HF35</f>
        <v>173.9</v>
      </c>
      <c r="V30" s="1043">
        <f>'Haver Pivoted'!HG35</f>
        <v>170.2</v>
      </c>
      <c r="W30" s="1043">
        <f>'Haver Pivoted'!HH35</f>
        <v>168.5</v>
      </c>
      <c r="X30" s="1043">
        <f>'Haver Pivoted'!HI35</f>
        <v>172.7</v>
      </c>
      <c r="Y30" s="1043">
        <f>'Haver Pivoted'!HJ35</f>
        <v>173.2</v>
      </c>
      <c r="Z30" s="1043">
        <f>'Haver Pivoted'!HK35</f>
        <v>170.6</v>
      </c>
      <c r="AA30" s="1043">
        <f>'Haver Pivoted'!HL35</f>
        <v>170.1</v>
      </c>
      <c r="AB30" s="1043">
        <f>'Haver Pivoted'!HM35</f>
        <v>174.2</v>
      </c>
      <c r="AC30" s="1043">
        <f>'Haver Pivoted'!HN35</f>
        <v>184.4</v>
      </c>
      <c r="AD30" s="1043">
        <f>'Haver Pivoted'!HO35</f>
        <v>183</v>
      </c>
      <c r="AE30" s="1043">
        <f>'Haver Pivoted'!HP35</f>
        <v>166.7</v>
      </c>
      <c r="AF30" s="962">
        <f>$Y137*AF142*(AF116/$Y116)</f>
        <v>163.11320291351547</v>
      </c>
      <c r="AG30" s="962">
        <f t="shared" ref="AG30:AN30" si="31">$Y137*AG142*(AG116/$Y116)</f>
        <v>166.42552395836239</v>
      </c>
      <c r="AH30" s="962">
        <f t="shared" si="31"/>
        <v>166.94191108754498</v>
      </c>
      <c r="AI30" s="962">
        <f t="shared" si="31"/>
        <v>167.56064521530433</v>
      </c>
      <c r="AJ30" s="962">
        <f t="shared" si="31"/>
        <v>168.61202801886526</v>
      </c>
      <c r="AK30" s="962">
        <f t="shared" si="31"/>
        <v>168.0956408896827</v>
      </c>
      <c r="AL30" s="962">
        <f t="shared" si="31"/>
        <v>168.17472720676471</v>
      </c>
      <c r="AM30" s="962">
        <f t="shared" si="31"/>
        <v>167.96072893701336</v>
      </c>
      <c r="AN30" s="962">
        <f t="shared" si="31"/>
        <v>169.12841514804788</v>
      </c>
      <c r="AO30" s="1006"/>
      <c r="AP30" s="1006"/>
    </row>
    <row r="31" spans="4:78" ht="14.9" customHeight="1" x14ac:dyDescent="0.35">
      <c r="D31" s="902" t="s">
        <v>1835</v>
      </c>
      <c r="E31" s="1028"/>
      <c r="F31" s="606">
        <f t="shared" ref="F31:AN31" si="32">F9+F24</f>
        <v>5162.2</v>
      </c>
      <c r="G31" s="606">
        <f t="shared" si="32"/>
        <v>5179.8999999999996</v>
      </c>
      <c r="H31" s="606">
        <f t="shared" si="32"/>
        <v>5227.5</v>
      </c>
      <c r="I31" s="606">
        <f t="shared" si="32"/>
        <v>5280.7</v>
      </c>
      <c r="J31" s="606">
        <f t="shared" si="32"/>
        <v>4933</v>
      </c>
      <c r="K31" s="606">
        <f t="shared" si="32"/>
        <v>5243.7000000000007</v>
      </c>
      <c r="L31" s="606">
        <f t="shared" si="32"/>
        <v>5440.1</v>
      </c>
      <c r="M31" s="606">
        <f t="shared" si="32"/>
        <v>5653.6</v>
      </c>
      <c r="N31" s="606">
        <f t="shared" si="32"/>
        <v>5916</v>
      </c>
      <c r="O31" s="606">
        <f t="shared" si="32"/>
        <v>6042.9000000000005</v>
      </c>
      <c r="P31" s="606">
        <f t="shared" si="32"/>
        <v>6240.2000000000007</v>
      </c>
      <c r="Q31" s="606">
        <f t="shared" si="32"/>
        <v>6733.4000000000005</v>
      </c>
      <c r="R31" s="606">
        <f t="shared" si="32"/>
        <v>6832.4</v>
      </c>
      <c r="S31" s="606">
        <f t="shared" si="32"/>
        <v>6809.7</v>
      </c>
      <c r="T31" s="606">
        <f t="shared" si="32"/>
        <v>6777.1</v>
      </c>
      <c r="U31" s="606">
        <f t="shared" si="32"/>
        <v>6437</v>
      </c>
      <c r="V31" s="606">
        <f t="shared" si="32"/>
        <v>6446.7000000000007</v>
      </c>
      <c r="W31" s="606">
        <f t="shared" si="32"/>
        <v>6528.2</v>
      </c>
      <c r="X31" s="606">
        <f t="shared" si="32"/>
        <v>6603.2999999999993</v>
      </c>
      <c r="Y31" s="711">
        <f t="shared" si="32"/>
        <v>6716.3</v>
      </c>
      <c r="Z31" s="711">
        <f t="shared" si="32"/>
        <v>6820.1</v>
      </c>
      <c r="AA31" s="711">
        <f t="shared" si="32"/>
        <v>6926.9</v>
      </c>
      <c r="AB31" s="711">
        <f t="shared" si="32"/>
        <v>7026.9</v>
      </c>
      <c r="AC31" s="711">
        <f t="shared" si="32"/>
        <v>7171</v>
      </c>
      <c r="AD31" s="711">
        <f t="shared" si="32"/>
        <v>7416</v>
      </c>
      <c r="AE31" s="711">
        <f t="shared" si="32"/>
        <v>7572</v>
      </c>
      <c r="AF31" s="711">
        <f t="shared" si="32"/>
        <v>7701.3</v>
      </c>
      <c r="AG31" s="711">
        <f t="shared" si="32"/>
        <v>7670.4991667558079</v>
      </c>
      <c r="AH31" s="711">
        <f t="shared" si="32"/>
        <v>7724.6343676538581</v>
      </c>
      <c r="AI31" s="711">
        <f t="shared" si="32"/>
        <v>7793.6388666375224</v>
      </c>
      <c r="AJ31" s="711">
        <f t="shared" si="32"/>
        <v>7850.6260726125111</v>
      </c>
      <c r="AK31" s="711">
        <f t="shared" si="32"/>
        <v>8118.1649920363179</v>
      </c>
      <c r="AL31" s="711">
        <f t="shared" si="32"/>
        <v>8174.0902206121627</v>
      </c>
      <c r="AM31" s="711">
        <f t="shared" si="32"/>
        <v>8231.3205253332453</v>
      </c>
      <c r="AN31" s="711">
        <f t="shared" si="32"/>
        <v>8288.3739332009518</v>
      </c>
    </row>
    <row r="32" spans="4:78" ht="14.9" customHeight="1" x14ac:dyDescent="0.35">
      <c r="D32" s="902" t="s">
        <v>1851</v>
      </c>
      <c r="E32" s="1028"/>
      <c r="F32" s="606">
        <f t="shared" ref="F32:AN32" si="33">F10+F26</f>
        <v>2217.6999999999998</v>
      </c>
      <c r="G32" s="606">
        <f t="shared" si="33"/>
        <v>2195.4</v>
      </c>
      <c r="H32" s="606">
        <f t="shared" si="33"/>
        <v>2226.3000000000002</v>
      </c>
      <c r="I32" s="606">
        <f t="shared" si="33"/>
        <v>2251.9</v>
      </c>
      <c r="J32" s="606">
        <f t="shared" si="33"/>
        <v>2112.1</v>
      </c>
      <c r="K32" s="606">
        <f t="shared" si="33"/>
        <v>2250.6</v>
      </c>
      <c r="L32" s="606">
        <f t="shared" si="33"/>
        <v>2378.4</v>
      </c>
      <c r="M32" s="606">
        <f t="shared" si="33"/>
        <v>2544.3000000000002</v>
      </c>
      <c r="N32" s="606">
        <f t="shared" si="33"/>
        <v>2667.8</v>
      </c>
      <c r="O32" s="606">
        <f t="shared" si="33"/>
        <v>2741.1</v>
      </c>
      <c r="P32" s="606">
        <f t="shared" si="33"/>
        <v>2838.8</v>
      </c>
      <c r="Q32" s="606">
        <f t="shared" si="33"/>
        <v>3259.2</v>
      </c>
      <c r="R32" s="606">
        <f t="shared" si="33"/>
        <v>3297.6000000000004</v>
      </c>
      <c r="S32" s="606">
        <f t="shared" si="33"/>
        <v>3223.2</v>
      </c>
      <c r="T32" s="606">
        <f t="shared" si="33"/>
        <v>3193.1000000000004</v>
      </c>
      <c r="U32" s="606">
        <f t="shared" si="33"/>
        <v>2825.2</v>
      </c>
      <c r="V32" s="606">
        <f t="shared" si="33"/>
        <v>2810.5</v>
      </c>
      <c r="W32" s="606">
        <f t="shared" si="33"/>
        <v>2840.7</v>
      </c>
      <c r="X32" s="606">
        <f t="shared" si="33"/>
        <v>2866.5</v>
      </c>
      <c r="Y32" s="606">
        <f t="shared" si="33"/>
        <v>2903.3</v>
      </c>
      <c r="Z32" s="606">
        <f t="shared" si="33"/>
        <v>2957.6000000000004</v>
      </c>
      <c r="AA32" s="606">
        <f t="shared" si="33"/>
        <v>3019.1000000000004</v>
      </c>
      <c r="AB32" s="606">
        <f t="shared" si="33"/>
        <v>3073</v>
      </c>
      <c r="AC32" s="606">
        <f t="shared" si="33"/>
        <v>3154</v>
      </c>
      <c r="AD32" s="606">
        <f t="shared" si="33"/>
        <v>3200.9</v>
      </c>
      <c r="AE32" s="606">
        <f t="shared" si="33"/>
        <v>3254.7</v>
      </c>
      <c r="AF32" s="606">
        <f t="shared" si="33"/>
        <v>3309.8999999999996</v>
      </c>
      <c r="AG32" s="606">
        <f t="shared" si="33"/>
        <v>3250.3610918606828</v>
      </c>
      <c r="AH32" s="606">
        <f t="shared" si="33"/>
        <v>3269.7761944120775</v>
      </c>
      <c r="AI32" s="606">
        <f t="shared" si="33"/>
        <v>3287.9359887532314</v>
      </c>
      <c r="AJ32" s="606">
        <f t="shared" si="33"/>
        <v>3305.5844947396131</v>
      </c>
      <c r="AK32" s="606">
        <f t="shared" si="33"/>
        <v>3535.0696065224292</v>
      </c>
      <c r="AL32" s="606">
        <f t="shared" si="33"/>
        <v>3553.4486935843379</v>
      </c>
      <c r="AM32" s="606">
        <f t="shared" si="33"/>
        <v>3571.9333114204974</v>
      </c>
      <c r="AN32" s="606">
        <f t="shared" si="33"/>
        <v>3590.9769764450721</v>
      </c>
    </row>
    <row r="33" spans="3:41" ht="14.9" customHeight="1" x14ac:dyDescent="0.35">
      <c r="D33" s="902" t="s">
        <v>1852</v>
      </c>
      <c r="E33" s="1028"/>
      <c r="F33" s="606">
        <f t="shared" ref="F33:AN33" si="34">F13+F28</f>
        <v>1424.3</v>
      </c>
      <c r="G33" s="606">
        <f t="shared" si="34"/>
        <v>1430.8999999999999</v>
      </c>
      <c r="H33" s="606">
        <f t="shared" si="34"/>
        <v>1448.7</v>
      </c>
      <c r="I33" s="606">
        <f t="shared" si="34"/>
        <v>1473.5</v>
      </c>
      <c r="J33" s="606">
        <f t="shared" si="34"/>
        <v>1402.8999999999999</v>
      </c>
      <c r="K33" s="606">
        <f t="shared" si="34"/>
        <v>1452.8000000000002</v>
      </c>
      <c r="L33" s="606">
        <f t="shared" si="34"/>
        <v>1490.3</v>
      </c>
      <c r="M33" s="606">
        <f t="shared" si="34"/>
        <v>1507.6000000000001</v>
      </c>
      <c r="N33" s="606">
        <f t="shared" si="34"/>
        <v>1543.6</v>
      </c>
      <c r="O33" s="606">
        <f t="shared" si="34"/>
        <v>1581.4</v>
      </c>
      <c r="P33" s="606">
        <f t="shared" si="34"/>
        <v>1627.8</v>
      </c>
      <c r="Q33" s="606">
        <f t="shared" si="34"/>
        <v>1669.3</v>
      </c>
      <c r="R33" s="606">
        <f t="shared" si="34"/>
        <v>1691.5</v>
      </c>
      <c r="S33" s="606">
        <f t="shared" si="34"/>
        <v>1735.3</v>
      </c>
      <c r="T33" s="606">
        <f t="shared" si="34"/>
        <v>1745.5</v>
      </c>
      <c r="U33" s="606">
        <f t="shared" si="34"/>
        <v>1767</v>
      </c>
      <c r="V33" s="606">
        <f t="shared" si="34"/>
        <v>1791.8000000000002</v>
      </c>
      <c r="W33" s="606">
        <f t="shared" si="34"/>
        <v>1822.5</v>
      </c>
      <c r="X33" s="606">
        <f t="shared" si="34"/>
        <v>1847.1000000000001</v>
      </c>
      <c r="Y33" s="606">
        <f t="shared" si="34"/>
        <v>1891.3</v>
      </c>
      <c r="Z33" s="606">
        <f t="shared" si="34"/>
        <v>1919.3999999999999</v>
      </c>
      <c r="AA33" s="606">
        <f t="shared" si="34"/>
        <v>1941.8</v>
      </c>
      <c r="AB33" s="606">
        <f t="shared" si="34"/>
        <v>1965.8999999999999</v>
      </c>
      <c r="AC33" s="606">
        <f t="shared" si="34"/>
        <v>2002.6</v>
      </c>
      <c r="AD33" s="606">
        <f t="shared" si="34"/>
        <v>2011.9</v>
      </c>
      <c r="AE33" s="606">
        <f t="shared" si="34"/>
        <v>2027.7</v>
      </c>
      <c r="AF33" s="606">
        <f t="shared" si="34"/>
        <v>2047</v>
      </c>
      <c r="AG33" s="606">
        <f t="shared" si="34"/>
        <v>2056.6363938170575</v>
      </c>
      <c r="AH33" s="606">
        <f t="shared" si="34"/>
        <v>2079.2098854371875</v>
      </c>
      <c r="AI33" s="606">
        <f t="shared" si="34"/>
        <v>2102.0296406824432</v>
      </c>
      <c r="AJ33" s="606">
        <f t="shared" si="34"/>
        <v>2122.2073640783924</v>
      </c>
      <c r="AK33" s="606">
        <f t="shared" si="34"/>
        <v>2142.5717302560834</v>
      </c>
      <c r="AL33" s="606">
        <f t="shared" si="34"/>
        <v>2163.1275652946515</v>
      </c>
      <c r="AM33" s="606">
        <f t="shared" si="34"/>
        <v>2183.8792505080214</v>
      </c>
      <c r="AN33" s="606">
        <f t="shared" si="34"/>
        <v>2204.6172081334507</v>
      </c>
    </row>
    <row r="34" spans="3:41" ht="14.25" customHeight="1" x14ac:dyDescent="0.35"/>
    <row r="35" spans="3:41" ht="14.9" customHeight="1" x14ac:dyDescent="0.35">
      <c r="D35" s="630"/>
      <c r="E35" s="429"/>
      <c r="F35" s="429"/>
      <c r="G35" s="429"/>
      <c r="H35" s="429"/>
      <c r="I35" s="429"/>
      <c r="J35" s="429"/>
      <c r="K35" s="429"/>
      <c r="L35" s="429"/>
      <c r="AI35" s="385"/>
      <c r="AJ35" s="385"/>
      <c r="AK35" s="385"/>
      <c r="AL35" s="385"/>
      <c r="AM35" s="385"/>
      <c r="AN35" s="385"/>
      <c r="AO35" s="385"/>
    </row>
    <row r="36" spans="3:41" ht="14.9" customHeight="1" x14ac:dyDescent="0.35">
      <c r="D36" s="1505" t="s">
        <v>870</v>
      </c>
      <c r="E36" s="1506"/>
      <c r="F36" s="1507"/>
      <c r="G36" s="255">
        <v>2020</v>
      </c>
      <c r="H36" s="256">
        <v>2021</v>
      </c>
      <c r="I36" s="255">
        <v>2022</v>
      </c>
      <c r="J36" s="1056">
        <v>2023</v>
      </c>
      <c r="K36" s="1056">
        <v>2024</v>
      </c>
      <c r="L36" s="888">
        <v>2025</v>
      </c>
      <c r="M36" s="888">
        <v>2026</v>
      </c>
      <c r="N36" s="888">
        <v>2027</v>
      </c>
      <c r="AI36" s="385"/>
      <c r="AJ36" s="385"/>
      <c r="AK36" s="385"/>
      <c r="AL36" s="385"/>
      <c r="AM36" s="385"/>
      <c r="AN36" s="385"/>
      <c r="AO36" s="385"/>
    </row>
    <row r="37" spans="3:41" ht="14.9" customHeight="1" x14ac:dyDescent="0.35">
      <c r="D37" s="1031" t="s">
        <v>454</v>
      </c>
      <c r="E37" s="400"/>
      <c r="F37" s="422"/>
      <c r="G37" s="940">
        <f>AVERAGE(H10:K10)</f>
        <v>1712.425</v>
      </c>
      <c r="H37" s="583">
        <f>AVERAGE(L10:O10)</f>
        <v>2028.5</v>
      </c>
      <c r="I37" s="583">
        <f>AVERAGE(P10:S10)</f>
        <v>2517.2000000000003</v>
      </c>
      <c r="J37" s="583">
        <f>I37*J61/I61</f>
        <v>2081.4347132091889</v>
      </c>
      <c r="K37" s="583">
        <f>J37*K61/J61</f>
        <v>2320.1213658062152</v>
      </c>
      <c r="L37" s="583">
        <f>K37*L61/K61</f>
        <v>2540.0132591479573</v>
      </c>
      <c r="M37" s="583">
        <f>L37*M61/L61</f>
        <v>2630.8646370165779</v>
      </c>
      <c r="N37" s="583">
        <f>M37*N61/M61</f>
        <v>2818.3053745139423</v>
      </c>
      <c r="O37" t="s">
        <v>1857</v>
      </c>
    </row>
    <row r="38" spans="3:41" ht="14.9" customHeight="1" x14ac:dyDescent="0.35">
      <c r="D38" s="1050" t="s">
        <v>459</v>
      </c>
      <c r="E38" s="265"/>
      <c r="F38" s="265"/>
      <c r="G38" s="941">
        <f>AVERAGE(H13:K13)</f>
        <v>1424.4749999999999</v>
      </c>
      <c r="H38" s="366">
        <f>AVERAGE(L13:O13)</f>
        <v>1509.1000000000001</v>
      </c>
      <c r="I38" s="366">
        <f>AVERAGE(P13:S13)</f>
        <v>1657.6</v>
      </c>
      <c r="J38" s="366">
        <f t="shared" ref="J38:N38" si="35">I38*J63/I63</f>
        <v>1803.8930666533647</v>
      </c>
      <c r="K38" s="366">
        <f t="shared" si="35"/>
        <v>1909.4479891825283</v>
      </c>
      <c r="L38" s="366">
        <f t="shared" si="35"/>
        <v>1953.1068548849159</v>
      </c>
      <c r="M38" s="366">
        <f t="shared" si="35"/>
        <v>2040.2592202630758</v>
      </c>
      <c r="N38" s="366">
        <f t="shared" si="35"/>
        <v>2119.5902195175545</v>
      </c>
    </row>
    <row r="39" spans="3:41" ht="14.9" customHeight="1" x14ac:dyDescent="0.35">
      <c r="D39" s="1050" t="s">
        <v>93</v>
      </c>
      <c r="E39" s="265"/>
      <c r="F39" s="265"/>
      <c r="G39" s="941">
        <f>AVERAGE(H15:K15)</f>
        <v>160.52500000000001</v>
      </c>
      <c r="H39" s="366">
        <f>AVERAGE(L15:O15)</f>
        <v>171.17500000000001</v>
      </c>
      <c r="I39" s="366">
        <f>AVERAGE(P15:S15)</f>
        <v>203.52500000000001</v>
      </c>
      <c r="J39" s="366">
        <f>I39*J65/I65</f>
        <v>169.03400797872342</v>
      </c>
      <c r="K39" s="366">
        <f>J39*K65/J65</f>
        <v>113.20103803191489</v>
      </c>
      <c r="L39" s="366">
        <f>K39*L65/K65</f>
        <v>409.21515957446803</v>
      </c>
      <c r="M39" s="366">
        <f>L39*M65/L65</f>
        <v>665.786569148936</v>
      </c>
      <c r="N39" s="366">
        <f>M39*N65/M65</f>
        <v>673.36462765957424</v>
      </c>
    </row>
    <row r="40" spans="3:41" ht="14.9" customHeight="1" x14ac:dyDescent="0.35">
      <c r="D40" s="1050" t="s">
        <v>242</v>
      </c>
      <c r="E40" s="265"/>
      <c r="F40" s="265"/>
      <c r="G40" s="941">
        <f>AVERAGE(H19:K19)</f>
        <v>220.45</v>
      </c>
      <c r="H40" s="366">
        <f>AVERAGE(L19:O19)</f>
        <v>304.75</v>
      </c>
      <c r="I40" s="366">
        <f>AVERAGE(P19:S19)</f>
        <v>400.375</v>
      </c>
      <c r="J40" s="366">
        <f>I40*J70/I70</f>
        <v>395.39654527181443</v>
      </c>
      <c r="K40" s="366">
        <f>J40*K70/J70</f>
        <v>499.32214110533403</v>
      </c>
      <c r="L40" s="366">
        <f>K40*L70/K70</f>
        <v>426.02775309685143</v>
      </c>
      <c r="M40" s="366">
        <f>L40*M70/L70</f>
        <v>380.69111539611214</v>
      </c>
      <c r="N40" s="366">
        <f>M40*N70/M70</f>
        <v>395.12703210651796</v>
      </c>
    </row>
    <row r="41" spans="3:41" ht="14.9" customHeight="1" x14ac:dyDescent="0.35">
      <c r="C41" s="44"/>
      <c r="D41" s="1050" t="s">
        <v>866</v>
      </c>
      <c r="E41" s="44"/>
      <c r="F41" s="268"/>
      <c r="G41" s="679"/>
      <c r="H41" s="539">
        <f>H37/G37-1+0.021</f>
        <v>0.20557742674861665</v>
      </c>
      <c r="I41" s="539">
        <f>I37/H37-1.05</f>
        <v>0.19091693369484841</v>
      </c>
      <c r="J41" s="539">
        <f>J37/I37-1</f>
        <v>-0.17311508294565836</v>
      </c>
      <c r="K41" s="539">
        <f>K37/J37-1+K42</f>
        <v>0.16967410007254818</v>
      </c>
      <c r="L41" s="539">
        <f>L37/K37-1+L42</f>
        <v>9.4776030505340447E-2</v>
      </c>
      <c r="M41" s="974">
        <f>M37/L37-1+M42</f>
        <v>3.5768072289156683E-2</v>
      </c>
      <c r="N41" s="539">
        <f>N37/M37-1+N42</f>
        <v>7.1246819338422362E-2</v>
      </c>
      <c r="O41" t="s">
        <v>854</v>
      </c>
    </row>
    <row r="42" spans="3:41" ht="14.9" customHeight="1" x14ac:dyDescent="0.35">
      <c r="C42" s="44"/>
      <c r="D42" s="1050" t="s">
        <v>1834</v>
      </c>
      <c r="E42" s="44"/>
      <c r="F42" s="268"/>
      <c r="G42" s="679"/>
      <c r="H42" s="539"/>
      <c r="I42" s="539"/>
      <c r="J42" s="539"/>
      <c r="K42" s="539">
        <v>5.5E-2</v>
      </c>
      <c r="L42" s="539"/>
      <c r="M42" s="539"/>
      <c r="N42" s="539"/>
    </row>
    <row r="43" spans="3:41" ht="14.9" customHeight="1" x14ac:dyDescent="0.35">
      <c r="C43" s="44"/>
      <c r="D43" s="1050" t="s">
        <v>867</v>
      </c>
      <c r="E43" s="44"/>
      <c r="F43" s="268"/>
      <c r="G43" s="679"/>
      <c r="H43" s="539">
        <f>H38/G38-1.03</f>
        <v>2.94078520156551E-2</v>
      </c>
      <c r="I43" s="539">
        <f>I38/H38-1.013</f>
        <v>8.5403021668544188E-2</v>
      </c>
      <c r="J43" s="1014">
        <f>J38/I38-1</f>
        <v>8.8255952372927604E-2</v>
      </c>
      <c r="K43" s="1014">
        <f>K38/J38-1</f>
        <v>5.851506637529913E-2</v>
      </c>
      <c r="L43" s="1014">
        <f>L38/K38-1</f>
        <v>2.2864653004284641E-2</v>
      </c>
      <c r="M43" s="1014">
        <f>M38/L38-1</f>
        <v>4.4622425629290641E-2</v>
      </c>
      <c r="N43" s="1014">
        <f>N38/M38-1</f>
        <v>3.8882803943044886E-2</v>
      </c>
      <c r="O43" t="s">
        <v>855</v>
      </c>
    </row>
    <row r="44" spans="3:41" ht="14.9" customHeight="1" x14ac:dyDescent="0.35">
      <c r="C44" s="44"/>
      <c r="D44" s="1050" t="s">
        <v>868</v>
      </c>
      <c r="E44" s="44"/>
      <c r="F44" s="268"/>
      <c r="G44" s="679"/>
      <c r="H44" s="539">
        <f>H39/G39-1</f>
        <v>6.6344806104968068E-2</v>
      </c>
      <c r="I44" s="539">
        <f>I39/H39-1.01</f>
        <v>0.17898787790273096</v>
      </c>
      <c r="J44" s="539">
        <f>J39/I39-1</f>
        <v>-0.16946808510638289</v>
      </c>
      <c r="K44" s="539">
        <f t="shared" ref="K44" si="36">K39/J39-1</f>
        <v>-0.3303061355194058</v>
      </c>
      <c r="L44" s="539">
        <f>L39/K39-1</f>
        <v>2.6149417592716557</v>
      </c>
      <c r="M44" s="539">
        <f>M39/L39-1</f>
        <v>0.62698412698412676</v>
      </c>
      <c r="N44" s="539">
        <f>N39/M39-1</f>
        <v>1.1382113821138073E-2</v>
      </c>
    </row>
    <row r="45" spans="3:41" ht="14.9" customHeight="1" x14ac:dyDescent="0.35">
      <c r="C45" s="44"/>
      <c r="D45" s="1015" t="s">
        <v>869</v>
      </c>
      <c r="E45" s="43"/>
      <c r="F45" s="468"/>
      <c r="G45" s="678"/>
      <c r="H45" s="1016">
        <f>H40/G40-1</f>
        <v>0.38239963710591973</v>
      </c>
      <c r="I45" s="1016">
        <f>I40/H40-1.103</f>
        <v>0.21078178835110739</v>
      </c>
      <c r="J45" s="1016">
        <f>J40/I40-1</f>
        <v>-1.2434479495936457E-2</v>
      </c>
      <c r="K45" s="1016">
        <f>K40/J40-1-0.15</f>
        <v>0.11283890710799263</v>
      </c>
      <c r="L45" s="1016">
        <f>0.08</f>
        <v>0.08</v>
      </c>
      <c r="M45" s="1016">
        <f>M40/L40-1+0.03</f>
        <v>-7.6417099287972051E-2</v>
      </c>
      <c r="N45" s="1016">
        <f>N40/M40-1+0.03</f>
        <v>6.7920287935758966E-2</v>
      </c>
    </row>
    <row r="46" spans="3:41" ht="14.9" customHeight="1" x14ac:dyDescent="0.35">
      <c r="D46" s="252"/>
      <c r="E46" s="1028"/>
      <c r="F46" s="1037"/>
      <c r="G46" s="1037"/>
      <c r="H46" s="1013"/>
      <c r="I46" s="1013"/>
      <c r="J46" s="1013"/>
      <c r="K46" s="1013"/>
      <c r="L46" s="1013"/>
    </row>
    <row r="47" spans="3:41" ht="14.9" customHeight="1" x14ac:dyDescent="0.35">
      <c r="D47" s="252"/>
      <c r="E47" s="1028"/>
      <c r="F47" s="1037"/>
      <c r="G47" s="1037"/>
      <c r="H47" s="1013"/>
      <c r="I47" s="1013"/>
      <c r="J47" s="1013"/>
      <c r="K47" s="1013"/>
      <c r="L47" s="1013"/>
    </row>
    <row r="48" spans="3:41" ht="14.9" customHeight="1" x14ac:dyDescent="0.35">
      <c r="D48" s="252"/>
      <c r="E48" s="1028"/>
      <c r="F48" s="1502" t="s">
        <v>246</v>
      </c>
      <c r="G48" s="1503"/>
      <c r="H48" s="1503"/>
      <c r="I48" s="1503"/>
      <c r="J48" s="1503"/>
      <c r="K48" s="1503"/>
      <c r="L48" s="1503"/>
      <c r="M48" s="1503"/>
      <c r="N48" s="1503"/>
      <c r="O48" s="1503"/>
      <c r="P48" s="1503"/>
      <c r="Q48" s="1503"/>
      <c r="R48" s="1503"/>
      <c r="S48" s="1503"/>
      <c r="T48" s="1503"/>
      <c r="U48" s="1503"/>
      <c r="V48" s="1504"/>
      <c r="W48" s="1419" t="s">
        <v>247</v>
      </c>
      <c r="X48" s="1420"/>
      <c r="Y48" s="1420"/>
      <c r="Z48" s="1420"/>
      <c r="AA48" s="1420"/>
      <c r="AB48" s="1420"/>
      <c r="AC48" s="1420"/>
      <c r="AD48" s="1420"/>
      <c r="AE48" s="1420"/>
      <c r="AF48" s="1420"/>
      <c r="AG48" s="1420"/>
      <c r="AH48" s="1421"/>
      <c r="AJ48" s="899" t="s">
        <v>1904</v>
      </c>
    </row>
    <row r="49" spans="4:41" ht="14.9" customHeight="1" x14ac:dyDescent="0.35">
      <c r="D49" s="252"/>
      <c r="E49" s="1028"/>
      <c r="F49" s="1398">
        <v>2019</v>
      </c>
      <c r="G49" s="1399"/>
      <c r="H49" s="1400"/>
      <c r="I49" s="1399">
        <v>2020</v>
      </c>
      <c r="J49" s="1399"/>
      <c r="K49" s="1399"/>
      <c r="L49" s="1399"/>
      <c r="M49" s="1398">
        <v>2021</v>
      </c>
      <c r="N49" s="1399"/>
      <c r="O49" s="1399"/>
      <c r="P49" s="1399"/>
      <c r="Q49" s="1398">
        <v>2022</v>
      </c>
      <c r="R49" s="1399"/>
      <c r="S49" s="1399"/>
      <c r="T49" s="1400"/>
      <c r="U49" s="277"/>
      <c r="V49" s="277">
        <v>2023</v>
      </c>
      <c r="W49" s="355"/>
      <c r="X49" s="925"/>
      <c r="Y49" s="1508">
        <v>2024</v>
      </c>
      <c r="Z49" s="1422"/>
      <c r="AA49" s="1422"/>
      <c r="AB49" s="1423"/>
      <c r="AC49" s="1508">
        <v>2025</v>
      </c>
      <c r="AD49" s="1422"/>
      <c r="AE49" s="1422"/>
      <c r="AF49" s="1423"/>
      <c r="AG49" s="1412">
        <v>2026</v>
      </c>
      <c r="AH49" s="1413"/>
      <c r="AI49" s="1413"/>
      <c r="AJ49" s="1414"/>
    </row>
    <row r="50" spans="4:41" ht="14.9" customHeight="1" x14ac:dyDescent="0.35">
      <c r="D50" s="252"/>
      <c r="E50" s="1028"/>
      <c r="F50" s="272" t="s">
        <v>250</v>
      </c>
      <c r="G50" s="273" t="s">
        <v>226</v>
      </c>
      <c r="H50" s="271" t="s">
        <v>248</v>
      </c>
      <c r="I50" s="273" t="s">
        <v>249</v>
      </c>
      <c r="J50" s="273" t="s">
        <v>250</v>
      </c>
      <c r="K50" s="273" t="s">
        <v>226</v>
      </c>
      <c r="L50" s="273" t="s">
        <v>248</v>
      </c>
      <c r="M50" s="272" t="s">
        <v>249</v>
      </c>
      <c r="N50" s="273" t="s">
        <v>250</v>
      </c>
      <c r="O50" s="273" t="s">
        <v>226</v>
      </c>
      <c r="P50" s="273" t="s">
        <v>248</v>
      </c>
      <c r="Q50" s="272" t="s">
        <v>249</v>
      </c>
      <c r="R50" s="273" t="s">
        <v>250</v>
      </c>
      <c r="S50" s="273" t="s">
        <v>226</v>
      </c>
      <c r="T50" s="271" t="s">
        <v>248</v>
      </c>
      <c r="U50" s="273" t="s">
        <v>249</v>
      </c>
      <c r="V50" s="273" t="s">
        <v>250</v>
      </c>
      <c r="W50" s="273" t="s">
        <v>226</v>
      </c>
      <c r="X50" s="271" t="s">
        <v>248</v>
      </c>
      <c r="Y50" s="275" t="s">
        <v>249</v>
      </c>
      <c r="Z50" s="269" t="s">
        <v>250</v>
      </c>
      <c r="AA50" s="270" t="s">
        <v>226</v>
      </c>
      <c r="AB50" s="276" t="s">
        <v>248</v>
      </c>
      <c r="AC50" s="275" t="s">
        <v>249</v>
      </c>
      <c r="AD50" s="269" t="s">
        <v>250</v>
      </c>
      <c r="AE50" s="270" t="s">
        <v>226</v>
      </c>
      <c r="AF50" s="270" t="s">
        <v>248</v>
      </c>
      <c r="AG50" s="275" t="s">
        <v>249</v>
      </c>
      <c r="AH50" s="269" t="s">
        <v>250</v>
      </c>
      <c r="AI50" s="270" t="s">
        <v>226</v>
      </c>
      <c r="AJ50" s="276" t="s">
        <v>248</v>
      </c>
    </row>
    <row r="51" spans="4:41" ht="14.9" customHeight="1" x14ac:dyDescent="0.35">
      <c r="D51" s="1050" t="s">
        <v>866</v>
      </c>
      <c r="E51" s="1028"/>
      <c r="F51" s="1037"/>
      <c r="G51" s="1037"/>
      <c r="H51" s="1013"/>
      <c r="I51" s="1013"/>
      <c r="J51" s="1013"/>
      <c r="K51" s="1013"/>
      <c r="L51" s="1013"/>
    </row>
    <row r="52" spans="4:41" ht="14.9" customHeight="1" x14ac:dyDescent="0.35">
      <c r="D52" s="1050" t="s">
        <v>1834</v>
      </c>
      <c r="E52" s="1028"/>
      <c r="F52" s="1037"/>
      <c r="G52" s="1037"/>
      <c r="H52" s="1013"/>
      <c r="I52" s="1013"/>
      <c r="J52" s="1013"/>
      <c r="K52" s="1013"/>
      <c r="L52" s="1013"/>
      <c r="M52" s="901">
        <f>H41</f>
        <v>0.20557742674861665</v>
      </c>
      <c r="N52" s="901">
        <f>H41</f>
        <v>0.20557742674861665</v>
      </c>
      <c r="O52" s="901">
        <f>H41</f>
        <v>0.20557742674861665</v>
      </c>
      <c r="P52" s="901">
        <f>H41</f>
        <v>0.20557742674861665</v>
      </c>
      <c r="Q52" s="901">
        <f>I41</f>
        <v>0.19091693369484841</v>
      </c>
      <c r="R52" s="901">
        <f>I41</f>
        <v>0.19091693369484841</v>
      </c>
      <c r="S52" s="901">
        <f>I41</f>
        <v>0.19091693369484841</v>
      </c>
      <c r="T52" s="901">
        <f>I41</f>
        <v>0.19091693369484841</v>
      </c>
      <c r="U52" s="901">
        <f>J41</f>
        <v>-0.17311508294565836</v>
      </c>
      <c r="V52" s="901">
        <f>J41</f>
        <v>-0.17311508294565836</v>
      </c>
      <c r="W52" s="901">
        <f>J41</f>
        <v>-0.17311508294565836</v>
      </c>
      <c r="X52" s="901">
        <f>J41</f>
        <v>-0.17311508294565836</v>
      </c>
      <c r="Y52" s="901">
        <f>K41</f>
        <v>0.16967410007254818</v>
      </c>
      <c r="Z52" s="901">
        <f>K41</f>
        <v>0.16967410007254818</v>
      </c>
      <c r="AA52" s="901">
        <f>K41</f>
        <v>0.16967410007254818</v>
      </c>
      <c r="AB52" s="901">
        <f t="shared" ref="AB52:AC56" si="37">K41</f>
        <v>0.16967410007254818</v>
      </c>
      <c r="AC52" s="901">
        <f>L41</f>
        <v>9.4776030505340447E-2</v>
      </c>
      <c r="AD52" s="901">
        <f>L41</f>
        <v>9.4776030505340447E-2</v>
      </c>
      <c r="AE52" s="901">
        <f>L41</f>
        <v>9.4776030505340447E-2</v>
      </c>
      <c r="AF52" s="901">
        <f t="shared" ref="AF52:AG56" si="38">L41</f>
        <v>9.4776030505340447E-2</v>
      </c>
      <c r="AG52" s="901">
        <f t="shared" si="38"/>
        <v>3.5768072289156683E-2</v>
      </c>
      <c r="AH52" s="901">
        <f>M41</f>
        <v>3.5768072289156683E-2</v>
      </c>
      <c r="AI52" s="901">
        <f>M41</f>
        <v>3.5768072289156683E-2</v>
      </c>
      <c r="AJ52" s="901">
        <f>M41</f>
        <v>3.5768072289156683E-2</v>
      </c>
    </row>
    <row r="53" spans="4:41" ht="14.9" customHeight="1" x14ac:dyDescent="0.35">
      <c r="D53" s="1050" t="s">
        <v>867</v>
      </c>
      <c r="E53" s="1028"/>
      <c r="F53" s="1037"/>
      <c r="G53" s="1037"/>
      <c r="H53" s="1013"/>
      <c r="I53" s="1013"/>
      <c r="J53" s="1013"/>
      <c r="K53" s="1013"/>
      <c r="L53" s="1013"/>
      <c r="Y53" s="901">
        <f>K42</f>
        <v>5.5E-2</v>
      </c>
      <c r="Z53" s="901">
        <f>K42</f>
        <v>5.5E-2</v>
      </c>
      <c r="AA53" s="901">
        <f>K42</f>
        <v>5.5E-2</v>
      </c>
      <c r="AB53" s="901">
        <f t="shared" si="37"/>
        <v>5.5E-2</v>
      </c>
      <c r="AC53" s="901">
        <f>L42</f>
        <v>0</v>
      </c>
      <c r="AD53" s="901">
        <f>L42</f>
        <v>0</v>
      </c>
      <c r="AE53" s="901">
        <f>L42</f>
        <v>0</v>
      </c>
      <c r="AF53" s="901">
        <f t="shared" si="38"/>
        <v>0</v>
      </c>
      <c r="AG53" s="901">
        <f t="shared" si="38"/>
        <v>0</v>
      </c>
      <c r="AH53" s="901">
        <f>M42</f>
        <v>0</v>
      </c>
      <c r="AI53" s="901">
        <f>M42</f>
        <v>0</v>
      </c>
      <c r="AJ53" s="901">
        <f>M42</f>
        <v>0</v>
      </c>
    </row>
    <row r="54" spans="4:41" ht="14.9" customHeight="1" x14ac:dyDescent="0.35">
      <c r="D54" s="1050" t="s">
        <v>868</v>
      </c>
      <c r="E54" s="1028"/>
      <c r="F54" s="1037"/>
      <c r="G54" s="1037"/>
      <c r="H54" s="1013"/>
      <c r="I54" s="1013"/>
      <c r="J54" s="1013"/>
      <c r="K54" s="1013"/>
      <c r="L54" s="1013"/>
      <c r="M54" s="901">
        <f>H43</f>
        <v>2.94078520156551E-2</v>
      </c>
      <c r="N54" s="901">
        <f>H43</f>
        <v>2.94078520156551E-2</v>
      </c>
      <c r="O54" s="119">
        <f>H43</f>
        <v>2.94078520156551E-2</v>
      </c>
      <c r="P54" s="901">
        <f t="shared" ref="P54:Q56" si="39">H43</f>
        <v>2.94078520156551E-2</v>
      </c>
      <c r="Q54" s="901">
        <f t="shared" si="39"/>
        <v>8.5403021668544188E-2</v>
      </c>
      <c r="R54" s="901">
        <f>I43</f>
        <v>8.5403021668544188E-2</v>
      </c>
      <c r="S54" s="901">
        <f>I43</f>
        <v>8.5403021668544188E-2</v>
      </c>
      <c r="T54" s="901">
        <f t="shared" ref="T54:U56" si="40">I43</f>
        <v>8.5403021668544188E-2</v>
      </c>
      <c r="U54" s="119">
        <f t="shared" si="40"/>
        <v>8.8255952372927604E-2</v>
      </c>
      <c r="V54" s="119">
        <f>J43</f>
        <v>8.8255952372927604E-2</v>
      </c>
      <c r="W54" s="119">
        <f>J43</f>
        <v>8.8255952372927604E-2</v>
      </c>
      <c r="X54" s="119">
        <f>J43</f>
        <v>8.8255952372927604E-2</v>
      </c>
      <c r="Y54" s="901">
        <f>K43</f>
        <v>5.851506637529913E-2</v>
      </c>
      <c r="Z54" s="901">
        <f>K43</f>
        <v>5.851506637529913E-2</v>
      </c>
      <c r="AA54" s="901">
        <f>K43</f>
        <v>5.851506637529913E-2</v>
      </c>
      <c r="AB54" s="901">
        <f t="shared" si="37"/>
        <v>5.851506637529913E-2</v>
      </c>
      <c r="AC54" s="901">
        <f t="shared" si="37"/>
        <v>2.2864653004284641E-2</v>
      </c>
      <c r="AD54" s="901">
        <f>L43</f>
        <v>2.2864653004284641E-2</v>
      </c>
      <c r="AE54" s="901">
        <f>L43</f>
        <v>2.2864653004284641E-2</v>
      </c>
      <c r="AF54" s="901">
        <f t="shared" si="38"/>
        <v>2.2864653004284641E-2</v>
      </c>
      <c r="AG54" s="901">
        <f>M43</f>
        <v>4.4622425629290641E-2</v>
      </c>
      <c r="AH54" s="901">
        <f>M43</f>
        <v>4.4622425629290641E-2</v>
      </c>
      <c r="AI54" s="901">
        <f>M43</f>
        <v>4.4622425629290641E-2</v>
      </c>
      <c r="AJ54" s="901">
        <f>M43</f>
        <v>4.4622425629290641E-2</v>
      </c>
    </row>
    <row r="55" spans="4:41" ht="14.9" customHeight="1" x14ac:dyDescent="0.35">
      <c r="D55" s="1015" t="s">
        <v>869</v>
      </c>
      <c r="E55" s="1028"/>
      <c r="F55" s="1037"/>
      <c r="G55" s="1037"/>
      <c r="H55" s="1013"/>
      <c r="I55" s="1013"/>
      <c r="J55" s="1013"/>
      <c r="K55" s="1013"/>
      <c r="L55" s="1013"/>
      <c r="M55" s="901">
        <f>H44</f>
        <v>6.6344806104968068E-2</v>
      </c>
      <c r="N55" s="901">
        <f>H44</f>
        <v>6.6344806104968068E-2</v>
      </c>
      <c r="O55" s="901">
        <f>H44</f>
        <v>6.6344806104968068E-2</v>
      </c>
      <c r="P55" s="901">
        <f t="shared" si="39"/>
        <v>6.6344806104968068E-2</v>
      </c>
      <c r="Q55" s="901">
        <f t="shared" si="39"/>
        <v>0.17898787790273096</v>
      </c>
      <c r="R55" s="901">
        <f>I44</f>
        <v>0.17898787790273096</v>
      </c>
      <c r="S55" s="901">
        <f>I44</f>
        <v>0.17898787790273096</v>
      </c>
      <c r="T55" s="901">
        <f t="shared" si="40"/>
        <v>0.17898787790273096</v>
      </c>
      <c r="U55" s="901">
        <f t="shared" si="40"/>
        <v>-0.16946808510638289</v>
      </c>
      <c r="V55" s="901">
        <f>J44</f>
        <v>-0.16946808510638289</v>
      </c>
      <c r="W55" s="901">
        <f>J44</f>
        <v>-0.16946808510638289</v>
      </c>
      <c r="X55" s="901">
        <f>J44</f>
        <v>-0.16946808510638289</v>
      </c>
      <c r="Y55" s="901">
        <f>K44</f>
        <v>-0.3303061355194058</v>
      </c>
      <c r="Z55" s="901">
        <f>K44</f>
        <v>-0.3303061355194058</v>
      </c>
      <c r="AA55" s="901">
        <f>K44</f>
        <v>-0.3303061355194058</v>
      </c>
      <c r="AB55" s="901">
        <f t="shared" si="37"/>
        <v>-0.3303061355194058</v>
      </c>
      <c r="AC55" s="901">
        <f t="shared" si="37"/>
        <v>2.6149417592716557</v>
      </c>
      <c r="AD55" s="901">
        <f>L44</f>
        <v>2.6149417592716557</v>
      </c>
      <c r="AE55" s="901">
        <f>L44</f>
        <v>2.6149417592716557</v>
      </c>
      <c r="AF55" s="901">
        <f t="shared" si="38"/>
        <v>2.6149417592716557</v>
      </c>
      <c r="AG55" s="901">
        <f t="shared" si="38"/>
        <v>0.62698412698412676</v>
      </c>
      <c r="AH55" s="901">
        <f>M44</f>
        <v>0.62698412698412676</v>
      </c>
      <c r="AI55" s="901">
        <f>M44</f>
        <v>0.62698412698412676</v>
      </c>
      <c r="AJ55" s="901">
        <f>M44</f>
        <v>0.62698412698412676</v>
      </c>
    </row>
    <row r="56" spans="4:41" ht="14.9" customHeight="1" x14ac:dyDescent="0.35">
      <c r="D56" s="252"/>
      <c r="E56" s="1028"/>
      <c r="F56" s="1037"/>
      <c r="G56" s="1037"/>
      <c r="H56" s="1013"/>
      <c r="I56" s="1013"/>
      <c r="J56" s="1013"/>
      <c r="K56" s="1013"/>
      <c r="L56" s="1013"/>
      <c r="M56" s="901">
        <f>H45</f>
        <v>0.38239963710591973</v>
      </c>
      <c r="N56" s="901">
        <f>H45</f>
        <v>0.38239963710591973</v>
      </c>
      <c r="O56" s="901">
        <f>H45</f>
        <v>0.38239963710591973</v>
      </c>
      <c r="P56" s="901">
        <f t="shared" si="39"/>
        <v>0.38239963710591973</v>
      </c>
      <c r="Q56" s="901">
        <f t="shared" si="39"/>
        <v>0.21078178835110739</v>
      </c>
      <c r="R56" s="901">
        <f>I45</f>
        <v>0.21078178835110739</v>
      </c>
      <c r="S56" s="901">
        <f>I45</f>
        <v>0.21078178835110739</v>
      </c>
      <c r="T56" s="901">
        <f t="shared" si="40"/>
        <v>0.21078178835110739</v>
      </c>
      <c r="U56" s="901">
        <f t="shared" si="40"/>
        <v>-1.2434479495936457E-2</v>
      </c>
      <c r="V56" s="901">
        <f>J45</f>
        <v>-1.2434479495936457E-2</v>
      </c>
      <c r="W56" s="901">
        <f>J45</f>
        <v>-1.2434479495936457E-2</v>
      </c>
      <c r="X56" s="901">
        <f>J45</f>
        <v>-1.2434479495936457E-2</v>
      </c>
      <c r="Y56" s="901">
        <f>K45</f>
        <v>0.11283890710799263</v>
      </c>
      <c r="Z56" s="901">
        <f>K45</f>
        <v>0.11283890710799263</v>
      </c>
      <c r="AA56" s="901">
        <f>K45</f>
        <v>0.11283890710799263</v>
      </c>
      <c r="AB56" s="901">
        <f t="shared" si="37"/>
        <v>0.11283890710799263</v>
      </c>
      <c r="AC56" s="901">
        <f t="shared" si="37"/>
        <v>0.08</v>
      </c>
      <c r="AD56" s="901">
        <f>L45</f>
        <v>0.08</v>
      </c>
      <c r="AE56" s="901">
        <f>L45</f>
        <v>0.08</v>
      </c>
      <c r="AF56" s="901">
        <f t="shared" si="38"/>
        <v>0.08</v>
      </c>
      <c r="AG56" s="901">
        <f t="shared" si="38"/>
        <v>-7.6417099287972051E-2</v>
      </c>
      <c r="AH56" s="901">
        <f>O45</f>
        <v>0</v>
      </c>
      <c r="AI56" s="901" t="e">
        <f>#REF!</f>
        <v>#REF!</v>
      </c>
      <c r="AJ56" s="901">
        <f>P45</f>
        <v>0</v>
      </c>
    </row>
    <row r="57" spans="4:41" ht="14.9" customHeight="1" x14ac:dyDescent="0.35">
      <c r="D57" s="252"/>
      <c r="E57" s="1028"/>
      <c r="F57" s="1037"/>
      <c r="G57" s="1037"/>
      <c r="H57" s="1013"/>
      <c r="I57" s="1013"/>
      <c r="J57" s="954"/>
      <c r="K57" s="1013"/>
      <c r="L57" s="1013"/>
    </row>
    <row r="58" spans="4:41" ht="14.9" customHeight="1" x14ac:dyDescent="0.35">
      <c r="D58" s="252"/>
      <c r="E58" s="1028"/>
      <c r="F58" s="1037"/>
      <c r="G58" s="1037"/>
      <c r="H58" s="1013"/>
      <c r="I58" s="1013"/>
      <c r="J58" s="1013"/>
      <c r="K58" s="1013"/>
      <c r="L58" s="1013"/>
    </row>
    <row r="59" spans="4:41" ht="41.9" customHeight="1" x14ac:dyDescent="0.35">
      <c r="F59" s="268"/>
      <c r="G59" s="268"/>
      <c r="H59" s="993"/>
      <c r="I59" s="993"/>
      <c r="J59" s="993"/>
      <c r="K59" s="993"/>
      <c r="L59" s="993"/>
      <c r="M59" s="268" t="s">
        <v>1863</v>
      </c>
      <c r="N59" s="399"/>
      <c r="AF59" s="993"/>
      <c r="AG59" s="993"/>
      <c r="AH59" s="993"/>
      <c r="AI59" s="993"/>
      <c r="AJ59" s="993"/>
      <c r="AK59" s="993"/>
      <c r="AL59" s="993"/>
      <c r="AN59" s="993"/>
      <c r="AO59" s="993"/>
    </row>
    <row r="60" spans="4:41" ht="30.75" customHeight="1" x14ac:dyDescent="0.35">
      <c r="D60" s="915" t="s">
        <v>2036</v>
      </c>
      <c r="E60" s="780">
        <v>2018</v>
      </c>
      <c r="F60" s="1000">
        <v>2019</v>
      </c>
      <c r="G60" s="1000">
        <v>2020</v>
      </c>
      <c r="H60" s="1000">
        <v>2021</v>
      </c>
      <c r="I60" s="1000">
        <v>2022</v>
      </c>
      <c r="J60" s="894">
        <v>2023</v>
      </c>
      <c r="K60" s="896">
        <v>2024</v>
      </c>
      <c r="L60" s="928">
        <v>2025</v>
      </c>
      <c r="M60" s="891">
        <v>2026</v>
      </c>
      <c r="N60" s="896">
        <v>2027</v>
      </c>
      <c r="O60" s="928">
        <v>2028</v>
      </c>
      <c r="P60" s="891">
        <v>2029</v>
      </c>
      <c r="Q60" s="896">
        <v>2030</v>
      </c>
      <c r="R60" s="928">
        <v>2031</v>
      </c>
      <c r="S60" s="891">
        <v>2032</v>
      </c>
      <c r="T60" s="928">
        <v>2033</v>
      </c>
      <c r="U60" s="891">
        <v>2034</v>
      </c>
      <c r="V60" s="896">
        <v>2035</v>
      </c>
    </row>
    <row r="61" spans="4:41" ht="30.75" customHeight="1" x14ac:dyDescent="0.35">
      <c r="D61" s="909" t="s">
        <v>454</v>
      </c>
      <c r="E61" s="1001">
        <v>1683.5</v>
      </c>
      <c r="F61" s="1001">
        <v>1717.9</v>
      </c>
      <c r="G61" s="1001">
        <v>1609</v>
      </c>
      <c r="H61" s="476">
        <v>2044.377</v>
      </c>
      <c r="I61" s="583">
        <v>2632.145</v>
      </c>
      <c r="J61" s="583">
        <v>2176.4810000000002</v>
      </c>
      <c r="K61" s="583">
        <v>2426.067</v>
      </c>
      <c r="L61" s="892">
        <v>2656</v>
      </c>
      <c r="M61" s="892">
        <v>2751</v>
      </c>
      <c r="N61" s="892">
        <v>2947</v>
      </c>
      <c r="O61" s="892">
        <v>3044</v>
      </c>
      <c r="P61" s="892">
        <v>3193</v>
      </c>
      <c r="Q61" s="892">
        <v>3339</v>
      </c>
      <c r="R61" s="892">
        <v>3461</v>
      </c>
      <c r="S61" s="892">
        <v>3594</v>
      </c>
      <c r="T61" s="892">
        <v>3744</v>
      </c>
      <c r="U61" s="892">
        <v>3903</v>
      </c>
      <c r="V61" s="892">
        <v>4072</v>
      </c>
      <c r="W61" s="772"/>
    </row>
    <row r="62" spans="4:41" ht="30.75" customHeight="1" x14ac:dyDescent="0.35">
      <c r="D62" s="1022" t="s">
        <v>866</v>
      </c>
      <c r="E62" s="908"/>
      <c r="F62" s="908"/>
      <c r="G62" s="908"/>
      <c r="H62" s="742">
        <f t="shared" ref="H62:K62" si="41">((H61/G61)-1)*100</f>
        <v>27.058856432566802</v>
      </c>
      <c r="I62" s="742">
        <f t="shared" si="41"/>
        <v>28.750470192141677</v>
      </c>
      <c r="J62" s="742">
        <f t="shared" si="41"/>
        <v>-17.311508294565826</v>
      </c>
      <c r="K62" s="742">
        <f t="shared" si="41"/>
        <v>11.46741000725482</v>
      </c>
      <c r="L62" s="748">
        <f>(L61/K61)-1</f>
        <v>9.4776030505340447E-2</v>
      </c>
      <c r="M62" s="748">
        <f t="shared" ref="M62:V62" si="42">(M61/L61)-1</f>
        <v>3.5768072289156683E-2</v>
      </c>
      <c r="N62" s="748">
        <f t="shared" si="42"/>
        <v>7.1246819338422362E-2</v>
      </c>
      <c r="O62" s="748">
        <f t="shared" si="42"/>
        <v>3.291482863929418E-2</v>
      </c>
      <c r="P62" s="748">
        <f t="shared" si="42"/>
        <v>4.8948751642575505E-2</v>
      </c>
      <c r="Q62" s="748">
        <f t="shared" si="42"/>
        <v>4.5725023488881966E-2</v>
      </c>
      <c r="R62" s="748">
        <f t="shared" si="42"/>
        <v>3.6537885594489339E-2</v>
      </c>
      <c r="S62" s="748">
        <f t="shared" si="42"/>
        <v>3.8428199942213137E-2</v>
      </c>
      <c r="T62" s="748">
        <f t="shared" si="42"/>
        <v>4.173622704507518E-2</v>
      </c>
      <c r="U62" s="748">
        <f t="shared" si="42"/>
        <v>4.2467948717948678E-2</v>
      </c>
      <c r="V62" s="748">
        <f t="shared" si="42"/>
        <v>4.3300025621316962E-2</v>
      </c>
    </row>
    <row r="63" spans="4:41" ht="16.5" customHeight="1" x14ac:dyDescent="0.35">
      <c r="D63" s="889" t="s">
        <v>455</v>
      </c>
      <c r="E63" s="908">
        <v>1170.7</v>
      </c>
      <c r="F63" s="908">
        <v>1243.4000000000001</v>
      </c>
      <c r="G63" s="908">
        <v>1310</v>
      </c>
      <c r="H63" s="537">
        <v>1314.088</v>
      </c>
      <c r="I63" s="366">
        <v>1483.5260000000001</v>
      </c>
      <c r="J63" s="366">
        <v>1614.4559999999999</v>
      </c>
      <c r="K63" s="366">
        <v>1708.9259999999999</v>
      </c>
      <c r="L63" s="366">
        <v>1748</v>
      </c>
      <c r="M63" s="895">
        <v>1826</v>
      </c>
      <c r="N63" s="366">
        <v>1897</v>
      </c>
      <c r="O63" s="366">
        <v>1970</v>
      </c>
      <c r="P63" s="366">
        <v>2048</v>
      </c>
      <c r="Q63" s="366">
        <v>2132</v>
      </c>
      <c r="R63" s="366">
        <v>2216</v>
      </c>
      <c r="S63" s="366">
        <v>2302</v>
      </c>
      <c r="T63" s="366">
        <v>2389</v>
      </c>
      <c r="U63" s="366">
        <v>2478</v>
      </c>
      <c r="V63" s="895">
        <v>2570</v>
      </c>
      <c r="W63" s="772"/>
    </row>
    <row r="64" spans="4:41" ht="16.5" customHeight="1" x14ac:dyDescent="0.35">
      <c r="D64" s="911" t="s">
        <v>2041</v>
      </c>
      <c r="E64" s="908"/>
      <c r="F64" s="908"/>
      <c r="G64" s="908"/>
      <c r="H64" s="537"/>
      <c r="I64" s="366"/>
      <c r="J64" s="366"/>
      <c r="K64" s="366"/>
      <c r="L64" s="748">
        <f>(L63/K63-1)</f>
        <v>2.2864653004284641E-2</v>
      </c>
      <c r="M64" s="748">
        <f t="shared" ref="M64:V64" si="43">(M63/L63-1)</f>
        <v>4.4622425629290641E-2</v>
      </c>
      <c r="N64" s="748">
        <f t="shared" si="43"/>
        <v>3.8882803943044886E-2</v>
      </c>
      <c r="O64" s="748">
        <f t="shared" si="43"/>
        <v>3.8481813389562358E-2</v>
      </c>
      <c r="P64" s="748">
        <f t="shared" si="43"/>
        <v>3.9593908629441676E-2</v>
      </c>
      <c r="Q64" s="748">
        <f t="shared" si="43"/>
        <v>4.1015625E-2</v>
      </c>
      <c r="R64" s="748">
        <f t="shared" si="43"/>
        <v>3.9399624765478425E-2</v>
      </c>
      <c r="S64" s="748">
        <f t="shared" si="43"/>
        <v>3.8808664259927905E-2</v>
      </c>
      <c r="T64" s="748">
        <f t="shared" si="43"/>
        <v>3.779322328410073E-2</v>
      </c>
      <c r="U64" s="748">
        <f t="shared" si="43"/>
        <v>3.7254081205525313E-2</v>
      </c>
      <c r="V64" s="748">
        <f t="shared" si="43"/>
        <v>3.7126715092816731E-2</v>
      </c>
      <c r="W64" s="772"/>
    </row>
    <row r="65" spans="4:26" x14ac:dyDescent="0.35">
      <c r="D65" s="679" t="s">
        <v>456</v>
      </c>
      <c r="E65" s="537">
        <f>E66+E68</f>
        <v>136.30000000000001</v>
      </c>
      <c r="F65" s="537">
        <f t="shared" ref="F65:K65" si="44">F66+F68</f>
        <v>170.6</v>
      </c>
      <c r="G65" s="537">
        <f t="shared" si="44"/>
        <v>156</v>
      </c>
      <c r="H65" s="537">
        <f t="shared" si="44"/>
        <v>155.25900000000001</v>
      </c>
      <c r="I65" s="537">
        <f t="shared" si="44"/>
        <v>188</v>
      </c>
      <c r="J65" s="537">
        <f t="shared" si="44"/>
        <v>156.14000000000001</v>
      </c>
      <c r="K65" s="537">
        <f t="shared" si="44"/>
        <v>104.566</v>
      </c>
      <c r="L65" s="537">
        <f>L66+L68</f>
        <v>378</v>
      </c>
      <c r="M65" s="906">
        <f>M66+M68</f>
        <v>615</v>
      </c>
      <c r="N65" s="906">
        <f t="shared" ref="N65:V65" si="45">N66+N68</f>
        <v>622</v>
      </c>
      <c r="O65" s="906">
        <f t="shared" si="45"/>
        <v>625</v>
      </c>
      <c r="P65" s="906">
        <f t="shared" si="45"/>
        <v>626</v>
      </c>
      <c r="Q65" s="906">
        <f t="shared" si="45"/>
        <v>647</v>
      </c>
      <c r="R65" s="906">
        <f t="shared" si="45"/>
        <v>698</v>
      </c>
      <c r="S65" s="906">
        <f t="shared" si="45"/>
        <v>723</v>
      </c>
      <c r="T65" s="906">
        <f t="shared" si="45"/>
        <v>733</v>
      </c>
      <c r="U65" s="906">
        <f t="shared" si="45"/>
        <v>750</v>
      </c>
      <c r="V65" s="906">
        <f t="shared" si="45"/>
        <v>778</v>
      </c>
      <c r="W65" s="1053"/>
    </row>
    <row r="66" spans="4:26" x14ac:dyDescent="0.35">
      <c r="D66" s="819" t="s">
        <v>1859</v>
      </c>
      <c r="E66" s="908">
        <v>95</v>
      </c>
      <c r="F66" s="908">
        <v>99.8</v>
      </c>
      <c r="G66" s="908">
        <v>87</v>
      </c>
      <c r="H66" s="537">
        <v>75.274000000000001</v>
      </c>
      <c r="I66" s="907">
        <v>88</v>
      </c>
      <c r="J66" s="893">
        <v>75.802000000000007</v>
      </c>
      <c r="K66" s="537">
        <v>101.435</v>
      </c>
      <c r="L66" s="537">
        <v>183</v>
      </c>
      <c r="M66" s="906">
        <v>197</v>
      </c>
      <c r="N66" s="537">
        <v>201</v>
      </c>
      <c r="O66" s="537">
        <v>201</v>
      </c>
      <c r="P66" s="537">
        <v>209</v>
      </c>
      <c r="Q66" s="537">
        <v>235</v>
      </c>
      <c r="R66" s="537">
        <v>293</v>
      </c>
      <c r="S66" s="537">
        <v>334</v>
      </c>
      <c r="T66" s="537">
        <v>351</v>
      </c>
      <c r="U66" s="537">
        <v>368</v>
      </c>
      <c r="V66" s="906">
        <v>388</v>
      </c>
      <c r="W66" s="537"/>
      <c r="X66" s="537"/>
    </row>
    <row r="67" spans="4:26" x14ac:dyDescent="0.35">
      <c r="D67" s="913" t="s">
        <v>2043</v>
      </c>
      <c r="E67" s="908"/>
      <c r="F67" s="908"/>
      <c r="G67" s="908"/>
      <c r="H67" s="537"/>
      <c r="I67" s="907"/>
      <c r="J67" s="893"/>
      <c r="K67" s="537"/>
      <c r="L67" s="916">
        <f>(L66/K66-1)</f>
        <v>0.80411100704884908</v>
      </c>
      <c r="M67" s="916">
        <f t="shared" ref="M67:V67" si="46">(M66/L66-1)</f>
        <v>7.6502732240437243E-2</v>
      </c>
      <c r="N67" s="916">
        <f t="shared" si="46"/>
        <v>2.0304568527918843E-2</v>
      </c>
      <c r="O67" s="916">
        <f t="shared" si="46"/>
        <v>0</v>
      </c>
      <c r="P67" s="916">
        <f t="shared" si="46"/>
        <v>3.9800995024875663E-2</v>
      </c>
      <c r="Q67" s="916">
        <f t="shared" si="46"/>
        <v>0.12440191387559807</v>
      </c>
      <c r="R67" s="916">
        <f t="shared" si="46"/>
        <v>0.24680851063829778</v>
      </c>
      <c r="S67" s="916">
        <f t="shared" si="46"/>
        <v>0.13993174061433455</v>
      </c>
      <c r="T67" s="916">
        <f t="shared" si="46"/>
        <v>5.0898203592814273E-2</v>
      </c>
      <c r="U67" s="916">
        <f t="shared" si="46"/>
        <v>4.8433048433048409E-2</v>
      </c>
      <c r="V67" s="916">
        <f t="shared" si="46"/>
        <v>5.4347826086956541E-2</v>
      </c>
      <c r="W67" s="537"/>
      <c r="X67" s="537"/>
    </row>
    <row r="68" spans="4:26" ht="16.5" customHeight="1" x14ac:dyDescent="0.35">
      <c r="D68" s="635" t="s">
        <v>1858</v>
      </c>
      <c r="E68" s="908">
        <v>41.3</v>
      </c>
      <c r="F68" s="908">
        <v>70.8</v>
      </c>
      <c r="G68" s="908">
        <v>69</v>
      </c>
      <c r="H68" s="537">
        <v>79.984999999999999</v>
      </c>
      <c r="I68" s="907">
        <v>100</v>
      </c>
      <c r="J68" s="893">
        <v>80.338000000000008</v>
      </c>
      <c r="K68" s="537">
        <v>3.1309999999999998</v>
      </c>
      <c r="L68" s="537">
        <v>195</v>
      </c>
      <c r="M68" s="906">
        <v>418</v>
      </c>
      <c r="N68" s="537">
        <v>421</v>
      </c>
      <c r="O68" s="537">
        <v>424</v>
      </c>
      <c r="P68" s="537">
        <v>417</v>
      </c>
      <c r="Q68" s="537">
        <v>412</v>
      </c>
      <c r="R68" s="537">
        <v>405</v>
      </c>
      <c r="S68" s="537">
        <v>389</v>
      </c>
      <c r="T68" s="537">
        <v>382</v>
      </c>
      <c r="U68" s="537">
        <v>382</v>
      </c>
      <c r="V68" s="906">
        <v>390</v>
      </c>
      <c r="W68" s="537"/>
      <c r="X68" s="537"/>
      <c r="Y68" s="1038"/>
      <c r="Z68" s="1052"/>
    </row>
    <row r="69" spans="4:26" ht="16.5" customHeight="1" x14ac:dyDescent="0.35">
      <c r="D69" s="914" t="s">
        <v>2044</v>
      </c>
      <c r="E69" s="908"/>
      <c r="F69" s="908"/>
      <c r="G69" s="908"/>
      <c r="H69" s="537"/>
      <c r="I69" s="907"/>
      <c r="J69" s="893"/>
      <c r="K69" s="537"/>
      <c r="L69" s="748">
        <f>(L68/K68-1)</f>
        <v>61.280421590546155</v>
      </c>
      <c r="M69" s="748">
        <f t="shared" ref="M69:V69" si="47">(M68/L68-1)</f>
        <v>1.1435897435897435</v>
      </c>
      <c r="N69" s="748">
        <f t="shared" si="47"/>
        <v>7.1770334928229484E-3</v>
      </c>
      <c r="O69" s="748">
        <f t="shared" si="47"/>
        <v>7.1258907363420665E-3</v>
      </c>
      <c r="P69" s="748">
        <f t="shared" si="47"/>
        <v>-1.650943396226412E-2</v>
      </c>
      <c r="Q69" s="748">
        <f t="shared" si="47"/>
        <v>-1.1990407673860948E-2</v>
      </c>
      <c r="R69" s="748">
        <f t="shared" si="47"/>
        <v>-1.6990291262135915E-2</v>
      </c>
      <c r="S69" s="748">
        <f t="shared" si="47"/>
        <v>-3.9506172839506193E-2</v>
      </c>
      <c r="T69" s="748">
        <f t="shared" si="47"/>
        <v>-1.7994858611825149E-2</v>
      </c>
      <c r="U69" s="748">
        <f t="shared" si="47"/>
        <v>0</v>
      </c>
      <c r="V69" s="748">
        <f t="shared" si="47"/>
        <v>2.0942408376963373E-2</v>
      </c>
      <c r="W69" s="537"/>
      <c r="X69" s="537"/>
      <c r="Y69" s="1038"/>
      <c r="Z69" s="1052"/>
    </row>
    <row r="70" spans="4:26" ht="16.5" customHeight="1" x14ac:dyDescent="0.35">
      <c r="D70" s="889" t="s">
        <v>2040</v>
      </c>
      <c r="E70" s="908">
        <v>204.7</v>
      </c>
      <c r="F70" s="908">
        <v>230.2</v>
      </c>
      <c r="G70" s="908">
        <v>212</v>
      </c>
      <c r="H70" s="537">
        <v>371.83100000000002</v>
      </c>
      <c r="I70" s="366">
        <v>424.86700000000002</v>
      </c>
      <c r="J70" s="366">
        <v>419.584</v>
      </c>
      <c r="K70" s="366">
        <v>529.86699999999996</v>
      </c>
      <c r="L70" s="366">
        <v>452.089</v>
      </c>
      <c r="M70" s="366">
        <v>403.97899999999998</v>
      </c>
      <c r="N70" s="366">
        <v>419.298</v>
      </c>
      <c r="O70" s="366">
        <v>432.53399999999999</v>
      </c>
      <c r="P70" s="366">
        <v>451.53899999999999</v>
      </c>
      <c r="Q70" s="366">
        <v>477.34</v>
      </c>
      <c r="R70" s="904">
        <v>493.46499999999997</v>
      </c>
      <c r="S70" s="904">
        <v>509.96199999999999</v>
      </c>
      <c r="T70" s="904">
        <v>525.923</v>
      </c>
      <c r="U70" s="904">
        <v>539.06700000000001</v>
      </c>
      <c r="V70" s="942">
        <v>551.90599999999995</v>
      </c>
      <c r="W70" s="1051">
        <v>575.64499999999998</v>
      </c>
      <c r="X70" s="1038"/>
      <c r="Y70" s="1038"/>
      <c r="Z70" s="1052"/>
    </row>
    <row r="71" spans="4:26" ht="16.5" customHeight="1" x14ac:dyDescent="0.35">
      <c r="D71" s="912" t="s">
        <v>2042</v>
      </c>
      <c r="E71" s="1002"/>
      <c r="F71" s="1002"/>
      <c r="G71" s="1002"/>
      <c r="H71" s="1025"/>
      <c r="I71" s="598"/>
      <c r="J71" s="598"/>
      <c r="K71" s="917"/>
      <c r="L71" s="917">
        <f>(L70/K70-1)</f>
        <v>-0.14678777881996796</v>
      </c>
      <c r="M71" s="917">
        <f t="shared" ref="M71:V71" si="48">(M70/L70-1)</f>
        <v>-0.10641709928797205</v>
      </c>
      <c r="N71" s="917">
        <f t="shared" si="48"/>
        <v>3.7920287935759189E-2</v>
      </c>
      <c r="O71" s="917">
        <f t="shared" si="48"/>
        <v>3.1567047779860635E-2</v>
      </c>
      <c r="P71" s="917">
        <f t="shared" si="48"/>
        <v>4.3938742387881646E-2</v>
      </c>
      <c r="Q71" s="917">
        <f t="shared" si="48"/>
        <v>5.7140136289445698E-2</v>
      </c>
      <c r="R71" s="917">
        <f t="shared" si="48"/>
        <v>3.3780952779989049E-2</v>
      </c>
      <c r="S71" s="917">
        <f t="shared" si="48"/>
        <v>3.3430942417395304E-2</v>
      </c>
      <c r="T71" s="917">
        <f t="shared" si="48"/>
        <v>3.1298410469799753E-2</v>
      </c>
      <c r="U71" s="917">
        <f t="shared" si="48"/>
        <v>2.4992251717456782E-2</v>
      </c>
      <c r="V71" s="917">
        <f t="shared" si="48"/>
        <v>2.3817076541505777E-2</v>
      </c>
      <c r="W71" s="1051"/>
      <c r="X71" s="1038"/>
      <c r="Y71" s="1038"/>
      <c r="Z71" s="1052"/>
    </row>
    <row r="72" spans="4:26" ht="16.5" customHeight="1" x14ac:dyDescent="0.35">
      <c r="J72" s="119"/>
      <c r="K72" s="119"/>
      <c r="L72" s="119"/>
      <c r="M72" s="119"/>
      <c r="N72" s="119"/>
      <c r="O72" s="119"/>
    </row>
    <row r="73" spans="4:26" x14ac:dyDescent="0.35">
      <c r="D73" s="724" t="s">
        <v>457</v>
      </c>
      <c r="E73" s="780">
        <v>2018</v>
      </c>
      <c r="F73" s="781">
        <v>2019</v>
      </c>
      <c r="G73" s="781">
        <v>2020</v>
      </c>
      <c r="H73" s="924">
        <v>2021</v>
      </c>
      <c r="I73" s="781">
        <v>2022</v>
      </c>
      <c r="J73" s="924">
        <v>2023</v>
      </c>
      <c r="K73" s="1056">
        <v>2024</v>
      </c>
      <c r="L73" s="1056">
        <v>2025</v>
      </c>
      <c r="M73" s="891">
        <v>2026</v>
      </c>
      <c r="O73" s="630" t="s">
        <v>458</v>
      </c>
    </row>
    <row r="74" spans="4:26" ht="14.9" customHeight="1" x14ac:dyDescent="0.35">
      <c r="D74" s="1031" t="s">
        <v>454</v>
      </c>
      <c r="E74" s="422">
        <v>1622</v>
      </c>
      <c r="F74" s="422">
        <v>1687</v>
      </c>
      <c r="G74" s="930">
        <f t="shared" ref="G74:M77" si="49">G37</f>
        <v>1712.425</v>
      </c>
      <c r="H74" s="930">
        <f t="shared" si="49"/>
        <v>2028.5</v>
      </c>
      <c r="I74" s="930">
        <f t="shared" si="49"/>
        <v>2517.2000000000003</v>
      </c>
      <c r="J74" s="904">
        <f t="shared" si="49"/>
        <v>2081.4347132091889</v>
      </c>
      <c r="K74" s="904">
        <f t="shared" si="49"/>
        <v>2320.1213658062152</v>
      </c>
      <c r="L74" s="904">
        <f t="shared" si="49"/>
        <v>2540.0132591479573</v>
      </c>
      <c r="M74" s="942">
        <f t="shared" si="49"/>
        <v>2630.8646370165779</v>
      </c>
    </row>
    <row r="75" spans="4:26" x14ac:dyDescent="0.35">
      <c r="D75" s="1050" t="s">
        <v>459</v>
      </c>
      <c r="E75" s="265">
        <v>1332</v>
      </c>
      <c r="F75" s="265">
        <v>1388</v>
      </c>
      <c r="G75" s="904">
        <f t="shared" si="49"/>
        <v>1424.4749999999999</v>
      </c>
      <c r="H75" s="904">
        <f t="shared" si="49"/>
        <v>1509.1000000000001</v>
      </c>
      <c r="I75" s="904">
        <f t="shared" si="49"/>
        <v>1657.6</v>
      </c>
      <c r="J75" s="904">
        <f t="shared" si="49"/>
        <v>1803.8930666533647</v>
      </c>
      <c r="K75" s="904">
        <f t="shared" si="49"/>
        <v>1909.4479891825283</v>
      </c>
      <c r="L75" s="904">
        <f t="shared" si="49"/>
        <v>1953.1068548849159</v>
      </c>
      <c r="M75" s="942">
        <f t="shared" si="49"/>
        <v>2040.2592202630758</v>
      </c>
      <c r="N75" s="1036"/>
    </row>
    <row r="76" spans="4:26" x14ac:dyDescent="0.35">
      <c r="D76" s="1050" t="s">
        <v>93</v>
      </c>
      <c r="E76" s="265">
        <v>150</v>
      </c>
      <c r="F76" s="265">
        <v>175</v>
      </c>
      <c r="G76" s="904">
        <f t="shared" si="49"/>
        <v>160.52500000000001</v>
      </c>
      <c r="H76" s="904">
        <f t="shared" si="49"/>
        <v>171.17500000000001</v>
      </c>
      <c r="I76" s="904">
        <f t="shared" si="49"/>
        <v>203.52500000000001</v>
      </c>
      <c r="J76" s="904">
        <f t="shared" si="49"/>
        <v>169.03400797872342</v>
      </c>
      <c r="K76" s="904">
        <f t="shared" si="49"/>
        <v>113.20103803191489</v>
      </c>
      <c r="L76" s="904">
        <f t="shared" si="49"/>
        <v>409.21515957446803</v>
      </c>
      <c r="M76" s="942">
        <f t="shared" si="49"/>
        <v>665.786569148936</v>
      </c>
      <c r="N76" s="1036"/>
    </row>
    <row r="77" spans="4:26" x14ac:dyDescent="0.35">
      <c r="D77" s="1015" t="s">
        <v>242</v>
      </c>
      <c r="E77" s="676">
        <v>208</v>
      </c>
      <c r="F77" s="676">
        <v>219</v>
      </c>
      <c r="G77" s="931">
        <f t="shared" si="49"/>
        <v>220.45</v>
      </c>
      <c r="H77" s="931">
        <f t="shared" si="49"/>
        <v>304.75</v>
      </c>
      <c r="I77" s="931">
        <f t="shared" si="49"/>
        <v>400.375</v>
      </c>
      <c r="J77" s="931">
        <f t="shared" si="49"/>
        <v>395.39654527181443</v>
      </c>
      <c r="K77" s="931">
        <f t="shared" si="49"/>
        <v>499.32214110533403</v>
      </c>
      <c r="L77" s="931">
        <f t="shared" si="49"/>
        <v>426.02775309685143</v>
      </c>
      <c r="M77" s="953">
        <f t="shared" si="49"/>
        <v>380.69111539611214</v>
      </c>
      <c r="O77" s="1381" t="s">
        <v>849</v>
      </c>
      <c r="P77" s="1381" t="s">
        <v>849</v>
      </c>
      <c r="Q77" s="1381" t="s">
        <v>849</v>
      </c>
      <c r="R77" s="1381" t="s">
        <v>849</v>
      </c>
      <c r="S77" s="1381" t="s">
        <v>849</v>
      </c>
      <c r="T77" s="1381" t="s">
        <v>849</v>
      </c>
      <c r="U77" s="1381" t="s">
        <v>849</v>
      </c>
      <c r="V77" s="1382" t="s">
        <v>849</v>
      </c>
    </row>
    <row r="78" spans="4:26" ht="14.9" customHeight="1" x14ac:dyDescent="0.35">
      <c r="D78" s="387"/>
      <c r="E78" s="265"/>
      <c r="F78" s="265"/>
      <c r="G78" s="265"/>
      <c r="P78" s="1383">
        <v>2022</v>
      </c>
      <c r="Q78" s="1384">
        <v>2022</v>
      </c>
      <c r="R78" s="1384">
        <v>2022</v>
      </c>
      <c r="S78" s="1385">
        <v>2022</v>
      </c>
    </row>
    <row r="79" spans="4:26" ht="17.25" customHeight="1" x14ac:dyDescent="0.35">
      <c r="D79" s="356" t="s">
        <v>461</v>
      </c>
      <c r="E79" s="265"/>
      <c r="F79" s="265"/>
      <c r="G79" s="265"/>
      <c r="P79" s="235" t="s">
        <v>850</v>
      </c>
      <c r="Q79" s="235" t="s">
        <v>851</v>
      </c>
      <c r="R79" s="235" t="s">
        <v>852</v>
      </c>
      <c r="S79" s="235" t="s">
        <v>853</v>
      </c>
      <c r="T79" s="148" t="s">
        <v>865</v>
      </c>
    </row>
    <row r="80" spans="4:26" ht="30" customHeight="1" x14ac:dyDescent="0.35">
      <c r="D80" s="938" t="s">
        <v>462</v>
      </c>
      <c r="E80" s="781">
        <v>2018</v>
      </c>
      <c r="F80" s="781">
        <v>2019</v>
      </c>
      <c r="G80" s="781">
        <v>2020</v>
      </c>
      <c r="H80" s="924">
        <v>2021</v>
      </c>
      <c r="I80" s="781">
        <v>2022</v>
      </c>
      <c r="J80" s="781">
        <v>2023</v>
      </c>
      <c r="K80" s="929">
        <v>2024</v>
      </c>
      <c r="L80" s="929">
        <v>2025</v>
      </c>
      <c r="M80" s="891">
        <v>2026</v>
      </c>
      <c r="O80" s="40" t="s">
        <v>460</v>
      </c>
      <c r="P80" s="101">
        <v>2973</v>
      </c>
      <c r="Q80" s="101">
        <v>3062.8</v>
      </c>
      <c r="R80" s="101">
        <v>3085.2</v>
      </c>
      <c r="S80" s="999">
        <v>2106.1999999999998</v>
      </c>
      <c r="T80" s="101">
        <v>3123.2</v>
      </c>
    </row>
    <row r="81" spans="4:23" x14ac:dyDescent="0.35">
      <c r="D81" s="1031" t="s">
        <v>454</v>
      </c>
      <c r="E81" s="939">
        <f t="shared" ref="E81:M81" si="50">E74/E61</f>
        <v>0.96346896346896349</v>
      </c>
      <c r="F81" s="939">
        <f t="shared" si="50"/>
        <v>0.98201292275452579</v>
      </c>
      <c r="G81" s="939">
        <f t="shared" si="50"/>
        <v>1.0642790553138595</v>
      </c>
      <c r="H81" s="939">
        <f t="shared" si="50"/>
        <v>0.99223381988742787</v>
      </c>
      <c r="I81" s="939">
        <f t="shared" si="50"/>
        <v>0.95633029335389974</v>
      </c>
      <c r="J81" s="939">
        <f t="shared" si="50"/>
        <v>0.95633029335389952</v>
      </c>
      <c r="K81" s="939">
        <f t="shared" si="50"/>
        <v>0.95633029335389963</v>
      </c>
      <c r="L81" s="939">
        <f t="shared" si="50"/>
        <v>0.95633029335389963</v>
      </c>
      <c r="M81" s="905">
        <f t="shared" si="50"/>
        <v>0.95633029335389963</v>
      </c>
      <c r="T81" s="360"/>
    </row>
    <row r="82" spans="4:23" x14ac:dyDescent="0.35">
      <c r="D82" s="1050" t="s">
        <v>459</v>
      </c>
      <c r="E82" s="742">
        <f t="shared" ref="E82:M82" si="51">E75/E63</f>
        <v>1.1377808148970701</v>
      </c>
      <c r="F82" s="742">
        <f t="shared" si="51"/>
        <v>1.1162940324915553</v>
      </c>
      <c r="G82" s="742">
        <f t="shared" si="51"/>
        <v>1.0873854961832061</v>
      </c>
      <c r="H82" s="742">
        <f t="shared" si="51"/>
        <v>1.148401020327406</v>
      </c>
      <c r="I82" s="742">
        <f t="shared" si="51"/>
        <v>1.1173380176687162</v>
      </c>
      <c r="J82" s="742">
        <f t="shared" si="51"/>
        <v>1.1173380176687162</v>
      </c>
      <c r="K82" s="742">
        <f t="shared" si="51"/>
        <v>1.1173380176687162</v>
      </c>
      <c r="L82" s="742">
        <f t="shared" si="51"/>
        <v>1.1173380176687162</v>
      </c>
      <c r="M82" s="743">
        <f t="shared" si="51"/>
        <v>1.1173380176687162</v>
      </c>
    </row>
    <row r="83" spans="4:23" x14ac:dyDescent="0.35">
      <c r="D83" s="1050" t="s">
        <v>93</v>
      </c>
      <c r="E83" s="742">
        <f t="shared" ref="E83:M83" si="52">E76/E65</f>
        <v>1.1005135730007336</v>
      </c>
      <c r="F83" s="742">
        <f t="shared" si="52"/>
        <v>1.0257913247362251</v>
      </c>
      <c r="G83" s="742">
        <f t="shared" si="52"/>
        <v>1.0290064102564103</v>
      </c>
      <c r="H83" s="742">
        <f t="shared" si="52"/>
        <v>1.1025125757605034</v>
      </c>
      <c r="I83" s="742">
        <f t="shared" si="52"/>
        <v>1.0825797872340426</v>
      </c>
      <c r="J83" s="742">
        <f t="shared" si="52"/>
        <v>1.0825797872340426</v>
      </c>
      <c r="K83" s="742">
        <f t="shared" si="52"/>
        <v>1.0825797872340426</v>
      </c>
      <c r="L83" s="742">
        <f t="shared" si="52"/>
        <v>1.0825797872340424</v>
      </c>
      <c r="M83" s="743">
        <f t="shared" si="52"/>
        <v>1.0825797872340424</v>
      </c>
    </row>
    <row r="84" spans="4:23" x14ac:dyDescent="0.35">
      <c r="D84" s="1015" t="s">
        <v>242</v>
      </c>
      <c r="E84" s="1017">
        <f>E77/E70</f>
        <v>1.0161211529066927</v>
      </c>
      <c r="F84" s="1017">
        <f>F77/F70</f>
        <v>0.95134665508253702</v>
      </c>
      <c r="G84" s="1017">
        <f>G77/G70</f>
        <v>1.0398584905660377</v>
      </c>
      <c r="H84" s="1017">
        <f>H77/H70</f>
        <v>0.81959277198512226</v>
      </c>
      <c r="I84" s="1017">
        <f>I77/I70</f>
        <v>0.94235372481270607</v>
      </c>
      <c r="J84" s="1017">
        <f>J77/J66</f>
        <v>5.2161756321972295</v>
      </c>
      <c r="K84" s="1017">
        <f>K77/K66</f>
        <v>4.9225823542695721</v>
      </c>
      <c r="L84" s="1017">
        <f>L77/L66</f>
        <v>2.328020508725964</v>
      </c>
      <c r="M84" s="890">
        <f>M77/M66</f>
        <v>1.9324422101325489</v>
      </c>
    </row>
    <row r="86" spans="4:23" x14ac:dyDescent="0.35">
      <c r="D86" s="387"/>
      <c r="E86" s="265"/>
      <c r="F86" s="265"/>
      <c r="G86" s="265"/>
    </row>
    <row r="87" spans="4:23" x14ac:dyDescent="0.35">
      <c r="D87" s="268"/>
    </row>
    <row r="88" spans="4:23" ht="30" customHeight="1" x14ac:dyDescent="0.35">
      <c r="D88" s="897" t="s">
        <v>2046</v>
      </c>
      <c r="E88" s="780">
        <v>2018</v>
      </c>
      <c r="F88" s="1000">
        <v>2019</v>
      </c>
      <c r="G88" s="1000">
        <v>2020</v>
      </c>
      <c r="H88" s="894">
        <v>2021</v>
      </c>
      <c r="I88" s="1000">
        <v>2022</v>
      </c>
      <c r="J88" s="1000">
        <v>2023</v>
      </c>
      <c r="K88" s="1003">
        <v>2024</v>
      </c>
      <c r="L88" s="1003">
        <v>2025</v>
      </c>
      <c r="M88" s="891">
        <v>2026</v>
      </c>
    </row>
    <row r="89" spans="4:23" x14ac:dyDescent="0.35">
      <c r="D89" s="685" t="s">
        <v>1861</v>
      </c>
      <c r="E89" s="476">
        <v>14016.099999999999</v>
      </c>
      <c r="F89" s="476">
        <v>14604.2</v>
      </c>
      <c r="G89" s="476">
        <v>14711.300000000001</v>
      </c>
      <c r="H89" s="1039">
        <v>21015.3</v>
      </c>
      <c r="I89" s="476">
        <v>21762.3</v>
      </c>
      <c r="J89" s="476">
        <v>23254.9</v>
      </c>
      <c r="K89" s="476">
        <v>24584</v>
      </c>
      <c r="L89" s="476">
        <v>25839.9</v>
      </c>
      <c r="M89" s="892">
        <v>27043.9</v>
      </c>
      <c r="N89" s="537">
        <v>28283.7</v>
      </c>
      <c r="O89" s="537">
        <v>29490.2</v>
      </c>
      <c r="P89" s="537">
        <v>30697.1</v>
      </c>
      <c r="Q89" s="537">
        <v>31942.6</v>
      </c>
      <c r="R89" s="537">
        <v>33259.5</v>
      </c>
      <c r="S89" s="537">
        <v>34654.1</v>
      </c>
      <c r="T89" s="537">
        <v>36089.300000000003</v>
      </c>
      <c r="U89" s="537">
        <v>37573.599999999999</v>
      </c>
      <c r="V89" s="537">
        <v>39101.9</v>
      </c>
      <c r="W89">
        <v>40670.699999999997</v>
      </c>
    </row>
    <row r="90" spans="4:23" x14ac:dyDescent="0.35">
      <c r="D90" s="1050" t="s">
        <v>464</v>
      </c>
      <c r="E90" s="265">
        <v>8804</v>
      </c>
      <c r="F90" s="265">
        <v>9209</v>
      </c>
      <c r="G90" s="537">
        <v>9300</v>
      </c>
      <c r="H90" s="937">
        <v>10074.1</v>
      </c>
      <c r="I90" s="537">
        <v>10981.9</v>
      </c>
      <c r="J90" s="537">
        <v>11570.8</v>
      </c>
      <c r="K90" s="537">
        <v>12224.5</v>
      </c>
      <c r="L90" s="537">
        <v>12860.7</v>
      </c>
      <c r="M90" s="906">
        <v>13405</v>
      </c>
      <c r="N90" s="537">
        <v>13990.2</v>
      </c>
      <c r="O90" s="537">
        <v>14574.7</v>
      </c>
      <c r="P90" s="537">
        <v>15159.9</v>
      </c>
      <c r="Q90" s="537">
        <v>15760.5</v>
      </c>
      <c r="R90" s="537">
        <v>16371.4</v>
      </c>
      <c r="S90" s="537">
        <v>16990</v>
      </c>
      <c r="T90" s="537">
        <v>17621.900000000001</v>
      </c>
      <c r="U90" s="537">
        <v>18273.8</v>
      </c>
      <c r="V90" s="537">
        <v>18948.2</v>
      </c>
      <c r="W90">
        <v>19649.599999999999</v>
      </c>
    </row>
    <row r="91" spans="4:23" x14ac:dyDescent="0.35">
      <c r="D91" s="1050" t="s">
        <v>465</v>
      </c>
      <c r="E91" s="265">
        <v>13844</v>
      </c>
      <c r="F91" s="265">
        <v>14403</v>
      </c>
      <c r="G91" s="537">
        <v>14201</v>
      </c>
      <c r="H91" s="937">
        <v>15545.1</v>
      </c>
      <c r="I91" s="537">
        <v>17367.8</v>
      </c>
      <c r="J91" s="537">
        <v>18563.3</v>
      </c>
      <c r="K91" s="537">
        <v>19605.8</v>
      </c>
      <c r="L91" s="537">
        <v>20695.3</v>
      </c>
      <c r="M91" s="906">
        <v>21671.3</v>
      </c>
      <c r="N91" s="537">
        <v>22602</v>
      </c>
      <c r="O91" s="537">
        <v>23473.3</v>
      </c>
      <c r="P91" s="537">
        <v>24365.8</v>
      </c>
      <c r="Q91" s="537">
        <v>25339.1</v>
      </c>
      <c r="R91" s="537">
        <v>26354</v>
      </c>
      <c r="S91" s="537">
        <v>27369.5</v>
      </c>
      <c r="T91" s="537">
        <v>28436.400000000001</v>
      </c>
      <c r="U91" s="537">
        <v>29571.8</v>
      </c>
      <c r="V91" s="537">
        <v>30745.4</v>
      </c>
      <c r="W91">
        <v>31989.599999999999</v>
      </c>
    </row>
    <row r="92" spans="4:23" x14ac:dyDescent="0.35">
      <c r="D92" s="1015" t="s">
        <v>1860</v>
      </c>
      <c r="E92" s="1025">
        <v>2335</v>
      </c>
      <c r="F92" s="1025">
        <v>2442</v>
      </c>
      <c r="G92" s="1025">
        <v>2392</v>
      </c>
      <c r="H92" s="1004">
        <v>2796</v>
      </c>
      <c r="I92" s="1025">
        <v>3262.7</v>
      </c>
      <c r="J92" s="1025">
        <v>3531.5</v>
      </c>
      <c r="K92" s="1025">
        <v>3750</v>
      </c>
      <c r="L92" s="1025">
        <v>3963</v>
      </c>
      <c r="M92" s="898">
        <v>4156.2</v>
      </c>
      <c r="N92" s="537">
        <v>4192.5</v>
      </c>
      <c r="O92" s="537">
        <v>4192.8</v>
      </c>
      <c r="P92" s="537">
        <v>4205.8999999999996</v>
      </c>
      <c r="Q92" s="537">
        <v>4292.3</v>
      </c>
      <c r="R92" s="537">
        <v>4432.8999999999996</v>
      </c>
      <c r="S92" s="537">
        <v>4614</v>
      </c>
      <c r="T92" s="537">
        <v>4806.8999999999996</v>
      </c>
      <c r="U92" s="537">
        <v>5014.7</v>
      </c>
      <c r="V92" s="537">
        <v>5232.5</v>
      </c>
      <c r="W92">
        <v>5459.2</v>
      </c>
    </row>
    <row r="94" spans="4:23" x14ac:dyDescent="0.35">
      <c r="D94" s="268" t="s">
        <v>466</v>
      </c>
    </row>
    <row r="95" spans="4:23" x14ac:dyDescent="0.35">
      <c r="D95" s="724" t="s">
        <v>467</v>
      </c>
      <c r="E95" s="781">
        <v>2018</v>
      </c>
      <c r="F95" s="1000">
        <v>2019</v>
      </c>
      <c r="G95" s="1000">
        <v>2020</v>
      </c>
      <c r="H95" s="894">
        <v>2021</v>
      </c>
      <c r="I95" s="1000">
        <v>2022</v>
      </c>
      <c r="J95" s="1000">
        <v>2023</v>
      </c>
      <c r="K95" s="1003">
        <v>2024</v>
      </c>
      <c r="L95" s="1003">
        <v>2025</v>
      </c>
      <c r="M95" s="891">
        <v>2026</v>
      </c>
    </row>
    <row r="96" spans="4:23" x14ac:dyDescent="0.35">
      <c r="D96" s="932" t="s">
        <v>454</v>
      </c>
      <c r="E96" s="933">
        <f t="shared" ref="E96:M96" si="53">E61/E89</f>
        <v>0.12011187134794987</v>
      </c>
      <c r="F96" s="933">
        <f t="shared" si="53"/>
        <v>0.11763054463784391</v>
      </c>
      <c r="G96" s="933">
        <f t="shared" si="53"/>
        <v>0.10937170746297063</v>
      </c>
      <c r="H96" s="933">
        <f t="shared" si="53"/>
        <v>9.7280409987009472E-2</v>
      </c>
      <c r="I96" s="933">
        <f t="shared" si="53"/>
        <v>0.12094976174393332</v>
      </c>
      <c r="J96" s="933">
        <f t="shared" si="53"/>
        <v>9.3592361179794373E-2</v>
      </c>
      <c r="K96" s="933">
        <f t="shared" si="53"/>
        <v>9.8684794988610477E-2</v>
      </c>
      <c r="L96" s="933">
        <f t="shared" si="53"/>
        <v>0.10278677549061722</v>
      </c>
      <c r="M96" s="933">
        <f t="shared" si="53"/>
        <v>0.10172349402268163</v>
      </c>
    </row>
    <row r="97" spans="4:40" x14ac:dyDescent="0.35">
      <c r="D97" s="943" t="s">
        <v>455</v>
      </c>
      <c r="E97" s="1047">
        <f t="shared" ref="E97:M97" si="54">E63/E90</f>
        <v>0.13297364834166289</v>
      </c>
      <c r="F97" s="1047">
        <f t="shared" si="54"/>
        <v>0.13502008904332718</v>
      </c>
      <c r="G97" s="1047">
        <f t="shared" si="54"/>
        <v>0.14086021505376345</v>
      </c>
      <c r="H97" s="1047">
        <f t="shared" si="54"/>
        <v>0.13044222312663165</v>
      </c>
      <c r="I97" s="1047">
        <f t="shared" si="54"/>
        <v>0.13508828162704087</v>
      </c>
      <c r="J97" s="1047">
        <f t="shared" si="54"/>
        <v>0.13952846821308812</v>
      </c>
      <c r="K97" s="1047">
        <f t="shared" si="54"/>
        <v>0.13979516544643952</v>
      </c>
      <c r="L97" s="1047">
        <f t="shared" si="54"/>
        <v>0.13591795158894926</v>
      </c>
      <c r="M97" s="1047">
        <f t="shared" si="54"/>
        <v>0.13621782916822081</v>
      </c>
    </row>
    <row r="98" spans="4:40" x14ac:dyDescent="0.35">
      <c r="D98" s="1050" t="s">
        <v>468</v>
      </c>
      <c r="E98" s="1047">
        <f t="shared" ref="E98:M98" si="55">E65/E91</f>
        <v>9.8454203987286912E-3</v>
      </c>
      <c r="F98" s="1047">
        <f t="shared" si="55"/>
        <v>1.1844754565021176E-2</v>
      </c>
      <c r="G98" s="1047">
        <f t="shared" si="55"/>
        <v>1.0985141891416098E-2</v>
      </c>
      <c r="H98" s="1047">
        <f t="shared" si="55"/>
        <v>9.9876488411139216E-3</v>
      </c>
      <c r="I98" s="1047">
        <f t="shared" si="55"/>
        <v>1.0824629486751345E-2</v>
      </c>
      <c r="J98" s="1047">
        <f t="shared" si="55"/>
        <v>8.4112199878254423E-3</v>
      </c>
      <c r="K98" s="1047">
        <f t="shared" si="55"/>
        <v>5.3334217425455733E-3</v>
      </c>
      <c r="L98" s="1047">
        <f t="shared" si="55"/>
        <v>1.8265016694611821E-2</v>
      </c>
      <c r="M98" s="1047">
        <f t="shared" si="55"/>
        <v>2.8378546741542963E-2</v>
      </c>
    </row>
    <row r="99" spans="4:40" x14ac:dyDescent="0.35">
      <c r="D99" s="944" t="s">
        <v>94</v>
      </c>
      <c r="E99" s="1019">
        <f t="shared" ref="E99:M99" si="56">E70/E92</f>
        <v>8.7665952890792292E-2</v>
      </c>
      <c r="F99" s="1019">
        <f t="shared" si="56"/>
        <v>9.4266994266994267E-2</v>
      </c>
      <c r="G99" s="1019">
        <f t="shared" si="56"/>
        <v>8.8628762541806017E-2</v>
      </c>
      <c r="H99" s="1019">
        <f t="shared" si="56"/>
        <v>0.13298676680972818</v>
      </c>
      <c r="I99" s="1019">
        <f t="shared" si="56"/>
        <v>0.13021945014864991</v>
      </c>
      <c r="J99" s="1019">
        <f t="shared" si="56"/>
        <v>0.11881183633017131</v>
      </c>
      <c r="K99" s="1019">
        <f t="shared" si="56"/>
        <v>0.14129786666666666</v>
      </c>
      <c r="L99" s="1019">
        <f t="shared" si="56"/>
        <v>0.11407746656573303</v>
      </c>
      <c r="M99" s="1019">
        <f t="shared" si="56"/>
        <v>9.7199124199990383E-2</v>
      </c>
    </row>
    <row r="101" spans="4:40" x14ac:dyDescent="0.35">
      <c r="D101" s="268" t="s">
        <v>469</v>
      </c>
    </row>
    <row r="102" spans="4:40" x14ac:dyDescent="0.35">
      <c r="D102" s="948" t="s">
        <v>318</v>
      </c>
    </row>
    <row r="103" spans="4:40" x14ac:dyDescent="0.35">
      <c r="D103" s="724" t="s">
        <v>470</v>
      </c>
      <c r="E103" s="781">
        <v>2018</v>
      </c>
      <c r="F103" s="1000">
        <v>2019</v>
      </c>
      <c r="G103" s="894">
        <v>2020</v>
      </c>
      <c r="H103" s="1000">
        <v>2021</v>
      </c>
      <c r="I103" s="1000">
        <v>2022</v>
      </c>
      <c r="J103" s="1000">
        <v>2023</v>
      </c>
      <c r="K103" s="1003">
        <v>2024</v>
      </c>
      <c r="L103" s="1003">
        <v>2025</v>
      </c>
      <c r="M103" s="891">
        <v>2026</v>
      </c>
    </row>
    <row r="104" spans="4:40" ht="20.25" customHeight="1" x14ac:dyDescent="0.35">
      <c r="D104" s="932" t="s">
        <v>454</v>
      </c>
      <c r="E104" s="933">
        <f t="shared" ref="E104:G107" si="57">E96*E81</f>
        <v>0.11572406018792676</v>
      </c>
      <c r="F104" s="933">
        <f t="shared" si="57"/>
        <v>0.11551471494501581</v>
      </c>
      <c r="G104" s="933">
        <f t="shared" si="57"/>
        <v>0.11640201749675418</v>
      </c>
      <c r="H104" s="933">
        <f>N123</f>
        <v>0.13069068394312749</v>
      </c>
      <c r="I104" s="933">
        <f>H104</f>
        <v>0.13069068394312749</v>
      </c>
      <c r="J104" s="933">
        <f t="shared" ref="J104" si="58">I104</f>
        <v>0.13069068394312749</v>
      </c>
      <c r="K104" s="933">
        <f>J104</f>
        <v>0.13069068394312749</v>
      </c>
      <c r="L104" s="933">
        <f>K104</f>
        <v>0.13069068394312749</v>
      </c>
      <c r="M104" s="934"/>
      <c r="N104" s="945"/>
      <c r="O104" s="1047"/>
      <c r="P104" s="1047"/>
      <c r="Q104" s="1047"/>
      <c r="R104" s="1047"/>
      <c r="S104" s="1047"/>
      <c r="T104" s="1047"/>
      <c r="U104" s="1047"/>
      <c r="V104" s="1047"/>
      <c r="W104" s="1047"/>
      <c r="X104" s="1047"/>
      <c r="Y104" s="1047"/>
    </row>
    <row r="105" spans="4:40" ht="18.75" customHeight="1" x14ac:dyDescent="0.35">
      <c r="D105" s="943" t="s">
        <v>455</v>
      </c>
      <c r="E105" s="1047">
        <f t="shared" si="57"/>
        <v>0.15129486597001363</v>
      </c>
      <c r="F105" s="1047">
        <f t="shared" si="57"/>
        <v>0.15072211966554458</v>
      </c>
      <c r="G105" s="1047">
        <f t="shared" si="57"/>
        <v>0.15316935483870969</v>
      </c>
      <c r="H105" s="1047">
        <f>N125</f>
        <v>0.14945046310392582</v>
      </c>
      <c r="I105" s="1047">
        <f>H105</f>
        <v>0.14945046310392582</v>
      </c>
      <c r="J105" s="1047">
        <f>I105</f>
        <v>0.14945046310392582</v>
      </c>
      <c r="K105" s="1047">
        <f t="shared" ref="K105:L105" si="59">J105</f>
        <v>0.14945046310392582</v>
      </c>
      <c r="L105" s="1047">
        <f t="shared" si="59"/>
        <v>0.14945046310392582</v>
      </c>
      <c r="M105" s="935"/>
      <c r="N105" s="945"/>
      <c r="O105" s="1047"/>
      <c r="P105" s="1047"/>
      <c r="Q105" s="1047"/>
      <c r="R105" s="1047"/>
      <c r="S105" s="1047"/>
      <c r="T105" s="1047"/>
      <c r="U105" s="1047"/>
      <c r="V105" s="1047"/>
      <c r="W105" s="1047"/>
      <c r="X105" s="1047"/>
      <c r="Y105" s="1047"/>
    </row>
    <row r="106" spans="4:40" ht="19.399999999999999" customHeight="1" x14ac:dyDescent="0.35">
      <c r="D106" s="1050" t="s">
        <v>93</v>
      </c>
      <c r="E106" s="1047">
        <f t="shared" si="57"/>
        <v>1.0835018780699219E-2</v>
      </c>
      <c r="F106" s="1047">
        <f t="shared" si="57"/>
        <v>1.2150246476428523E-2</v>
      </c>
      <c r="G106" s="1047">
        <f t="shared" si="57"/>
        <v>1.1303781423843392E-2</v>
      </c>
      <c r="H106" s="1047">
        <f>N126</f>
        <v>1.1311737253238165E-2</v>
      </c>
      <c r="I106" s="1047">
        <f>AVERAGE($F83:$G83)*I98</f>
        <v>1.1121212075755579E-2</v>
      </c>
      <c r="J106" s="1047">
        <f>AVERAGE($F83:$G83)*J98</f>
        <v>8.6416778897542498E-3</v>
      </c>
      <c r="K106" s="1047">
        <f>J106</f>
        <v>8.6416778897542498E-3</v>
      </c>
      <c r="L106" s="1047">
        <f>K106</f>
        <v>8.6416778897542498E-3</v>
      </c>
      <c r="M106" s="935"/>
      <c r="N106" s="945"/>
      <c r="O106" s="1047"/>
      <c r="P106" s="1047"/>
      <c r="Q106" s="1047"/>
      <c r="R106" s="1047"/>
      <c r="S106" s="1047"/>
      <c r="T106" s="1047"/>
      <c r="U106" s="1047"/>
      <c r="V106" s="1047"/>
      <c r="W106" s="1047"/>
      <c r="X106" s="1047"/>
      <c r="Y106" s="1047"/>
    </row>
    <row r="107" spans="4:40" ht="19.399999999999999" customHeight="1" x14ac:dyDescent="0.35">
      <c r="D107" s="944" t="s">
        <v>94</v>
      </c>
      <c r="E107" s="1019">
        <f t="shared" si="57"/>
        <v>8.9079229122055667E-2</v>
      </c>
      <c r="F107" s="1019">
        <f t="shared" si="57"/>
        <v>8.9680589680589687E-2</v>
      </c>
      <c r="G107" s="1019">
        <f t="shared" si="57"/>
        <v>9.2161371237458184E-2</v>
      </c>
      <c r="H107" s="1019" t="e">
        <f>M127</f>
        <v>#REF!</v>
      </c>
      <c r="I107" s="1019" t="e">
        <f>N127</f>
        <v>#REF!</v>
      </c>
      <c r="J107" s="1019" t="e">
        <f>I107</f>
        <v>#REF!</v>
      </c>
      <c r="K107" s="1019" t="e">
        <f>J107</f>
        <v>#REF!</v>
      </c>
      <c r="L107" s="1019" t="e">
        <f>K107</f>
        <v>#REF!</v>
      </c>
      <c r="M107" s="936"/>
      <c r="N107" s="945"/>
      <c r="O107" s="1047"/>
      <c r="P107" s="1047"/>
      <c r="Q107" s="1047"/>
      <c r="R107" s="1047"/>
      <c r="S107" s="1047"/>
      <c r="T107" s="1047"/>
      <c r="U107" s="1047"/>
      <c r="V107" s="1047"/>
      <c r="W107" s="1047"/>
      <c r="X107" s="1047"/>
      <c r="Y107" s="1047"/>
    </row>
    <row r="108" spans="4:40" x14ac:dyDescent="0.35">
      <c r="E108" s="826"/>
      <c r="F108" s="826"/>
      <c r="G108" s="826"/>
      <c r="H108" s="826"/>
      <c r="I108" s="826"/>
      <c r="J108" s="826"/>
      <c r="K108" s="826"/>
      <c r="L108" s="826"/>
    </row>
    <row r="109" spans="4:40" x14ac:dyDescent="0.35">
      <c r="D109" s="947" t="s">
        <v>331</v>
      </c>
      <c r="E109" s="1047"/>
      <c r="F109" s="1047"/>
      <c r="G109" s="1047"/>
      <c r="H109" s="1047"/>
      <c r="I109" s="1047"/>
      <c r="J109" s="1047"/>
      <c r="K109" s="1047"/>
      <c r="L109" s="1047"/>
      <c r="M109" s="1047"/>
      <c r="N109" s="1047"/>
      <c r="O109" s="1047"/>
      <c r="P109" s="1047"/>
      <c r="Q109" s="1047"/>
      <c r="R109" s="1047"/>
      <c r="S109" s="1047"/>
      <c r="T109" s="1047"/>
      <c r="U109" s="1047"/>
      <c r="V109" s="1047"/>
      <c r="W109" s="1047"/>
      <c r="X109" s="1047"/>
      <c r="Y109" s="1047"/>
    </row>
    <row r="110" spans="4:40" x14ac:dyDescent="0.35">
      <c r="D110" s="1496" t="s">
        <v>2047</v>
      </c>
      <c r="E110" s="1509"/>
      <c r="F110" s="1398">
        <v>2019</v>
      </c>
      <c r="G110" s="1415"/>
      <c r="H110" s="1400"/>
      <c r="I110" s="1398">
        <v>2020</v>
      </c>
      <c r="J110" s="1415"/>
      <c r="K110" s="1415"/>
      <c r="L110" s="1400"/>
      <c r="M110" s="1398">
        <v>2021</v>
      </c>
      <c r="N110" s="1415"/>
      <c r="O110" s="1415"/>
      <c r="P110" s="1415"/>
      <c r="Q110" s="1398">
        <v>2022</v>
      </c>
      <c r="R110" s="1399"/>
      <c r="S110" s="1399"/>
      <c r="T110" s="1400"/>
      <c r="U110" s="277"/>
      <c r="V110" s="277">
        <v>2023</v>
      </c>
      <c r="W110" s="282"/>
      <c r="X110" s="279"/>
      <c r="Y110" s="283"/>
      <c r="Z110" s="282">
        <v>2024</v>
      </c>
      <c r="AA110" s="282"/>
      <c r="AB110" s="431"/>
      <c r="AC110" s="1412">
        <v>2025</v>
      </c>
      <c r="AD110" s="1413"/>
      <c r="AE110" s="1413"/>
      <c r="AF110" s="1414"/>
      <c r="AG110" s="1412">
        <v>2026</v>
      </c>
      <c r="AH110" s="1413"/>
      <c r="AI110" s="1413"/>
      <c r="AJ110" s="1414"/>
      <c r="AK110" s="1412">
        <v>2027</v>
      </c>
      <c r="AL110" s="1413"/>
      <c r="AM110" s="1413"/>
      <c r="AN110" s="1414"/>
    </row>
    <row r="111" spans="4:40" x14ac:dyDescent="0.35">
      <c r="D111" s="1510"/>
      <c r="E111" s="1511"/>
      <c r="F111" s="244" t="s">
        <v>250</v>
      </c>
      <c r="G111" s="245" t="s">
        <v>226</v>
      </c>
      <c r="H111" s="246" t="s">
        <v>248</v>
      </c>
      <c r="I111" s="244" t="s">
        <v>249</v>
      </c>
      <c r="J111" s="245" t="s">
        <v>250</v>
      </c>
      <c r="K111" s="245" t="s">
        <v>226</v>
      </c>
      <c r="L111" s="246" t="s">
        <v>248</v>
      </c>
      <c r="M111" s="244" t="s">
        <v>249</v>
      </c>
      <c r="N111" s="245" t="s">
        <v>250</v>
      </c>
      <c r="O111" s="245" t="s">
        <v>226</v>
      </c>
      <c r="P111" s="245" t="s">
        <v>248</v>
      </c>
      <c r="Q111" s="244" t="s">
        <v>249</v>
      </c>
      <c r="R111" s="245" t="s">
        <v>250</v>
      </c>
      <c r="S111" s="245" t="s">
        <v>226</v>
      </c>
      <c r="T111" s="246" t="s">
        <v>248</v>
      </c>
      <c r="U111" s="245" t="s">
        <v>249</v>
      </c>
      <c r="V111" s="273" t="s">
        <v>250</v>
      </c>
      <c r="W111" s="273" t="s">
        <v>226</v>
      </c>
      <c r="X111" s="271" t="s">
        <v>248</v>
      </c>
      <c r="Y111" s="272" t="s">
        <v>249</v>
      </c>
      <c r="Z111" s="274" t="s">
        <v>250</v>
      </c>
      <c r="AA111" s="273" t="s">
        <v>226</v>
      </c>
      <c r="AB111" s="270" t="s">
        <v>248</v>
      </c>
      <c r="AC111" s="275" t="s">
        <v>249</v>
      </c>
      <c r="AD111" s="269" t="s">
        <v>250</v>
      </c>
      <c r="AE111" s="270" t="s">
        <v>226</v>
      </c>
      <c r="AF111" s="270" t="s">
        <v>248</v>
      </c>
      <c r="AG111" s="275" t="s">
        <v>249</v>
      </c>
      <c r="AH111" s="269" t="s">
        <v>250</v>
      </c>
      <c r="AI111" s="270" t="s">
        <v>226</v>
      </c>
      <c r="AJ111" s="276" t="s">
        <v>248</v>
      </c>
      <c r="AK111" s="275" t="s">
        <v>249</v>
      </c>
      <c r="AL111" s="269" t="s">
        <v>250</v>
      </c>
      <c r="AM111" s="270" t="s">
        <v>226</v>
      </c>
      <c r="AN111" s="276" t="s">
        <v>248</v>
      </c>
    </row>
    <row r="112" spans="4:40" x14ac:dyDescent="0.35">
      <c r="D112" s="951" t="s">
        <v>463</v>
      </c>
      <c r="E112" s="1005"/>
      <c r="F112" s="476">
        <f t="shared" ref="F112:AN112" si="60">F113+F114</f>
        <v>0</v>
      </c>
      <c r="G112" s="476">
        <f t="shared" si="60"/>
        <v>0</v>
      </c>
      <c r="H112" s="476">
        <f t="shared" si="60"/>
        <v>0</v>
      </c>
      <c r="I112" s="476">
        <f t="shared" si="60"/>
        <v>15134.800000000001</v>
      </c>
      <c r="J112" s="476">
        <f t="shared" si="60"/>
        <v>14265.5</v>
      </c>
      <c r="K112" s="476">
        <f t="shared" si="60"/>
        <v>14943.5</v>
      </c>
      <c r="L112" s="476">
        <f t="shared" si="60"/>
        <v>15319.300000000001</v>
      </c>
      <c r="M112" s="476">
        <f t="shared" si="60"/>
        <v>15399.800000000001</v>
      </c>
      <c r="N112" s="476">
        <f t="shared" si="60"/>
        <v>15959.6</v>
      </c>
      <c r="O112" s="476">
        <f t="shared" si="60"/>
        <v>16325.6</v>
      </c>
      <c r="P112" s="476">
        <f t="shared" si="60"/>
        <v>16677.3</v>
      </c>
      <c r="Q112" s="476">
        <f t="shared" si="60"/>
        <v>16874</v>
      </c>
      <c r="R112" s="476">
        <f t="shared" si="60"/>
        <v>17129</v>
      </c>
      <c r="S112" s="476">
        <f t="shared" si="60"/>
        <v>17573.3</v>
      </c>
      <c r="T112" s="964">
        <f t="shared" si="60"/>
        <v>17787.8</v>
      </c>
      <c r="U112" s="476">
        <f t="shared" si="60"/>
        <v>18221.900000000001</v>
      </c>
      <c r="V112" s="476">
        <f t="shared" si="60"/>
        <v>18526.900000000001</v>
      </c>
      <c r="W112" s="476">
        <f>W113+W114</f>
        <v>18799.900000000001</v>
      </c>
      <c r="X112" s="476">
        <f t="shared" si="60"/>
        <v>19067.300000000003</v>
      </c>
      <c r="Y112" s="476">
        <f t="shared" si="60"/>
        <v>19325.900000000001</v>
      </c>
      <c r="Z112" s="476">
        <f t="shared" si="60"/>
        <v>19553.800000000003</v>
      </c>
      <c r="AA112" s="476">
        <f>AA113+AA114</f>
        <v>19712.2</v>
      </c>
      <c r="AB112" s="1008">
        <f t="shared" si="60"/>
        <v>19946.2</v>
      </c>
      <c r="AC112" s="1008">
        <f t="shared" si="60"/>
        <v>20203.400000000001</v>
      </c>
      <c r="AD112" s="1008">
        <f t="shared" si="60"/>
        <v>20375.099999999999</v>
      </c>
      <c r="AE112" s="1008">
        <f t="shared" si="60"/>
        <v>20740.099999999999</v>
      </c>
      <c r="AF112" s="1008">
        <f t="shared" si="60"/>
        <v>20932.5</v>
      </c>
      <c r="AG112" s="1008">
        <f t="shared" si="60"/>
        <v>21214.3</v>
      </c>
      <c r="AH112" s="1007">
        <f t="shared" si="60"/>
        <v>21500.6</v>
      </c>
      <c r="AI112" s="1007">
        <f t="shared" si="60"/>
        <v>21746.3</v>
      </c>
      <c r="AJ112" s="1007">
        <f t="shared" si="60"/>
        <v>21974.7</v>
      </c>
      <c r="AK112" s="1007">
        <f t="shared" si="60"/>
        <v>22172.799999999999</v>
      </c>
      <c r="AL112" s="1007">
        <f t="shared" si="60"/>
        <v>22395</v>
      </c>
      <c r="AM112" s="1007">
        <f t="shared" si="60"/>
        <v>22619.1</v>
      </c>
      <c r="AN112" s="1007">
        <f t="shared" si="60"/>
        <v>22859.3</v>
      </c>
    </row>
    <row r="113" spans="4:76" x14ac:dyDescent="0.35">
      <c r="D113" s="819" t="s">
        <v>464</v>
      </c>
      <c r="E113" s="720"/>
      <c r="F113" s="537"/>
      <c r="G113" s="537"/>
      <c r="H113" s="537"/>
      <c r="I113" s="360">
        <v>9624.7000000000007</v>
      </c>
      <c r="J113" s="575">
        <v>8995.7000000000007</v>
      </c>
      <c r="K113" s="575">
        <v>9425.4</v>
      </c>
      <c r="L113" s="575">
        <v>9783.7000000000007</v>
      </c>
      <c r="M113" s="575">
        <v>9878.7000000000007</v>
      </c>
      <c r="N113" s="575">
        <v>10170</v>
      </c>
      <c r="O113" s="575">
        <v>10447.700000000001</v>
      </c>
      <c r="P113" s="575">
        <v>10754.1</v>
      </c>
      <c r="Q113" s="575">
        <v>10892.8</v>
      </c>
      <c r="R113" s="575">
        <v>10995.9</v>
      </c>
      <c r="S113" s="575">
        <v>11278.9</v>
      </c>
      <c r="T113" s="575">
        <v>11325</v>
      </c>
      <c r="U113" s="575">
        <v>11479.2</v>
      </c>
      <c r="V113" s="575">
        <v>11641.6</v>
      </c>
      <c r="W113" s="575">
        <v>11836.2</v>
      </c>
      <c r="X113" s="575">
        <v>11972.7</v>
      </c>
      <c r="Y113" s="575">
        <v>12149.5</v>
      </c>
      <c r="Z113" s="575">
        <v>12317.2</v>
      </c>
      <c r="AA113" s="575">
        <v>12458.4</v>
      </c>
      <c r="AB113" s="814">
        <v>12626.6</v>
      </c>
      <c r="AC113" s="814">
        <v>12788.7</v>
      </c>
      <c r="AD113" s="814">
        <v>12945.1</v>
      </c>
      <c r="AE113" s="814">
        <v>13082.2</v>
      </c>
      <c r="AF113" s="814">
        <v>13185.5</v>
      </c>
      <c r="AG113" s="814">
        <v>13329.5</v>
      </c>
      <c r="AH113" s="353">
        <v>13477.8</v>
      </c>
      <c r="AI113" s="353">
        <v>13627.1</v>
      </c>
      <c r="AJ113" s="353">
        <v>13773.2</v>
      </c>
      <c r="AK113">
        <v>13917.8</v>
      </c>
      <c r="AL113">
        <v>14062.2</v>
      </c>
      <c r="AM113">
        <v>14207.5</v>
      </c>
      <c r="AN113">
        <v>14352.9</v>
      </c>
      <c r="AO113">
        <v>14500.1</v>
      </c>
      <c r="AP113">
        <v>14648.6</v>
      </c>
      <c r="AQ113">
        <v>14797.1</v>
      </c>
      <c r="AR113">
        <v>14936.7</v>
      </c>
      <c r="AS113">
        <v>15085.5</v>
      </c>
      <c r="AT113">
        <v>15233.9</v>
      </c>
      <c r="AU113">
        <v>15383.4</v>
      </c>
      <c r="AV113">
        <v>15532.2</v>
      </c>
      <c r="AW113">
        <v>15684.1</v>
      </c>
      <c r="AX113">
        <v>15836.3</v>
      </c>
      <c r="AY113">
        <v>15989.5</v>
      </c>
      <c r="AZ113">
        <v>16138.6</v>
      </c>
      <c r="BA113">
        <v>16293.6</v>
      </c>
      <c r="BB113">
        <v>16449</v>
      </c>
      <c r="BC113">
        <v>16604.400000000001</v>
      </c>
      <c r="BD113">
        <v>16755.099999999999</v>
      </c>
      <c r="BE113">
        <v>16911.099999999999</v>
      </c>
      <c r="BF113">
        <v>17068</v>
      </c>
      <c r="BG113">
        <v>17226</v>
      </c>
      <c r="BH113">
        <v>17380</v>
      </c>
      <c r="BI113">
        <v>17540.5</v>
      </c>
      <c r="BJ113">
        <v>17702.099999999999</v>
      </c>
      <c r="BK113">
        <v>17864.900000000001</v>
      </c>
      <c r="BL113">
        <v>18024.7</v>
      </c>
      <c r="BM113">
        <v>18189.8</v>
      </c>
      <c r="BN113">
        <v>18356.400000000001</v>
      </c>
      <c r="BO113">
        <v>18524.5</v>
      </c>
      <c r="BP113">
        <v>18690.599999999999</v>
      </c>
      <c r="BQ113">
        <v>18861.3</v>
      </c>
      <c r="BR113">
        <v>19033.599999999999</v>
      </c>
      <c r="BS113">
        <v>19207.400000000001</v>
      </c>
      <c r="BT113">
        <v>19382.5</v>
      </c>
      <c r="BU113">
        <v>19559.5</v>
      </c>
      <c r="BV113">
        <v>19738.099999999999</v>
      </c>
      <c r="BW113">
        <v>19918.3</v>
      </c>
      <c r="BX113">
        <v>20100</v>
      </c>
    </row>
    <row r="114" spans="4:76" x14ac:dyDescent="0.35">
      <c r="D114" s="391" t="s">
        <v>848</v>
      </c>
      <c r="E114" s="683"/>
      <c r="F114" s="537"/>
      <c r="G114" s="537"/>
      <c r="H114" s="537"/>
      <c r="I114" s="575">
        <v>5510.1</v>
      </c>
      <c r="J114" s="575">
        <v>5269.8</v>
      </c>
      <c r="K114" s="575">
        <v>5518.1</v>
      </c>
      <c r="L114" s="575">
        <v>5535.6</v>
      </c>
      <c r="M114" s="575">
        <v>5521.1</v>
      </c>
      <c r="N114" s="575">
        <v>5789.6</v>
      </c>
      <c r="O114" s="575">
        <v>5877.9</v>
      </c>
      <c r="P114" s="575">
        <v>5923.2</v>
      </c>
      <c r="Q114" s="575">
        <v>5981.2</v>
      </c>
      <c r="R114" s="575">
        <v>6133.1</v>
      </c>
      <c r="S114" s="575">
        <v>6294.4</v>
      </c>
      <c r="T114" s="575">
        <v>6462.8</v>
      </c>
      <c r="U114" s="575">
        <v>6742.7</v>
      </c>
      <c r="V114" s="575">
        <v>6885.3</v>
      </c>
      <c r="W114" s="575">
        <v>6963.7</v>
      </c>
      <c r="X114" s="575">
        <v>7094.6</v>
      </c>
      <c r="Y114" s="575">
        <v>7176.4</v>
      </c>
      <c r="Z114" s="575">
        <v>7236.6</v>
      </c>
      <c r="AA114" s="575">
        <v>7253.8</v>
      </c>
      <c r="AB114" s="814">
        <v>7319.6</v>
      </c>
      <c r="AC114" s="814">
        <v>7414.7</v>
      </c>
      <c r="AD114" s="814">
        <v>7430</v>
      </c>
      <c r="AE114" s="814">
        <v>7657.9</v>
      </c>
      <c r="AF114" s="814">
        <v>7747</v>
      </c>
      <c r="AG114" s="814">
        <v>7884.8</v>
      </c>
      <c r="AH114" s="353">
        <v>8022.8</v>
      </c>
      <c r="AI114" s="353">
        <v>8119.2</v>
      </c>
      <c r="AJ114" s="353">
        <v>8201.5</v>
      </c>
      <c r="AK114">
        <v>8255</v>
      </c>
      <c r="AL114">
        <v>8332.7999999999993</v>
      </c>
      <c r="AM114">
        <v>8411.6</v>
      </c>
      <c r="AN114">
        <v>8506.4</v>
      </c>
      <c r="AO114">
        <v>8598.6</v>
      </c>
      <c r="AP114">
        <v>8696.6</v>
      </c>
      <c r="AQ114">
        <v>8784</v>
      </c>
      <c r="AR114">
        <v>8880.4</v>
      </c>
      <c r="AS114">
        <v>8953.7999999999993</v>
      </c>
      <c r="AT114">
        <v>9047.2999999999993</v>
      </c>
      <c r="AU114">
        <v>9133.9</v>
      </c>
      <c r="AV114">
        <v>9228.7000000000007</v>
      </c>
      <c r="AW114">
        <v>9307.2000000000007</v>
      </c>
      <c r="AX114">
        <v>9402</v>
      </c>
      <c r="AY114">
        <v>9490.7999999999993</v>
      </c>
      <c r="AZ114">
        <v>9596.7999999999993</v>
      </c>
      <c r="BA114">
        <v>9693.5</v>
      </c>
      <c r="BB114">
        <v>9800.1</v>
      </c>
      <c r="BC114">
        <v>9900.7000000000007</v>
      </c>
      <c r="BD114">
        <v>10020.1</v>
      </c>
      <c r="BE114">
        <v>10126</v>
      </c>
      <c r="BF114">
        <v>10236.799999999999</v>
      </c>
      <c r="BG114">
        <v>10341.200000000001</v>
      </c>
      <c r="BH114">
        <v>10458.299999999999</v>
      </c>
      <c r="BI114">
        <v>10567.8</v>
      </c>
      <c r="BJ114">
        <v>10677.8</v>
      </c>
      <c r="BK114">
        <v>10788.4</v>
      </c>
      <c r="BL114">
        <v>10911.8</v>
      </c>
      <c r="BM114">
        <v>11033.6</v>
      </c>
      <c r="BN114">
        <v>11158.8</v>
      </c>
      <c r="BO114">
        <v>11275.9</v>
      </c>
      <c r="BP114">
        <v>11394.9</v>
      </c>
      <c r="BQ114">
        <v>11513.6</v>
      </c>
      <c r="BR114">
        <v>11635.9</v>
      </c>
      <c r="BS114">
        <v>11751.3</v>
      </c>
      <c r="BT114">
        <v>11869.5</v>
      </c>
      <c r="BU114">
        <v>11991.5</v>
      </c>
      <c r="BV114">
        <v>12117.6</v>
      </c>
      <c r="BW114">
        <v>12236.5</v>
      </c>
      <c r="BX114">
        <v>12358.3</v>
      </c>
    </row>
    <row r="115" spans="4:76" x14ac:dyDescent="0.35">
      <c r="D115" s="391" t="s">
        <v>465</v>
      </c>
      <c r="E115" s="683"/>
      <c r="F115" s="537"/>
      <c r="G115" s="537"/>
      <c r="H115" s="537"/>
      <c r="I115" s="575">
        <v>14440.2</v>
      </c>
      <c r="J115" s="575">
        <v>13049.8</v>
      </c>
      <c r="K115" s="575">
        <v>14388.7</v>
      </c>
      <c r="L115" s="575">
        <v>14586</v>
      </c>
      <c r="M115" s="575">
        <v>15217.7</v>
      </c>
      <c r="N115" s="575">
        <v>15950.9</v>
      </c>
      <c r="O115" s="575">
        <v>16285.1</v>
      </c>
      <c r="P115" s="575">
        <v>16718.2</v>
      </c>
      <c r="Q115" s="575">
        <v>17175.099999999999</v>
      </c>
      <c r="R115" s="575">
        <v>17603.8</v>
      </c>
      <c r="S115" s="575">
        <v>17876.2</v>
      </c>
      <c r="T115" s="575">
        <v>18108.3</v>
      </c>
      <c r="U115" s="575">
        <v>18487</v>
      </c>
      <c r="V115" s="575">
        <v>18693.099999999999</v>
      </c>
      <c r="W115" s="575">
        <v>18961.8</v>
      </c>
      <c r="X115" s="575">
        <v>19190.599999999999</v>
      </c>
      <c r="Y115" s="575">
        <v>19443.8</v>
      </c>
      <c r="Z115" s="575">
        <v>19756.099999999999</v>
      </c>
      <c r="AA115" s="575">
        <v>20032.8</v>
      </c>
      <c r="AB115" s="814">
        <v>20351.3</v>
      </c>
      <c r="AC115" s="814">
        <v>20555</v>
      </c>
      <c r="AD115" s="814">
        <v>20789.900000000001</v>
      </c>
      <c r="AE115" s="814">
        <v>21084.9</v>
      </c>
      <c r="AF115" s="814">
        <v>21302.400000000001</v>
      </c>
      <c r="AG115" s="814">
        <v>21532.2</v>
      </c>
      <c r="AH115" s="353">
        <v>21801.9</v>
      </c>
      <c r="AI115" s="353">
        <v>22048.9</v>
      </c>
      <c r="AJ115" s="353">
        <v>22281.599999999999</v>
      </c>
      <c r="AK115">
        <v>22497.4</v>
      </c>
      <c r="AL115">
        <v>22705.1</v>
      </c>
      <c r="AM115">
        <v>22924.1</v>
      </c>
      <c r="AN115">
        <v>23141.1</v>
      </c>
      <c r="AO115">
        <v>23365.5</v>
      </c>
      <c r="AP115">
        <v>23584</v>
      </c>
      <c r="AQ115">
        <v>23802.7</v>
      </c>
      <c r="AR115">
        <v>24019.9</v>
      </c>
      <c r="AS115">
        <v>24247.1</v>
      </c>
      <c r="AT115">
        <v>24479.3</v>
      </c>
      <c r="AU115">
        <v>24716.9</v>
      </c>
      <c r="AV115">
        <v>24958.5</v>
      </c>
      <c r="AW115">
        <v>25212.5</v>
      </c>
      <c r="AX115">
        <v>25465.1</v>
      </c>
      <c r="AY115">
        <v>25720.5</v>
      </c>
      <c r="AZ115">
        <v>25973</v>
      </c>
      <c r="BA115">
        <v>26230.7</v>
      </c>
      <c r="BB115">
        <v>26480.7</v>
      </c>
      <c r="BC115">
        <v>26731.4</v>
      </c>
      <c r="BD115">
        <v>26981</v>
      </c>
      <c r="BE115">
        <v>27238.1</v>
      </c>
      <c r="BF115">
        <v>27500.2</v>
      </c>
      <c r="BG115">
        <v>27758.400000000001</v>
      </c>
      <c r="BH115">
        <v>28018</v>
      </c>
      <c r="BI115">
        <v>28288.7</v>
      </c>
      <c r="BJ115">
        <v>28577.9</v>
      </c>
      <c r="BK115">
        <v>28861</v>
      </c>
      <c r="BL115">
        <v>29143.4</v>
      </c>
      <c r="BM115">
        <v>29427.3</v>
      </c>
      <c r="BN115">
        <v>29713.7</v>
      </c>
      <c r="BO115">
        <v>30002.7</v>
      </c>
      <c r="BP115">
        <v>30289.5</v>
      </c>
      <c r="BQ115">
        <v>30592.799999999999</v>
      </c>
      <c r="BR115">
        <v>30896.3</v>
      </c>
      <c r="BS115">
        <v>31203.1</v>
      </c>
      <c r="BT115">
        <v>31513.8</v>
      </c>
      <c r="BU115">
        <v>31832.9</v>
      </c>
      <c r="BV115">
        <v>32147.5</v>
      </c>
      <c r="BW115">
        <v>32464.3</v>
      </c>
      <c r="BX115">
        <v>32779.599999999999</v>
      </c>
    </row>
    <row r="116" spans="4:76" x14ac:dyDescent="0.35">
      <c r="D116" s="838" t="s">
        <v>1864</v>
      </c>
      <c r="E116" s="694"/>
      <c r="F116" s="694"/>
      <c r="G116" s="694"/>
      <c r="H116" s="1025"/>
      <c r="I116" s="1010">
        <v>1736.3</v>
      </c>
      <c r="J116" s="1010">
        <v>1597.1</v>
      </c>
      <c r="K116" s="1010">
        <v>2041.1</v>
      </c>
      <c r="L116" s="1010">
        <v>1947.4</v>
      </c>
      <c r="M116" s="1010">
        <v>2280.4</v>
      </c>
      <c r="N116" s="1010">
        <v>2580</v>
      </c>
      <c r="O116" s="1010">
        <v>2541.1</v>
      </c>
      <c r="P116" s="1010">
        <v>2555</v>
      </c>
      <c r="Q116" s="1010">
        <v>2738.7</v>
      </c>
      <c r="R116" s="1010">
        <v>2876.9</v>
      </c>
      <c r="S116" s="1010">
        <v>2950.7</v>
      </c>
      <c r="T116" s="1010">
        <v>2921.1</v>
      </c>
      <c r="U116" s="1010">
        <v>3060.5</v>
      </c>
      <c r="V116" s="1010">
        <v>3052.8</v>
      </c>
      <c r="W116" s="1010">
        <v>3153.1</v>
      </c>
      <c r="X116" s="1010">
        <v>3310.6</v>
      </c>
      <c r="Y116" s="1010">
        <v>3243.8</v>
      </c>
      <c r="Z116" s="1010">
        <v>3343.4</v>
      </c>
      <c r="AA116" s="1010">
        <v>3342.6</v>
      </c>
      <c r="AB116" s="1011">
        <v>3446.9</v>
      </c>
      <c r="AC116" s="1011">
        <v>3437</v>
      </c>
      <c r="AD116" s="1011">
        <v>3458.2</v>
      </c>
      <c r="AE116" s="1011">
        <v>3452.9</v>
      </c>
      <c r="AF116" s="1011">
        <v>3506.2</v>
      </c>
      <c r="AG116" s="1011">
        <v>3577.4</v>
      </c>
      <c r="AH116" s="353">
        <v>3588.5</v>
      </c>
      <c r="AI116" s="353">
        <v>3601.8</v>
      </c>
      <c r="AJ116" s="353">
        <v>3624.4</v>
      </c>
      <c r="AK116">
        <v>3613.3</v>
      </c>
      <c r="AL116">
        <v>3615</v>
      </c>
      <c r="AM116">
        <v>3610.4</v>
      </c>
      <c r="AN116">
        <v>3635.5</v>
      </c>
      <c r="AO116">
        <v>3629.7</v>
      </c>
      <c r="AP116">
        <v>3626.9</v>
      </c>
      <c r="AQ116">
        <v>3612.1</v>
      </c>
      <c r="AR116">
        <v>3632.5</v>
      </c>
      <c r="AS116">
        <v>3629.5</v>
      </c>
      <c r="AT116">
        <v>3637</v>
      </c>
      <c r="AU116">
        <v>3641.7</v>
      </c>
      <c r="AV116">
        <v>3686.6</v>
      </c>
      <c r="AW116">
        <v>3699.3</v>
      </c>
      <c r="AX116">
        <v>3722.9</v>
      </c>
      <c r="AY116">
        <v>3739</v>
      </c>
      <c r="AZ116">
        <v>3799.3</v>
      </c>
      <c r="BA116">
        <v>3820</v>
      </c>
      <c r="BB116">
        <v>3850.5</v>
      </c>
      <c r="BC116">
        <v>3874.4</v>
      </c>
      <c r="BD116">
        <v>3952.6</v>
      </c>
      <c r="BE116">
        <v>3979.5</v>
      </c>
      <c r="BF116">
        <v>4014.2</v>
      </c>
      <c r="BG116">
        <v>4043.6</v>
      </c>
      <c r="BH116">
        <v>4111.3999999999996</v>
      </c>
      <c r="BI116">
        <v>4142.7</v>
      </c>
      <c r="BJ116">
        <v>4182.8999999999996</v>
      </c>
      <c r="BK116">
        <v>4217.8999999999996</v>
      </c>
      <c r="BL116">
        <v>4283.6000000000004</v>
      </c>
      <c r="BM116">
        <v>4317.1000000000004</v>
      </c>
      <c r="BN116">
        <v>4361.6000000000004</v>
      </c>
      <c r="BO116">
        <v>4400.7</v>
      </c>
      <c r="BP116">
        <v>4457.7</v>
      </c>
      <c r="BQ116">
        <v>4499.8999999999996</v>
      </c>
      <c r="BR116">
        <v>4550</v>
      </c>
      <c r="BS116">
        <v>4592.5</v>
      </c>
      <c r="BT116">
        <v>4650.7</v>
      </c>
      <c r="BU116">
        <v>4693.1000000000004</v>
      </c>
      <c r="BV116">
        <v>4743.2</v>
      </c>
      <c r="BW116">
        <v>4785.3</v>
      </c>
      <c r="BX116">
        <v>4846.6000000000004</v>
      </c>
    </row>
    <row r="117" spans="4:76" ht="18.75" customHeight="1" x14ac:dyDescent="0.35"/>
    <row r="118" spans="4:76" x14ac:dyDescent="0.35">
      <c r="D118" s="952"/>
      <c r="E118" s="720"/>
      <c r="F118" s="720"/>
      <c r="G118" s="720"/>
      <c r="H118" s="537"/>
      <c r="I118" s="537"/>
      <c r="J118" s="537"/>
      <c r="K118" s="537"/>
      <c r="L118" s="537"/>
      <c r="M118" s="537"/>
      <c r="N118" s="537"/>
      <c r="O118" s="537"/>
      <c r="P118" s="537"/>
      <c r="Q118" s="537"/>
      <c r="R118" s="537"/>
      <c r="S118" s="537"/>
      <c r="T118" s="537"/>
      <c r="U118" s="537"/>
      <c r="V118" s="537"/>
      <c r="W118" s="537"/>
      <c r="X118" s="537"/>
      <c r="Y118" s="537"/>
      <c r="Z118" s="926"/>
      <c r="AA118" s="537"/>
      <c r="AB118" s="537"/>
      <c r="AC118" s="537"/>
    </row>
    <row r="119" spans="4:76" x14ac:dyDescent="0.35">
      <c r="D119" s="630"/>
      <c r="AC119" s="44"/>
    </row>
    <row r="120" spans="4:76" x14ac:dyDescent="0.35">
      <c r="D120" s="1496" t="s">
        <v>471</v>
      </c>
      <c r="E120" s="1509"/>
      <c r="F120" s="1398">
        <v>2019</v>
      </c>
      <c r="G120" s="1415"/>
      <c r="H120" s="1400"/>
      <c r="I120" s="1415">
        <v>2020</v>
      </c>
      <c r="J120" s="1415"/>
      <c r="K120" s="1415"/>
      <c r="L120" s="1400"/>
      <c r="M120" s="1398">
        <v>2021</v>
      </c>
      <c r="N120" s="1415"/>
      <c r="O120" s="1415"/>
      <c r="P120" s="1415"/>
      <c r="Q120" s="1398">
        <v>2022</v>
      </c>
      <c r="R120" s="1399"/>
      <c r="S120" s="1399"/>
      <c r="T120" s="1400"/>
      <c r="U120" s="277"/>
      <c r="V120" s="277">
        <v>2023</v>
      </c>
      <c r="W120" s="282"/>
      <c r="X120" s="279"/>
      <c r="Y120" s="1398">
        <v>2024</v>
      </c>
      <c r="Z120" s="1415"/>
      <c r="AA120" s="1415"/>
      <c r="AB120" s="1400"/>
      <c r="AC120" s="1398">
        <v>2025</v>
      </c>
      <c r="AD120" s="1415"/>
      <c r="AE120" s="1415"/>
      <c r="AF120" s="1400"/>
      <c r="AG120" s="1412">
        <v>2026</v>
      </c>
      <c r="AH120" s="1413"/>
      <c r="AI120" s="1413"/>
      <c r="AJ120" s="1414"/>
      <c r="AK120" s="1412">
        <v>2027</v>
      </c>
      <c r="AL120" s="1413"/>
      <c r="AM120" s="1413"/>
      <c r="AN120" s="1414"/>
    </row>
    <row r="121" spans="4:76" x14ac:dyDescent="0.35">
      <c r="D121" s="1510"/>
      <c r="E121" s="1511"/>
      <c r="F121" s="244" t="s">
        <v>250</v>
      </c>
      <c r="G121" s="245" t="s">
        <v>226</v>
      </c>
      <c r="H121" s="246" t="s">
        <v>248</v>
      </c>
      <c r="I121" s="245" t="s">
        <v>249</v>
      </c>
      <c r="J121" s="245" t="s">
        <v>250</v>
      </c>
      <c r="K121" s="245" t="s">
        <v>226</v>
      </c>
      <c r="L121" s="246" t="s">
        <v>248</v>
      </c>
      <c r="M121" s="244" t="s">
        <v>249</v>
      </c>
      <c r="N121" s="245" t="s">
        <v>250</v>
      </c>
      <c r="O121" s="245" t="s">
        <v>226</v>
      </c>
      <c r="P121" s="245" t="s">
        <v>248</v>
      </c>
      <c r="Q121" s="244" t="s">
        <v>249</v>
      </c>
      <c r="R121" s="245" t="s">
        <v>250</v>
      </c>
      <c r="S121" s="245" t="s">
        <v>226</v>
      </c>
      <c r="T121" s="246" t="s">
        <v>248</v>
      </c>
      <c r="U121" s="244" t="s">
        <v>249</v>
      </c>
      <c r="V121" s="273" t="s">
        <v>250</v>
      </c>
      <c r="W121" s="273" t="s">
        <v>226</v>
      </c>
      <c r="X121" s="271" t="s">
        <v>248</v>
      </c>
      <c r="Y121" s="272" t="s">
        <v>249</v>
      </c>
      <c r="Z121" s="274" t="s">
        <v>250</v>
      </c>
      <c r="AA121" s="273" t="s">
        <v>226</v>
      </c>
      <c r="AB121" s="273" t="s">
        <v>248</v>
      </c>
      <c r="AC121" s="272" t="s">
        <v>249</v>
      </c>
      <c r="AD121" s="274" t="s">
        <v>250</v>
      </c>
      <c r="AE121" s="273" t="s">
        <v>226</v>
      </c>
      <c r="AF121" s="273" t="s">
        <v>248</v>
      </c>
      <c r="AG121" s="275" t="s">
        <v>249</v>
      </c>
      <c r="AH121" s="269" t="s">
        <v>250</v>
      </c>
      <c r="AI121" s="270" t="s">
        <v>226</v>
      </c>
      <c r="AJ121" s="276" t="s">
        <v>248</v>
      </c>
      <c r="AK121" s="275" t="s">
        <v>249</v>
      </c>
      <c r="AL121" s="269" t="s">
        <v>250</v>
      </c>
      <c r="AM121" s="270" t="s">
        <v>226</v>
      </c>
      <c r="AN121" s="276" t="s">
        <v>248</v>
      </c>
    </row>
    <row r="122" spans="4:76" x14ac:dyDescent="0.35">
      <c r="D122" s="1512" t="s">
        <v>472</v>
      </c>
      <c r="E122" s="1513"/>
      <c r="F122" s="378"/>
      <c r="G122" s="422"/>
      <c r="H122" s="422"/>
      <c r="I122" s="422"/>
      <c r="J122" s="422"/>
      <c r="K122" s="422"/>
      <c r="L122" s="422"/>
      <c r="M122" s="422"/>
      <c r="N122" s="422"/>
      <c r="O122" s="422"/>
      <c r="P122" s="422"/>
      <c r="Q122" s="422"/>
      <c r="R122" s="422"/>
      <c r="S122" s="422"/>
      <c r="T122" s="400"/>
      <c r="U122" s="422"/>
      <c r="V122" s="422"/>
      <c r="W122" s="400"/>
      <c r="X122" s="400"/>
      <c r="Y122" s="400"/>
      <c r="Z122" s="400"/>
      <c r="AA122" s="400"/>
      <c r="AB122" s="400"/>
      <c r="AC122" s="422"/>
    </row>
    <row r="123" spans="4:76" x14ac:dyDescent="0.35">
      <c r="D123" s="635" t="s">
        <v>445</v>
      </c>
      <c r="F123" s="1026"/>
      <c r="G123" s="1047"/>
      <c r="H123" s="1047">
        <f t="shared" ref="H123:AF123" si="61">H10/H130</f>
        <v>0.11784269540900824</v>
      </c>
      <c r="I123" s="1047">
        <f t="shared" si="61"/>
        <v>0.1180117541051952</v>
      </c>
      <c r="J123" s="1047">
        <f t="shared" si="61"/>
        <v>0.1155795009941633</v>
      </c>
      <c r="K123" s="1047">
        <f t="shared" si="61"/>
        <v>0.11765861590054538</v>
      </c>
      <c r="L123" s="1047">
        <f t="shared" si="61"/>
        <v>0.12157349733238718</v>
      </c>
      <c r="M123" s="1047">
        <f t="shared" si="61"/>
        <v>0.12918672688512056</v>
      </c>
      <c r="N123" s="1047">
        <f t="shared" si="61"/>
        <v>0.13069068394312749</v>
      </c>
      <c r="O123" s="1047">
        <f t="shared" si="61"/>
        <v>0.13256292794658739</v>
      </c>
      <c r="P123" s="1047">
        <f t="shared" si="61"/>
        <v>0.13379224924374153</v>
      </c>
      <c r="Q123" s="1047">
        <f t="shared" si="61"/>
        <v>0.15304828789942623</v>
      </c>
      <c r="R123" s="1047">
        <f t="shared" si="61"/>
        <v>0.1511939578233745</v>
      </c>
      <c r="S123" s="1045">
        <f t="shared" si="61"/>
        <v>0.14887778993497472</v>
      </c>
      <c r="T123" s="1045">
        <f t="shared" si="61"/>
        <v>0.14547876359281167</v>
      </c>
      <c r="U123" s="1045">
        <f t="shared" si="61"/>
        <v>0.12419418497566111</v>
      </c>
      <c r="V123" s="1045">
        <f t="shared" si="61"/>
        <v>0.12198554029792807</v>
      </c>
      <c r="W123" s="1045">
        <f t="shared" si="61"/>
        <v>0.12127008416220353</v>
      </c>
      <c r="X123" s="1045">
        <f t="shared" si="61"/>
        <v>0.12067935836048742</v>
      </c>
      <c r="Y123" s="1045">
        <f t="shared" si="61"/>
        <v>0.12110404713909133</v>
      </c>
      <c r="Z123" s="1045">
        <f t="shared" si="61"/>
        <v>0.12177404523999263</v>
      </c>
      <c r="AA123" s="1045">
        <f t="shared" si="61"/>
        <v>0.12279892777696139</v>
      </c>
      <c r="AB123" s="1045">
        <f t="shared" si="61"/>
        <v>0.12333116330311984</v>
      </c>
      <c r="AC123" s="1045">
        <f t="shared" si="61"/>
        <v>0.12549564426338117</v>
      </c>
      <c r="AD123" s="1045">
        <f t="shared" si="61"/>
        <v>0.12661287543506405</v>
      </c>
      <c r="AE123" s="1045">
        <f t="shared" si="61"/>
        <v>0.12795116726093525</v>
      </c>
      <c r="AF123" s="1045">
        <f t="shared" si="61"/>
        <v>0.12881439870267961</v>
      </c>
      <c r="AG123" s="1046">
        <f>AF123+AG124</f>
        <v>0.12881439870267961</v>
      </c>
      <c r="AH123" s="1046">
        <f t="shared" ref="AH123:AN123" si="62">AG123+AH124</f>
        <v>0.12881439870267961</v>
      </c>
      <c r="AI123" s="1046">
        <f t="shared" si="62"/>
        <v>0.12881439870267961</v>
      </c>
      <c r="AJ123" s="1046">
        <f t="shared" si="62"/>
        <v>0.12881439870267961</v>
      </c>
      <c r="AK123" s="1046">
        <f t="shared" si="62"/>
        <v>0.12881439870267961</v>
      </c>
      <c r="AL123" s="1046">
        <f t="shared" si="62"/>
        <v>0.12881439870267961</v>
      </c>
      <c r="AM123" s="1046">
        <f t="shared" si="62"/>
        <v>0.12881439870267961</v>
      </c>
      <c r="AN123" s="1046">
        <f t="shared" si="62"/>
        <v>0.12881439870267961</v>
      </c>
    </row>
    <row r="124" spans="4:76" x14ac:dyDescent="0.35">
      <c r="D124" s="635" t="s">
        <v>846</v>
      </c>
      <c r="F124" s="1026"/>
      <c r="G124" s="1047"/>
      <c r="H124" s="1047"/>
      <c r="I124" s="1047"/>
      <c r="J124" s="1047"/>
      <c r="K124" s="1047"/>
      <c r="L124" s="1047"/>
      <c r="M124" s="1047"/>
      <c r="N124" s="1047"/>
      <c r="O124" s="1047"/>
      <c r="P124" s="1047"/>
      <c r="Q124" s="1047"/>
      <c r="R124" s="1047"/>
      <c r="S124" s="1045"/>
      <c r="T124" s="1045"/>
      <c r="U124" s="1045"/>
      <c r="V124" s="1045"/>
      <c r="W124" s="1047"/>
      <c r="X124" s="1047"/>
      <c r="Y124" s="1046"/>
      <c r="Z124" s="1046"/>
      <c r="AA124" s="1046"/>
      <c r="AB124" s="1046"/>
      <c r="AC124" s="1046"/>
      <c r="AD124" s="1046"/>
      <c r="AE124" s="1046"/>
      <c r="AF124" s="1046"/>
      <c r="AG124" s="1046"/>
      <c r="AH124" s="1046"/>
      <c r="AI124" s="1046"/>
      <c r="AJ124" s="1046"/>
      <c r="AK124" s="1046"/>
      <c r="AL124" s="1046"/>
      <c r="AM124" s="1046"/>
      <c r="AN124" s="1046"/>
    </row>
    <row r="125" spans="4:76" x14ac:dyDescent="0.35">
      <c r="D125" s="635" t="s">
        <v>446</v>
      </c>
      <c r="F125" s="1026"/>
      <c r="G125" s="1047"/>
      <c r="H125" s="1047">
        <f t="shared" ref="H125:AF125" si="63">H13/H135</f>
        <v>0.15051429053199564</v>
      </c>
      <c r="I125" s="1047">
        <f t="shared" si="63"/>
        <v>0.1508000747151485</v>
      </c>
      <c r="J125" s="1047">
        <f t="shared" si="63"/>
        <v>0.15365138592750532</v>
      </c>
      <c r="K125" s="1047">
        <f t="shared" si="63"/>
        <v>0.15176613885505483</v>
      </c>
      <c r="L125" s="1047">
        <f t="shared" si="63"/>
        <v>0.14983331464282437</v>
      </c>
      <c r="M125" s="1047">
        <f t="shared" si="63"/>
        <v>0.15030994347197363</v>
      </c>
      <c r="N125" s="1047">
        <f t="shared" si="63"/>
        <v>0.14945046310392582</v>
      </c>
      <c r="O125" s="1047">
        <f t="shared" si="63"/>
        <v>0.14898111332007954</v>
      </c>
      <c r="P125" s="1047">
        <f t="shared" si="63"/>
        <v>0.14896026735982176</v>
      </c>
      <c r="Q125" s="1047">
        <f t="shared" si="63"/>
        <v>0.1508455157875441</v>
      </c>
      <c r="R125" s="1047">
        <f t="shared" si="63"/>
        <v>0.15145324289722428</v>
      </c>
      <c r="S125" s="1045">
        <f t="shared" si="63"/>
        <v>0.1515446578737718</v>
      </c>
      <c r="T125" s="1045">
        <f t="shared" si="63"/>
        <v>0.15186504019179239</v>
      </c>
      <c r="U125" s="1045">
        <f t="shared" si="63"/>
        <v>0.15176785683229274</v>
      </c>
      <c r="V125" s="1045">
        <f t="shared" si="63"/>
        <v>0.15180018349095836</v>
      </c>
      <c r="W125" s="1045">
        <f t="shared" si="63"/>
        <v>0.15184866578956244</v>
      </c>
      <c r="X125" s="1045">
        <f t="shared" si="63"/>
        <v>0.15206896839226608</v>
      </c>
      <c r="Y125" s="1045">
        <f t="shared" si="63"/>
        <v>0.15334494601745188</v>
      </c>
      <c r="Z125" s="1045">
        <f t="shared" si="63"/>
        <v>0.15339854608520881</v>
      </c>
      <c r="AA125" s="1045">
        <f t="shared" si="63"/>
        <v>0.15336912106401732</v>
      </c>
      <c r="AB125" s="1045">
        <f t="shared" si="63"/>
        <v>0.1531784367514408</v>
      </c>
      <c r="AC125" s="1045">
        <f t="shared" si="63"/>
        <v>0.15408152114523002</v>
      </c>
      <c r="AD125" s="1045">
        <f t="shared" si="63"/>
        <v>0.15391601335092758</v>
      </c>
      <c r="AE125" s="1045">
        <f t="shared" si="63"/>
        <v>0.15376328364870379</v>
      </c>
      <c r="AF125" s="1045">
        <f t="shared" si="63"/>
        <v>0.15354921234362984</v>
      </c>
      <c r="AG125" s="1046">
        <f t="shared" ref="AG125:AJ126" si="64">AF125</f>
        <v>0.15354921234362984</v>
      </c>
      <c r="AH125" s="1046">
        <f t="shared" si="64"/>
        <v>0.15354921234362984</v>
      </c>
      <c r="AI125" s="1046">
        <f t="shared" si="64"/>
        <v>0.15354921234362984</v>
      </c>
      <c r="AJ125" s="1046">
        <f>AI125</f>
        <v>0.15354921234362984</v>
      </c>
      <c r="AK125" s="1046">
        <f t="shared" ref="AK125:AN126" si="65">AJ125</f>
        <v>0.15354921234362984</v>
      </c>
      <c r="AL125" s="1046">
        <f t="shared" si="65"/>
        <v>0.15354921234362984</v>
      </c>
      <c r="AM125" s="1046">
        <f t="shared" si="65"/>
        <v>0.15354921234362984</v>
      </c>
      <c r="AN125" s="1046">
        <f t="shared" si="65"/>
        <v>0.15354921234362984</v>
      </c>
    </row>
    <row r="126" spans="4:76" x14ac:dyDescent="0.35">
      <c r="D126" s="635" t="s">
        <v>447</v>
      </c>
      <c r="F126" s="1026"/>
      <c r="G126" s="1047"/>
      <c r="H126" s="1047">
        <f t="shared" ref="H126:AF126" si="66">H15/H136</f>
        <v>1.2169240187742332E-2</v>
      </c>
      <c r="I126" s="1047">
        <f t="shared" si="66"/>
        <v>1.2652467403520625E-2</v>
      </c>
      <c r="J126" s="1047">
        <f t="shared" si="66"/>
        <v>9.8610658440268922E-3</v>
      </c>
      <c r="K126" s="1047">
        <f t="shared" si="66"/>
        <v>1.0332062544891983E-2</v>
      </c>
      <c r="L126" s="1047">
        <f t="shared" si="66"/>
        <v>1.0725569160259799E-2</v>
      </c>
      <c r="M126" s="1047">
        <f t="shared" si="66"/>
        <v>1.0566750134378645E-2</v>
      </c>
      <c r="N126" s="1047">
        <f t="shared" si="66"/>
        <v>1.1311737253238165E-2</v>
      </c>
      <c r="O126" s="1047">
        <f t="shared" si="66"/>
        <v>1.1232731201963286E-2</v>
      </c>
      <c r="P126" s="1047">
        <f t="shared" si="66"/>
        <v>1.1638418079096045E-2</v>
      </c>
      <c r="Q126" s="1047">
        <f t="shared" si="66"/>
        <v>1.2059012187299552E-2</v>
      </c>
      <c r="R126" s="1047">
        <f t="shared" si="66"/>
        <v>1.1967103245373895E-2</v>
      </c>
      <c r="S126" s="1045">
        <f t="shared" si="66"/>
        <v>1.1227791718595437E-2</v>
      </c>
      <c r="T126" s="1045">
        <f t="shared" si="66"/>
        <v>1.0413330830305774E-2</v>
      </c>
      <c r="U126" s="1045">
        <f t="shared" si="66"/>
        <v>9.7690268837561534E-3</v>
      </c>
      <c r="V126" s="1045">
        <f t="shared" si="66"/>
        <v>9.5008318577443022E-3</v>
      </c>
      <c r="W126" s="1045">
        <f t="shared" si="66"/>
        <v>9.2290816272716722E-3</v>
      </c>
      <c r="X126" s="1045">
        <f t="shared" si="66"/>
        <v>9.1034152136983734E-3</v>
      </c>
      <c r="Y126" s="1045">
        <f t="shared" si="66"/>
        <v>9.3345950894372504E-3</v>
      </c>
      <c r="Z126" s="1045">
        <f t="shared" si="66"/>
        <v>9.1060482585125623E-3</v>
      </c>
      <c r="AA126" s="1045">
        <f t="shared" si="66"/>
        <v>9.4445110019567898E-3</v>
      </c>
      <c r="AB126" s="1045">
        <f t="shared" si="66"/>
        <v>9.3310992418174747E-3</v>
      </c>
      <c r="AC126" s="1045">
        <f t="shared" si="66"/>
        <v>9.6618827535879352E-3</v>
      </c>
      <c r="AD126" s="1045">
        <f t="shared" si="66"/>
        <v>1.7830773596794594E-2</v>
      </c>
      <c r="AE126" s="1045">
        <f t="shared" si="66"/>
        <v>2.0567281821971276E-2</v>
      </c>
      <c r="AF126" s="1045">
        <f t="shared" si="66"/>
        <v>2.1840063963193112E-2</v>
      </c>
      <c r="AG126" s="1046">
        <f t="shared" si="64"/>
        <v>2.1840063963193112E-2</v>
      </c>
      <c r="AH126" s="1046">
        <f t="shared" si="64"/>
        <v>2.1840063963193112E-2</v>
      </c>
      <c r="AI126" s="1046">
        <f t="shared" si="64"/>
        <v>2.1840063963193112E-2</v>
      </c>
      <c r="AJ126" s="1046">
        <f t="shared" si="64"/>
        <v>2.1840063963193112E-2</v>
      </c>
      <c r="AK126" s="1046">
        <f t="shared" si="65"/>
        <v>2.1840063963193112E-2</v>
      </c>
      <c r="AL126" s="1046">
        <f t="shared" si="65"/>
        <v>2.1840063963193112E-2</v>
      </c>
      <c r="AM126" s="1046">
        <f t="shared" si="65"/>
        <v>2.1840063963193112E-2</v>
      </c>
      <c r="AN126" s="1046">
        <f t="shared" si="65"/>
        <v>2.1840063963193112E-2</v>
      </c>
    </row>
    <row r="127" spans="4:76" x14ac:dyDescent="0.35">
      <c r="D127" s="528" t="s">
        <v>448</v>
      </c>
      <c r="F127" s="1026"/>
      <c r="G127" s="1047"/>
      <c r="H127" s="1047" t="e">
        <f>#REF!/H137</f>
        <v>#REF!</v>
      </c>
      <c r="I127" s="1047" t="e">
        <f>#REF!/I137</f>
        <v>#REF!</v>
      </c>
      <c r="J127" s="1047" t="e">
        <f>#REF!/J137</f>
        <v>#REF!</v>
      </c>
      <c r="K127" s="1047" t="e">
        <f>#REF!/K137</f>
        <v>#REF!</v>
      </c>
      <c r="L127" s="1047" t="e">
        <f>#REF!/L137</f>
        <v>#REF!</v>
      </c>
      <c r="M127" s="1047" t="e">
        <f>#REF!/M137</f>
        <v>#REF!</v>
      </c>
      <c r="N127" s="1047" t="e">
        <f>#REF!/N137</f>
        <v>#REF!</v>
      </c>
      <c r="O127" s="1047" t="e">
        <f>#REF!/O137</f>
        <v>#REF!</v>
      </c>
      <c r="P127" s="1047" t="e">
        <f>#REF!/P137</f>
        <v>#REF!</v>
      </c>
      <c r="Q127" s="1047" t="e">
        <f>#REF!/Q137</f>
        <v>#REF!</v>
      </c>
      <c r="R127" s="1045" t="e">
        <f>#REF!/R137</f>
        <v>#REF!</v>
      </c>
      <c r="S127" s="1045" t="e">
        <f>#REF!/S137</f>
        <v>#REF!</v>
      </c>
      <c r="T127" s="1045" t="e">
        <f>#REF!/T137</f>
        <v>#REF!</v>
      </c>
      <c r="U127" s="1045" t="e">
        <f>#REF!/U137</f>
        <v>#REF!</v>
      </c>
      <c r="V127" s="1045" t="e">
        <f>#REF!/V137</f>
        <v>#REF!</v>
      </c>
      <c r="W127" s="1045" t="e">
        <f>#REF!/W137</f>
        <v>#REF!</v>
      </c>
      <c r="X127" s="1045" t="e">
        <f>#REF!/X137</f>
        <v>#REF!</v>
      </c>
      <c r="Y127" s="1045" t="e">
        <f>#REF!/Y137</f>
        <v>#REF!</v>
      </c>
      <c r="Z127" s="1045" t="e">
        <f>#REF!/Z137</f>
        <v>#REF!</v>
      </c>
      <c r="AA127" s="1045" t="e">
        <f>#REF!/AA137</f>
        <v>#REF!</v>
      </c>
      <c r="AB127" s="1045" t="e">
        <f>#REF!/AB137</f>
        <v>#REF!</v>
      </c>
      <c r="AC127" s="1045" t="e">
        <f>#REF!/AC137</f>
        <v>#REF!</v>
      </c>
      <c r="AD127" s="1045" t="e">
        <f>#REF!/AD137</f>
        <v>#REF!</v>
      </c>
      <c r="AE127" s="1045" t="e">
        <f>#REF!/AE137</f>
        <v>#REF!</v>
      </c>
      <c r="AF127" s="1045" t="e">
        <f>#REF!/AF137</f>
        <v>#REF!</v>
      </c>
      <c r="AG127" s="1046" t="e">
        <f t="shared" ref="AG127:AN127" si="67">AF127+AG128</f>
        <v>#REF!</v>
      </c>
      <c r="AH127" s="1046" t="e">
        <f t="shared" si="67"/>
        <v>#REF!</v>
      </c>
      <c r="AI127" s="1046" t="e">
        <f t="shared" si="67"/>
        <v>#REF!</v>
      </c>
      <c r="AJ127" s="1046" t="e">
        <f t="shared" si="67"/>
        <v>#REF!</v>
      </c>
      <c r="AK127" s="1046" t="e">
        <f t="shared" si="67"/>
        <v>#REF!</v>
      </c>
      <c r="AL127" s="1046" t="e">
        <f t="shared" si="67"/>
        <v>#REF!</v>
      </c>
      <c r="AM127" s="1046" t="e">
        <f t="shared" si="67"/>
        <v>#REF!</v>
      </c>
      <c r="AN127" s="1046" t="e">
        <f t="shared" si="67"/>
        <v>#REF!</v>
      </c>
    </row>
    <row r="128" spans="4:76" x14ac:dyDescent="0.35">
      <c r="D128" s="528" t="s">
        <v>1697</v>
      </c>
      <c r="F128" s="1026"/>
      <c r="G128" s="1047"/>
      <c r="H128" s="1047"/>
      <c r="I128" s="1047"/>
      <c r="J128" s="1047"/>
      <c r="K128" s="1047"/>
      <c r="L128" s="1047"/>
      <c r="M128" s="1047"/>
      <c r="N128" s="1047"/>
      <c r="O128" s="1047"/>
      <c r="P128" s="1047"/>
      <c r="Q128" s="1047"/>
      <c r="R128" s="1047"/>
      <c r="S128" s="1047"/>
      <c r="T128" s="1047"/>
      <c r="U128" s="1047">
        <v>-1.2E-2</v>
      </c>
      <c r="V128" s="1047"/>
      <c r="W128" s="1047"/>
      <c r="X128" s="1047"/>
      <c r="Y128" s="1046"/>
      <c r="Z128" s="1046"/>
      <c r="AA128" s="1046"/>
      <c r="AB128" s="1046"/>
      <c r="AC128" s="1046"/>
      <c r="AD128" s="1046"/>
      <c r="AE128" s="1046"/>
      <c r="AF128" s="1046"/>
      <c r="AG128" s="1046"/>
      <c r="AH128" s="1046"/>
      <c r="AI128" s="1046"/>
      <c r="AJ128" s="1046"/>
      <c r="AK128" s="1046"/>
      <c r="AL128" s="1046"/>
      <c r="AM128" s="1046"/>
      <c r="AN128" s="1046"/>
    </row>
    <row r="129" spans="4:40" x14ac:dyDescent="0.35">
      <c r="D129" s="401" t="s">
        <v>473</v>
      </c>
      <c r="F129" s="392"/>
      <c r="G129" s="265"/>
      <c r="H129" s="265"/>
      <c r="I129" s="265"/>
      <c r="J129" s="265"/>
      <c r="K129" s="265"/>
      <c r="L129" s="265"/>
      <c r="M129" s="265"/>
      <c r="N129" s="265"/>
      <c r="O129" s="265"/>
      <c r="P129" s="265"/>
      <c r="Q129" s="265"/>
      <c r="R129" s="265"/>
      <c r="S129" s="265"/>
      <c r="T129" s="265"/>
      <c r="U129" s="265"/>
      <c r="V129" s="265"/>
      <c r="W129" s="265"/>
      <c r="X129" s="265"/>
      <c r="Y129" s="265"/>
      <c r="Z129" s="265"/>
      <c r="AA129" s="265"/>
      <c r="AB129" s="265"/>
      <c r="AC129" s="265"/>
    </row>
    <row r="130" spans="4:40" ht="14.9" customHeight="1" x14ac:dyDescent="0.35">
      <c r="D130" s="819" t="s">
        <v>474</v>
      </c>
      <c r="F130" s="1020">
        <f>SUM(F131:F134)</f>
        <v>14464.9</v>
      </c>
      <c r="G130" s="537">
        <f t="shared" ref="G130:Z130" si="68">SUM(G131:G134)</f>
        <v>14564.8</v>
      </c>
      <c r="H130" s="537">
        <f t="shared" si="68"/>
        <v>14733.199999999999</v>
      </c>
      <c r="I130" s="537">
        <f t="shared" si="68"/>
        <v>14871.400000000001</v>
      </c>
      <c r="J130" s="537">
        <f t="shared" si="68"/>
        <v>14031.9</v>
      </c>
      <c r="K130" s="537">
        <f t="shared" si="68"/>
        <v>14760.5</v>
      </c>
      <c r="L130" s="537">
        <f t="shared" si="68"/>
        <v>15219.6</v>
      </c>
      <c r="M130" s="537">
        <f t="shared" si="68"/>
        <v>15432.699999999999</v>
      </c>
      <c r="N130" s="537">
        <f t="shared" si="68"/>
        <v>16021.8</v>
      </c>
      <c r="O130" s="537">
        <f t="shared" si="68"/>
        <v>16415.599999999999</v>
      </c>
      <c r="P130" s="537">
        <f t="shared" si="68"/>
        <v>16793.2</v>
      </c>
      <c r="Q130" s="537">
        <f t="shared" si="68"/>
        <v>16958.7</v>
      </c>
      <c r="R130" s="537">
        <f t="shared" si="68"/>
        <v>17199.099999999999</v>
      </c>
      <c r="S130" s="452">
        <f t="shared" si="68"/>
        <v>17639.300000000003</v>
      </c>
      <c r="T130" s="452">
        <f t="shared" si="68"/>
        <v>17867.900000000001</v>
      </c>
      <c r="U130" s="452">
        <f t="shared" si="68"/>
        <v>18242.399999999998</v>
      </c>
      <c r="V130" s="452">
        <f t="shared" si="68"/>
        <v>18548.100000000002</v>
      </c>
      <c r="W130" s="452">
        <f t="shared" si="68"/>
        <v>18820.8</v>
      </c>
      <c r="X130" s="452">
        <f t="shared" si="68"/>
        <v>19088.599999999999</v>
      </c>
      <c r="Y130" s="452">
        <f t="shared" si="68"/>
        <v>19347</v>
      </c>
      <c r="Z130" s="452">
        <f t="shared" si="68"/>
        <v>19575.600000000002</v>
      </c>
      <c r="AA130" s="452">
        <f t="shared" ref="AA130:AF130" si="69">SUM(AA131:AA134)</f>
        <v>19734.7</v>
      </c>
      <c r="AB130" s="452">
        <f t="shared" si="69"/>
        <v>19969</v>
      </c>
      <c r="AC130" s="452">
        <f t="shared" si="69"/>
        <v>20226.2</v>
      </c>
      <c r="AD130" s="452">
        <f t="shared" si="69"/>
        <v>20313.100000000002</v>
      </c>
      <c r="AE130" s="452">
        <f t="shared" si="69"/>
        <v>20445.300000000003</v>
      </c>
      <c r="AF130" s="452">
        <f t="shared" si="69"/>
        <v>20596.3</v>
      </c>
      <c r="AG130" s="247"/>
      <c r="AH130" s="247"/>
      <c r="AI130" s="247"/>
      <c r="AJ130" s="247"/>
      <c r="AK130" s="247"/>
      <c r="AL130" s="247"/>
      <c r="AM130" s="247"/>
      <c r="AN130" s="247"/>
    </row>
    <row r="131" spans="4:40" x14ac:dyDescent="0.35">
      <c r="D131" s="946" t="s">
        <v>748</v>
      </c>
      <c r="E131" s="268" t="s">
        <v>744</v>
      </c>
      <c r="F131" s="1020">
        <f>'Haver Pivoted'!GQ81</f>
        <v>9285</v>
      </c>
      <c r="G131" s="537">
        <f>'Haver Pivoted'!GR81</f>
        <v>9341</v>
      </c>
      <c r="H131" s="537">
        <f>'Haver Pivoted'!GS81</f>
        <v>9488.7999999999993</v>
      </c>
      <c r="I131" s="537">
        <f>'Haver Pivoted'!GT81</f>
        <v>9636.6</v>
      </c>
      <c r="J131" s="537">
        <f>'Haver Pivoted'!GU81</f>
        <v>9004.7999999999993</v>
      </c>
      <c r="K131" s="537">
        <f>'Haver Pivoted'!GV81</f>
        <v>9441.5</v>
      </c>
      <c r="L131" s="537">
        <f>'Haver Pivoted'!GW81</f>
        <v>9808.9</v>
      </c>
      <c r="M131" s="537">
        <f>'Haver Pivoted'!GX81</f>
        <v>9888.9</v>
      </c>
      <c r="N131" s="537">
        <f>'Haver Pivoted'!GY81</f>
        <v>10181.299999999999</v>
      </c>
      <c r="O131" s="537">
        <f>'Haver Pivoted'!GZ81</f>
        <v>10462.4</v>
      </c>
      <c r="P131" s="537">
        <f>'Haver Pivoted'!HA81</f>
        <v>10772</v>
      </c>
      <c r="Q131" s="537">
        <f>'Haver Pivoted'!HB81</f>
        <v>10910.5</v>
      </c>
      <c r="R131" s="537">
        <f>'Haver Pivoted'!HC81</f>
        <v>11013.3</v>
      </c>
      <c r="S131" s="452">
        <f>'Haver Pivoted'!HD81</f>
        <v>11297</v>
      </c>
      <c r="T131" s="452">
        <f>'Haver Pivoted'!HE81</f>
        <v>11345.6</v>
      </c>
      <c r="U131" s="452">
        <f>'Haver Pivoted'!HF81</f>
        <v>11499.8</v>
      </c>
      <c r="V131" s="452">
        <f>'Haver Pivoted'!HG81</f>
        <v>11662.7</v>
      </c>
      <c r="W131" s="452">
        <f>'Haver Pivoted'!HH81</f>
        <v>11857.2</v>
      </c>
      <c r="X131" s="452">
        <f>'Haver Pivoted'!HI81</f>
        <v>11993.9</v>
      </c>
      <c r="Y131" s="452">
        <f>'Haver Pivoted'!HJ81</f>
        <v>12170.6</v>
      </c>
      <c r="Z131" s="452">
        <f>'Haver Pivoted'!HK81</f>
        <v>12339.1</v>
      </c>
      <c r="AA131" s="452">
        <f>'Haver Pivoted'!HL81</f>
        <v>12481</v>
      </c>
      <c r="AB131" s="452">
        <f>'Haver Pivoted'!HM81</f>
        <v>12649.3</v>
      </c>
      <c r="AC131" s="452">
        <f>'Haver Pivoted'!HN81</f>
        <v>12811.4</v>
      </c>
      <c r="AD131" s="452">
        <f>'Haver Pivoted'!HO81</f>
        <v>12883</v>
      </c>
      <c r="AE131" s="452">
        <f>'Haver Pivoted'!HP81</f>
        <v>12995.3</v>
      </c>
      <c r="AF131" s="452">
        <f>'Haver Pivoted'!HQ81</f>
        <v>13133.9</v>
      </c>
      <c r="AG131" s="247"/>
      <c r="AH131" s="247"/>
      <c r="AI131" s="247"/>
      <c r="AJ131" s="247"/>
      <c r="AK131" s="247"/>
      <c r="AL131" s="247"/>
      <c r="AM131" s="247"/>
      <c r="AN131" s="247"/>
    </row>
    <row r="132" spans="4:40" x14ac:dyDescent="0.35">
      <c r="D132" s="946" t="s">
        <v>475</v>
      </c>
      <c r="E132" s="268" t="s">
        <v>745</v>
      </c>
      <c r="F132" s="1020">
        <f>'Haver Pivoted'!GQ82</f>
        <v>1535.6</v>
      </c>
      <c r="G132" s="537">
        <f>'Haver Pivoted'!GR82</f>
        <v>1570.9</v>
      </c>
      <c r="H132" s="537">
        <f>'Haver Pivoted'!GS82</f>
        <v>1582.7</v>
      </c>
      <c r="I132" s="537">
        <f>'Haver Pivoted'!GT82</f>
        <v>1583.4</v>
      </c>
      <c r="J132" s="537">
        <f>'Haver Pivoted'!GU82</f>
        <v>1429.5</v>
      </c>
      <c r="K132" s="537">
        <f>'Haver Pivoted'!GV82</f>
        <v>1710.7</v>
      </c>
      <c r="L132" s="537">
        <f>'Haver Pivoted'!GW82</f>
        <v>1674.4</v>
      </c>
      <c r="M132" s="537">
        <f>'Haver Pivoted'!GX82</f>
        <v>1699.8</v>
      </c>
      <c r="N132" s="537">
        <f>'Haver Pivoted'!GY82</f>
        <v>1848.9</v>
      </c>
      <c r="O132" s="537">
        <f>'Haver Pivoted'!GZ82</f>
        <v>1870.4</v>
      </c>
      <c r="P132" s="537">
        <f>'Haver Pivoted'!HA82</f>
        <v>1855.6</v>
      </c>
      <c r="Q132" s="537">
        <f>'Haver Pivoted'!HB82</f>
        <v>1836</v>
      </c>
      <c r="R132" s="537">
        <f>'Haver Pivoted'!HC82</f>
        <v>1849.5</v>
      </c>
      <c r="S132" s="452">
        <f>'Haver Pivoted'!HD82</f>
        <v>1889.1</v>
      </c>
      <c r="T132" s="452">
        <f>'Haver Pivoted'!HE82</f>
        <v>1901.1</v>
      </c>
      <c r="U132" s="452">
        <f>'Haver Pivoted'!HF82</f>
        <v>1933.8</v>
      </c>
      <c r="V132" s="452">
        <f>'Haver Pivoted'!HG82</f>
        <v>1931.7</v>
      </c>
      <c r="W132" s="452">
        <f>'Haver Pivoted'!HH82</f>
        <v>1943.1</v>
      </c>
      <c r="X132" s="452">
        <f>'Haver Pivoted'!HI82</f>
        <v>1959.3</v>
      </c>
      <c r="Y132" s="452">
        <f>'Haver Pivoted'!HJ82</f>
        <v>1982.9</v>
      </c>
      <c r="Z132" s="452">
        <f>'Haver Pivoted'!HK82</f>
        <v>2013.2</v>
      </c>
      <c r="AA132" s="452">
        <f>'Haver Pivoted'!HL82</f>
        <v>2031.7</v>
      </c>
      <c r="AB132" s="452">
        <f>'Haver Pivoted'!HM82</f>
        <v>2064.5</v>
      </c>
      <c r="AC132" s="452">
        <f>'Haver Pivoted'!HN82</f>
        <v>2103.3000000000002</v>
      </c>
      <c r="AD132" s="452">
        <f>'Haver Pivoted'!HO82</f>
        <v>2105.1999999999998</v>
      </c>
      <c r="AE132" s="452">
        <f>'Haver Pivoted'!HP82</f>
        <v>2117.6999999999998</v>
      </c>
      <c r="AF132" s="452">
        <f>'Haver Pivoted'!HQ82</f>
        <v>2112.1</v>
      </c>
      <c r="AG132" s="247"/>
      <c r="AH132" s="247"/>
      <c r="AI132" s="247"/>
      <c r="AJ132" s="247"/>
      <c r="AK132" s="247"/>
      <c r="AL132" s="247"/>
      <c r="AM132" s="247"/>
      <c r="AN132" s="247"/>
    </row>
    <row r="133" spans="4:40" x14ac:dyDescent="0.35">
      <c r="D133" s="946" t="s">
        <v>476</v>
      </c>
      <c r="E133" s="268" t="s">
        <v>751</v>
      </c>
      <c r="F133" s="1020">
        <f>'Haver Pivoted'!GQ83</f>
        <v>682.8</v>
      </c>
      <c r="G133" s="537">
        <f>'Haver Pivoted'!GR83</f>
        <v>690.2</v>
      </c>
      <c r="H133" s="537">
        <f>'Haver Pivoted'!GS83</f>
        <v>706.3</v>
      </c>
      <c r="I133" s="537">
        <f>'Haver Pivoted'!GT83</f>
        <v>729.2</v>
      </c>
      <c r="J133" s="537">
        <f>'Haver Pivoted'!GU83</f>
        <v>736.2</v>
      </c>
      <c r="K133" s="537">
        <f>'Haver Pivoted'!GV83</f>
        <v>752.5</v>
      </c>
      <c r="L133" s="537">
        <f>'Haver Pivoted'!GW83</f>
        <v>755.7</v>
      </c>
      <c r="M133" s="537">
        <f>'Haver Pivoted'!GX83</f>
        <v>754.4</v>
      </c>
      <c r="N133" s="537">
        <f>'Haver Pivoted'!GY83</f>
        <v>770</v>
      </c>
      <c r="O133" s="537">
        <f>'Haver Pivoted'!GZ83</f>
        <v>782.6</v>
      </c>
      <c r="P133" s="537">
        <f>'Haver Pivoted'!HA83</f>
        <v>799.9</v>
      </c>
      <c r="Q133" s="537">
        <f>'Haver Pivoted'!HB83</f>
        <v>818.6</v>
      </c>
      <c r="R133" s="537">
        <f>'Haver Pivoted'!HC83</f>
        <v>860.4</v>
      </c>
      <c r="S133" s="452">
        <f>'Haver Pivoted'!HD83</f>
        <v>887.2</v>
      </c>
      <c r="T133" s="452">
        <f>'Haver Pivoted'!HE83</f>
        <v>918.3</v>
      </c>
      <c r="U133" s="452">
        <f>'Haver Pivoted'!HF83</f>
        <v>965.5</v>
      </c>
      <c r="V133" s="452">
        <f>'Haver Pivoted'!HG83</f>
        <v>998</v>
      </c>
      <c r="W133" s="452">
        <f>'Haver Pivoted'!HH83</f>
        <v>1012.9</v>
      </c>
      <c r="X133" s="452">
        <f>'Haver Pivoted'!HI83</f>
        <v>1033.5999999999999</v>
      </c>
      <c r="Y133" s="452">
        <f>'Haver Pivoted'!HJ83</f>
        <v>1069</v>
      </c>
      <c r="Z133" s="452">
        <f>'Haver Pivoted'!HK83</f>
        <v>1069.7</v>
      </c>
      <c r="AA133" s="452">
        <f>'Haver Pivoted'!HL83</f>
        <v>1077.3</v>
      </c>
      <c r="AB133" s="452">
        <f>'Haver Pivoted'!HM83</f>
        <v>1096.7</v>
      </c>
      <c r="AC133" s="452">
        <f>'Haver Pivoted'!HN83</f>
        <v>1115.5999999999999</v>
      </c>
      <c r="AD133" s="452">
        <f>'Haver Pivoted'!HO83</f>
        <v>1119.2</v>
      </c>
      <c r="AE133" s="452">
        <f>'Haver Pivoted'!HP83</f>
        <v>1112.2</v>
      </c>
      <c r="AF133" s="452">
        <f>'Haver Pivoted'!HQ83</f>
        <v>1111.9000000000001</v>
      </c>
      <c r="AG133" s="247"/>
      <c r="AH133" s="247"/>
      <c r="AI133" s="247"/>
      <c r="AJ133" s="247"/>
      <c r="AK133" s="247"/>
      <c r="AL133" s="247"/>
      <c r="AM133" s="247"/>
      <c r="AN133" s="247"/>
    </row>
    <row r="134" spans="4:40" x14ac:dyDescent="0.35">
      <c r="D134" s="946" t="s">
        <v>477</v>
      </c>
      <c r="E134" s="268" t="s">
        <v>747</v>
      </c>
      <c r="F134" s="1020">
        <f>'Haver Pivoted'!GQ84</f>
        <v>2961.5</v>
      </c>
      <c r="G134" s="537">
        <f>'Haver Pivoted'!GR84</f>
        <v>2962.7</v>
      </c>
      <c r="H134" s="537">
        <f>'Haver Pivoted'!GS84</f>
        <v>2955.4</v>
      </c>
      <c r="I134" s="537">
        <f>'Haver Pivoted'!GT84</f>
        <v>2922.2</v>
      </c>
      <c r="J134" s="537">
        <f>'Haver Pivoted'!GU84</f>
        <v>2861.4</v>
      </c>
      <c r="K134" s="537">
        <f>'Haver Pivoted'!GV84</f>
        <v>2855.8</v>
      </c>
      <c r="L134" s="537">
        <f>'Haver Pivoted'!GW84</f>
        <v>2980.6</v>
      </c>
      <c r="M134" s="537">
        <f>'Haver Pivoted'!GX84</f>
        <v>3089.6</v>
      </c>
      <c r="N134" s="537">
        <f>'Haver Pivoted'!GY84</f>
        <v>3221.6</v>
      </c>
      <c r="O134" s="537">
        <f>'Haver Pivoted'!GZ84</f>
        <v>3300.2</v>
      </c>
      <c r="P134" s="537">
        <f>'Haver Pivoted'!HA84</f>
        <v>3365.7</v>
      </c>
      <c r="Q134" s="537">
        <f>'Haver Pivoted'!HB84</f>
        <v>3393.6</v>
      </c>
      <c r="R134" s="537">
        <f>'Haver Pivoted'!HC84</f>
        <v>3475.9</v>
      </c>
      <c r="S134" s="452">
        <f>'Haver Pivoted'!HD84</f>
        <v>3566</v>
      </c>
      <c r="T134" s="452">
        <f>'Haver Pivoted'!HE84</f>
        <v>3702.9</v>
      </c>
      <c r="U134" s="452">
        <f>'Haver Pivoted'!HF84</f>
        <v>3843.3</v>
      </c>
      <c r="V134" s="452">
        <f>'Haver Pivoted'!HG84</f>
        <v>3955.7</v>
      </c>
      <c r="W134" s="452">
        <f>'Haver Pivoted'!HH84</f>
        <v>4007.6</v>
      </c>
      <c r="X134" s="452">
        <f>'Haver Pivoted'!HI84</f>
        <v>4101.8</v>
      </c>
      <c r="Y134" s="452">
        <f>'Haver Pivoted'!HJ84</f>
        <v>4124.5</v>
      </c>
      <c r="Z134" s="452">
        <f>'Haver Pivoted'!HK84</f>
        <v>4153.6000000000004</v>
      </c>
      <c r="AA134" s="452">
        <f>'Haver Pivoted'!HL84</f>
        <v>4144.7</v>
      </c>
      <c r="AB134" s="452">
        <f>'Haver Pivoted'!HM84</f>
        <v>4158.5</v>
      </c>
      <c r="AC134" s="452">
        <f>'Haver Pivoted'!HN84</f>
        <v>4195.8999999999996</v>
      </c>
      <c r="AD134" s="452">
        <f>'Haver Pivoted'!HO84</f>
        <v>4205.7</v>
      </c>
      <c r="AE134" s="452">
        <f>'Haver Pivoted'!HP84</f>
        <v>4220.1000000000004</v>
      </c>
      <c r="AF134" s="452">
        <f>'Haver Pivoted'!HQ84</f>
        <v>4238.3999999999996</v>
      </c>
      <c r="AG134" s="247"/>
      <c r="AH134" s="247"/>
      <c r="AI134" s="247"/>
      <c r="AJ134" s="247"/>
      <c r="AK134" s="247"/>
      <c r="AL134" s="247"/>
      <c r="AM134" s="247"/>
      <c r="AN134" s="247"/>
    </row>
    <row r="135" spans="4:40" x14ac:dyDescent="0.35">
      <c r="D135" s="819" t="s">
        <v>464</v>
      </c>
      <c r="F135" s="1020">
        <f>F131</f>
        <v>9285</v>
      </c>
      <c r="G135" s="537">
        <f t="shared" ref="G135:AB135" si="70">G131</f>
        <v>9341</v>
      </c>
      <c r="H135" s="537">
        <f t="shared" si="70"/>
        <v>9488.7999999999993</v>
      </c>
      <c r="I135" s="537">
        <f t="shared" si="70"/>
        <v>9636.6</v>
      </c>
      <c r="J135" s="537">
        <f t="shared" si="70"/>
        <v>9004.7999999999993</v>
      </c>
      <c r="K135" s="537">
        <f t="shared" si="70"/>
        <v>9441.5</v>
      </c>
      <c r="L135" s="537">
        <f t="shared" si="70"/>
        <v>9808.9</v>
      </c>
      <c r="M135" s="537">
        <f t="shared" si="70"/>
        <v>9888.9</v>
      </c>
      <c r="N135" s="537">
        <f t="shared" si="70"/>
        <v>10181.299999999999</v>
      </c>
      <c r="O135" s="537">
        <f t="shared" si="70"/>
        <v>10462.4</v>
      </c>
      <c r="P135" s="537">
        <f t="shared" si="70"/>
        <v>10772</v>
      </c>
      <c r="Q135" s="537">
        <f t="shared" si="70"/>
        <v>10910.5</v>
      </c>
      <c r="R135" s="537">
        <f t="shared" si="70"/>
        <v>11013.3</v>
      </c>
      <c r="S135" s="452">
        <f t="shared" si="70"/>
        <v>11297</v>
      </c>
      <c r="T135" s="452">
        <f t="shared" si="70"/>
        <v>11345.6</v>
      </c>
      <c r="U135" s="452">
        <f t="shared" si="70"/>
        <v>11499.8</v>
      </c>
      <c r="V135" s="452">
        <f t="shared" si="70"/>
        <v>11662.7</v>
      </c>
      <c r="W135" s="452">
        <f t="shared" si="70"/>
        <v>11857.2</v>
      </c>
      <c r="X135" s="452">
        <f t="shared" si="70"/>
        <v>11993.9</v>
      </c>
      <c r="Y135" s="452">
        <f t="shared" si="70"/>
        <v>12170.6</v>
      </c>
      <c r="Z135" s="452">
        <f t="shared" si="70"/>
        <v>12339.1</v>
      </c>
      <c r="AA135" s="452">
        <f t="shared" si="70"/>
        <v>12481</v>
      </c>
      <c r="AB135" s="452">
        <f t="shared" si="70"/>
        <v>12649.3</v>
      </c>
      <c r="AC135" s="452">
        <f>AC131</f>
        <v>12811.4</v>
      </c>
      <c r="AD135" s="452">
        <f>AD131</f>
        <v>12883</v>
      </c>
      <c r="AE135" s="452">
        <f>AE131</f>
        <v>12995.3</v>
      </c>
      <c r="AF135" s="452">
        <f>AF131</f>
        <v>13133.9</v>
      </c>
      <c r="AG135" s="247"/>
      <c r="AH135" s="247"/>
      <c r="AI135" s="247"/>
      <c r="AJ135" s="247"/>
      <c r="AK135" s="247"/>
      <c r="AL135" s="247"/>
      <c r="AM135" s="247"/>
      <c r="AN135" s="247"/>
    </row>
    <row r="136" spans="4:40" x14ac:dyDescent="0.35">
      <c r="D136" s="819" t="s">
        <v>465</v>
      </c>
      <c r="E136" s="268" t="s">
        <v>481</v>
      </c>
      <c r="F136" s="1020">
        <f>'Haver Pivoted'!GQ5</f>
        <v>14350.7</v>
      </c>
      <c r="G136" s="537">
        <f>'Haver Pivoted'!GR5</f>
        <v>14548.3</v>
      </c>
      <c r="H136" s="537">
        <f>'Haver Pivoted'!GS5</f>
        <v>14701</v>
      </c>
      <c r="I136" s="537">
        <f>'Haver Pivoted'!GT5</f>
        <v>14503.1</v>
      </c>
      <c r="J136" s="537">
        <f>'Haver Pivoted'!GU5</f>
        <v>13193.3</v>
      </c>
      <c r="K136" s="537">
        <f>'Haver Pivoted'!GV5</f>
        <v>14479.2</v>
      </c>
      <c r="L136" s="537">
        <f>'Haver Pivoted'!GW5</f>
        <v>14749.8</v>
      </c>
      <c r="M136" s="537">
        <f>'Haver Pivoted'!GX5</f>
        <v>15255.4</v>
      </c>
      <c r="N136" s="537">
        <f>'Haver Pivoted'!GY5</f>
        <v>16027.6</v>
      </c>
      <c r="O136" s="537">
        <f>'Haver Pivoted'!GZ5</f>
        <v>16380.7</v>
      </c>
      <c r="P136" s="537">
        <f>'Haver Pivoted'!HA5</f>
        <v>16815</v>
      </c>
      <c r="Q136" s="537">
        <f>'Haver Pivoted'!HB5</f>
        <v>17149</v>
      </c>
      <c r="R136" s="537">
        <f>'Haver Pivoted'!HC5</f>
        <v>17606.599999999999</v>
      </c>
      <c r="S136" s="452">
        <f>'Haver Pivoted'!HD5</f>
        <v>17893.099999999999</v>
      </c>
      <c r="T136" s="452">
        <f>'Haver Pivoted'!HE5</f>
        <v>18111.400000000001</v>
      </c>
      <c r="U136" s="452">
        <f>'Haver Pivoted'!HF5</f>
        <v>18487</v>
      </c>
      <c r="V136" s="452">
        <f>'Haver Pivoted'!HG5</f>
        <v>18693.099999999999</v>
      </c>
      <c r="W136" s="452">
        <f>'Haver Pivoted'!HH5</f>
        <v>18961.8</v>
      </c>
      <c r="X136" s="452">
        <f>'Haver Pivoted'!HI5</f>
        <v>19190.599999999999</v>
      </c>
      <c r="Y136" s="452">
        <f>'Haver Pivoted'!HJ5</f>
        <v>19443.8</v>
      </c>
      <c r="Z136" s="452">
        <f>'Haver Pivoted'!HK5</f>
        <v>19756.099999999999</v>
      </c>
      <c r="AA136" s="452">
        <f>'Haver Pivoted'!HL5</f>
        <v>20032.8</v>
      </c>
      <c r="AB136" s="452">
        <f>'Haver Pivoted'!HM5</f>
        <v>20351.3</v>
      </c>
      <c r="AC136" s="452">
        <f>'Haver Pivoted'!HN5</f>
        <v>20555</v>
      </c>
      <c r="AD136" s="452">
        <f>'Haver Pivoted'!HO5</f>
        <v>20789.900000000001</v>
      </c>
      <c r="AE136" s="452">
        <f>'Haver Pivoted'!HP5</f>
        <v>21111.200000000001</v>
      </c>
      <c r="AF136" s="452">
        <f>'Haver Pivoted'!HQ5</f>
        <v>21387.3</v>
      </c>
      <c r="AG136" s="247"/>
      <c r="AH136" s="247"/>
      <c r="AI136" s="247"/>
      <c r="AJ136" s="247"/>
      <c r="AK136" s="247"/>
      <c r="AL136" s="247"/>
      <c r="AM136" s="247"/>
      <c r="AN136" s="247"/>
    </row>
    <row r="137" spans="4:40" x14ac:dyDescent="0.35">
      <c r="D137" s="819" t="s">
        <v>478</v>
      </c>
      <c r="E137" s="268" t="s">
        <v>746</v>
      </c>
      <c r="F137" s="1020">
        <f>'Haver Pivoted'!GQ85</f>
        <v>1906.5</v>
      </c>
      <c r="G137" s="537">
        <f>'Haver Pivoted'!GR85</f>
        <v>1968.1</v>
      </c>
      <c r="H137" s="537">
        <f>'Haver Pivoted'!GS85</f>
        <v>2003.2</v>
      </c>
      <c r="I137" s="537">
        <f>'Haver Pivoted'!GT85</f>
        <v>1743.5</v>
      </c>
      <c r="J137" s="537">
        <f>'Haver Pivoted'!GU85</f>
        <v>1673.1</v>
      </c>
      <c r="K137" s="537">
        <f>'Haver Pivoted'!GV85</f>
        <v>2331.6999999999998</v>
      </c>
      <c r="L137" s="537">
        <f>'Haver Pivoted'!GW85</f>
        <v>2116.6999999999998</v>
      </c>
      <c r="M137" s="537">
        <f>'Haver Pivoted'!GX85</f>
        <v>2418.6</v>
      </c>
      <c r="N137" s="537">
        <f>'Haver Pivoted'!GY85</f>
        <v>2771.6</v>
      </c>
      <c r="O137" s="537">
        <f>'Haver Pivoted'!GZ85</f>
        <v>2779.8</v>
      </c>
      <c r="P137" s="537">
        <f>'Haver Pivoted'!HA85</f>
        <v>2821.2</v>
      </c>
      <c r="Q137" s="537">
        <f>'Haver Pivoted'!HB85</f>
        <v>2768.8</v>
      </c>
      <c r="R137" s="452">
        <f>'Haver Pivoted'!HC85</f>
        <v>2931.8</v>
      </c>
      <c r="S137" s="452">
        <f>'Haver Pivoted'!HD85</f>
        <v>3004.2</v>
      </c>
      <c r="T137" s="452">
        <f>'Haver Pivoted'!HE85</f>
        <v>2947.7</v>
      </c>
      <c r="U137" s="452">
        <f>'Haver Pivoted'!HF85</f>
        <v>3060.5</v>
      </c>
      <c r="V137" s="452">
        <f>'Haver Pivoted'!HG85</f>
        <v>3052.8</v>
      </c>
      <c r="W137" s="452">
        <f>'Haver Pivoted'!HH85</f>
        <v>3153.1</v>
      </c>
      <c r="X137" s="452">
        <f>'Haver Pivoted'!HI85</f>
        <v>3310.6</v>
      </c>
      <c r="Y137" s="452">
        <f>'Haver Pivoted'!HJ85</f>
        <v>3243.8</v>
      </c>
      <c r="Z137" s="452">
        <f>'Haver Pivoted'!HK85</f>
        <v>3343.4</v>
      </c>
      <c r="AA137" s="452">
        <f>'Haver Pivoted'!HL85</f>
        <v>3342.6</v>
      </c>
      <c r="AB137" s="452">
        <f>'Haver Pivoted'!HM85</f>
        <v>3446.9</v>
      </c>
      <c r="AC137" s="452">
        <f>'Haver Pivoted'!HN85</f>
        <v>3437</v>
      </c>
      <c r="AD137" s="452">
        <f>'Haver Pivoted'!HO85</f>
        <v>3458.2</v>
      </c>
      <c r="AE137" s="452">
        <f>'Haver Pivoted'!HP85</f>
        <v>3583.3</v>
      </c>
      <c r="AF137" s="452">
        <f>'Haver Pivoted'!HQ85</f>
        <v>0</v>
      </c>
      <c r="AG137" s="247"/>
      <c r="AH137" s="247"/>
      <c r="AI137" s="247"/>
      <c r="AJ137" s="247"/>
      <c r="AK137" s="247"/>
      <c r="AL137" s="247"/>
      <c r="AM137" s="247"/>
      <c r="AN137" s="247"/>
    </row>
    <row r="138" spans="4:40" x14ac:dyDescent="0.35">
      <c r="D138" s="401" t="s">
        <v>479</v>
      </c>
      <c r="F138" s="392"/>
      <c r="G138" s="265"/>
      <c r="H138" s="265"/>
      <c r="I138" s="265"/>
      <c r="J138" s="265"/>
      <c r="K138" s="265"/>
      <c r="L138" s="265"/>
      <c r="M138" s="265"/>
      <c r="N138" s="265"/>
      <c r="O138" s="265"/>
      <c r="P138" s="265"/>
      <c r="Q138" s="265"/>
      <c r="R138" s="265"/>
      <c r="S138" s="265"/>
      <c r="T138" s="265"/>
      <c r="U138" s="265"/>
      <c r="V138" s="265"/>
      <c r="W138" s="265"/>
      <c r="X138" s="265"/>
      <c r="Y138" s="265"/>
      <c r="Z138" s="265"/>
      <c r="AA138" s="265"/>
      <c r="AB138" s="265"/>
      <c r="AC138" s="265"/>
      <c r="AD138" s="265"/>
      <c r="AE138" s="265"/>
      <c r="AF138" s="265"/>
      <c r="AG138" s="265"/>
      <c r="AH138" s="265"/>
      <c r="AI138" s="265"/>
      <c r="AJ138" s="265"/>
      <c r="AK138" s="265"/>
      <c r="AL138" s="265"/>
      <c r="AM138" s="265"/>
      <c r="AN138" s="265"/>
    </row>
    <row r="139" spans="4:40" x14ac:dyDescent="0.35">
      <c r="D139" s="1050" t="s">
        <v>449</v>
      </c>
      <c r="F139" s="1026">
        <f t="shared" ref="F139:AE139" si="71">F26/F130</f>
        <v>3.670955208815823E-2</v>
      </c>
      <c r="G139" s="1047">
        <f t="shared" si="71"/>
        <v>3.4027243765791498E-2</v>
      </c>
      <c r="H139" s="1047">
        <f t="shared" si="71"/>
        <v>3.3265006923139578E-2</v>
      </c>
      <c r="I139" s="1047">
        <f t="shared" si="71"/>
        <v>3.3413128555482327E-2</v>
      </c>
      <c r="J139" s="1047">
        <f t="shared" si="71"/>
        <v>3.4941811158859457E-2</v>
      </c>
      <c r="K139" s="1047">
        <f t="shared" si="71"/>
        <v>3.4815893770536226E-2</v>
      </c>
      <c r="L139" s="1047">
        <f t="shared" si="71"/>
        <v>3.4698678020447321E-2</v>
      </c>
      <c r="M139" s="1047">
        <f t="shared" si="71"/>
        <v>3.5677490004989411E-2</v>
      </c>
      <c r="N139" s="1047">
        <f t="shared" si="71"/>
        <v>3.5819945324495374E-2</v>
      </c>
      <c r="O139" s="1047">
        <f t="shared" si="71"/>
        <v>3.4418479982455716E-2</v>
      </c>
      <c r="P139" s="1047">
        <f t="shared" si="71"/>
        <v>3.5252364052116333E-2</v>
      </c>
      <c r="Q139" s="1047">
        <f t="shared" si="71"/>
        <v>3.9136254547813221E-2</v>
      </c>
      <c r="R139" s="1047">
        <f t="shared" si="71"/>
        <v>4.0537004843276686E-2</v>
      </c>
      <c r="S139" s="1045">
        <f t="shared" si="71"/>
        <v>3.3850549624985113E-2</v>
      </c>
      <c r="T139" s="1045">
        <f t="shared" si="71"/>
        <v>3.3227183944391898E-2</v>
      </c>
      <c r="U139" s="1023">
        <f t="shared" si="71"/>
        <v>3.0675788273472792E-2</v>
      </c>
      <c r="V139" s="1023">
        <f t="shared" si="71"/>
        <v>2.9539413740490936E-2</v>
      </c>
      <c r="W139" s="1023">
        <f t="shared" si="71"/>
        <v>2.9663988778372861E-2</v>
      </c>
      <c r="X139" s="1023">
        <f t="shared" si="71"/>
        <v>2.9488804836394499E-2</v>
      </c>
      <c r="Y139" s="1023">
        <f t="shared" si="71"/>
        <v>2.8960562361089574E-2</v>
      </c>
      <c r="Z139" s="1023">
        <f t="shared" si="71"/>
        <v>2.9312000653875226E-2</v>
      </c>
      <c r="AA139" s="1023">
        <f t="shared" si="71"/>
        <v>3.0185409456439674E-2</v>
      </c>
      <c r="AB139" s="1023">
        <f t="shared" si="71"/>
        <v>3.0557363914066805E-2</v>
      </c>
      <c r="AC139" s="1023">
        <f t="shared" si="71"/>
        <v>3.0440715507608945E-2</v>
      </c>
      <c r="AD139" s="1023">
        <f t="shared" si="71"/>
        <v>3.0965239180627276E-2</v>
      </c>
      <c r="AE139" s="1023">
        <f t="shared" si="71"/>
        <v>3.1239453566345318E-2</v>
      </c>
      <c r="AF139" s="1023">
        <f t="shared" ref="AF139" si="72">AF26/AF130</f>
        <v>3.1889222821574748E-2</v>
      </c>
      <c r="AG139" s="1046">
        <f>AF139</f>
        <v>3.1889222821574748E-2</v>
      </c>
      <c r="AH139" s="1046">
        <f t="shared" ref="AH139:AN142" si="73">AG139</f>
        <v>3.1889222821574748E-2</v>
      </c>
      <c r="AI139" s="1046">
        <f t="shared" si="73"/>
        <v>3.1889222821574748E-2</v>
      </c>
      <c r="AJ139" s="1046">
        <f t="shared" si="73"/>
        <v>3.1889222821574748E-2</v>
      </c>
      <c r="AK139" s="1046">
        <f t="shared" si="73"/>
        <v>3.1889222821574748E-2</v>
      </c>
      <c r="AL139" s="1046">
        <f t="shared" si="73"/>
        <v>3.1889222821574748E-2</v>
      </c>
      <c r="AM139" s="1046">
        <f t="shared" si="73"/>
        <v>3.1889222821574748E-2</v>
      </c>
      <c r="AN139" s="1046">
        <f t="shared" si="73"/>
        <v>3.1889222821574748E-2</v>
      </c>
    </row>
    <row r="140" spans="4:40" x14ac:dyDescent="0.35">
      <c r="D140" s="1050" t="s">
        <v>446</v>
      </c>
      <c r="F140" s="1026">
        <f t="shared" ref="F140:AE140" si="74">F28/F135</f>
        <v>2.2401723209477652E-3</v>
      </c>
      <c r="G140" s="1047">
        <f t="shared" si="74"/>
        <v>2.2053313349748422E-3</v>
      </c>
      <c r="H140" s="1047">
        <f t="shared" si="74"/>
        <v>2.1604417839979767E-3</v>
      </c>
      <c r="I140" s="1047">
        <f t="shared" si="74"/>
        <v>2.106552103438972E-3</v>
      </c>
      <c r="J140" s="1047">
        <f t="shared" si="74"/>
        <v>2.1433013503909027E-3</v>
      </c>
      <c r="K140" s="1047">
        <f t="shared" si="74"/>
        <v>2.1077159349679603E-3</v>
      </c>
      <c r="L140" s="1047">
        <f t="shared" si="74"/>
        <v>2.100133552182202E-3</v>
      </c>
      <c r="M140" s="1047">
        <f t="shared" si="74"/>
        <v>2.1438178159350384E-3</v>
      </c>
      <c r="N140" s="1047">
        <f t="shared" si="74"/>
        <v>2.1608242562344694E-3</v>
      </c>
      <c r="O140" s="1047">
        <f t="shared" si="74"/>
        <v>2.1696742621195903E-3</v>
      </c>
      <c r="P140" s="1047">
        <f t="shared" si="74"/>
        <v>2.1537318975120684E-3</v>
      </c>
      <c r="Q140" s="1047">
        <f t="shared" si="74"/>
        <v>2.1538884560744235E-3</v>
      </c>
      <c r="R140" s="1047">
        <f t="shared" si="74"/>
        <v>2.1337836978925482E-3</v>
      </c>
      <c r="S140" s="1045">
        <f t="shared" si="74"/>
        <v>2.0624944675577588E-3</v>
      </c>
      <c r="T140" s="1045">
        <f t="shared" si="74"/>
        <v>1.98314765195318E-3</v>
      </c>
      <c r="U140" s="1023">
        <f t="shared" si="74"/>
        <v>1.8869893389450252E-3</v>
      </c>
      <c r="V140" s="1023">
        <f t="shared" si="74"/>
        <v>1.8349095835441191E-3</v>
      </c>
      <c r="W140" s="1023">
        <f t="shared" si="74"/>
        <v>1.8554127449988192E-3</v>
      </c>
      <c r="X140" s="1023">
        <f t="shared" si="74"/>
        <v>1.9343166109438965E-3</v>
      </c>
      <c r="Y140" s="1023">
        <f t="shared" si="74"/>
        <v>2.054130445499811E-3</v>
      </c>
      <c r="Z140" s="1023">
        <f t="shared" si="74"/>
        <v>2.1557487985347391E-3</v>
      </c>
      <c r="AA140" s="1023">
        <f t="shared" si="74"/>
        <v>2.2113612691290765E-3</v>
      </c>
      <c r="AB140" s="1023">
        <f t="shared" si="74"/>
        <v>2.2372779521396442E-3</v>
      </c>
      <c r="AC140" s="1023">
        <f t="shared" si="74"/>
        <v>2.2323867805235965E-3</v>
      </c>
      <c r="AD140" s="1023">
        <f t="shared" si="74"/>
        <v>2.2510284871536134E-3</v>
      </c>
      <c r="AE140" s="1023">
        <f t="shared" si="74"/>
        <v>2.2700514801505161E-3</v>
      </c>
      <c r="AF140" s="1023">
        <f t="shared" ref="AF140" si="75">AF28/AF135</f>
        <v>2.3070070580710985E-3</v>
      </c>
      <c r="AG140" s="1046">
        <f>AF140</f>
        <v>2.3070070580710985E-3</v>
      </c>
      <c r="AH140" s="1046">
        <f t="shared" si="73"/>
        <v>2.3070070580710985E-3</v>
      </c>
      <c r="AI140" s="1046">
        <f t="shared" si="73"/>
        <v>2.3070070580710985E-3</v>
      </c>
      <c r="AJ140" s="1046">
        <f t="shared" si="73"/>
        <v>2.3070070580710985E-3</v>
      </c>
      <c r="AK140" s="1046">
        <f t="shared" si="73"/>
        <v>2.3070070580710985E-3</v>
      </c>
      <c r="AL140" s="1046">
        <f t="shared" si="73"/>
        <v>2.3070070580710985E-3</v>
      </c>
      <c r="AM140" s="1046">
        <f t="shared" si="73"/>
        <v>2.3070070580710985E-3</v>
      </c>
      <c r="AN140" s="1046">
        <f t="shared" si="73"/>
        <v>2.3070070580710985E-3</v>
      </c>
    </row>
    <row r="141" spans="4:40" x14ac:dyDescent="0.35">
      <c r="D141" s="1050" t="s">
        <v>447</v>
      </c>
      <c r="F141" s="1026">
        <f t="shared" ref="F141:AE141" si="76">F29/F136</f>
        <v>9.414174918296668E-2</v>
      </c>
      <c r="G141" s="1047">
        <f t="shared" si="76"/>
        <v>9.4636486737282019E-2</v>
      </c>
      <c r="H141" s="1047">
        <f t="shared" si="76"/>
        <v>9.343582069246989E-2</v>
      </c>
      <c r="I141" s="1047">
        <f t="shared" si="76"/>
        <v>9.458667457302232E-2</v>
      </c>
      <c r="J141" s="1047">
        <f t="shared" si="76"/>
        <v>9.761773021154678E-2</v>
      </c>
      <c r="K141" s="1047">
        <f t="shared" si="76"/>
        <v>9.6048124205757229E-2</v>
      </c>
      <c r="L141" s="1047">
        <f t="shared" si="76"/>
        <v>9.5811468630083121E-2</v>
      </c>
      <c r="M141" s="1047">
        <f t="shared" si="76"/>
        <v>9.4425580450201246E-2</v>
      </c>
      <c r="N141" s="1047">
        <f t="shared" si="76"/>
        <v>9.5042302028999964E-2</v>
      </c>
      <c r="O141" s="1047">
        <f t="shared" si="76"/>
        <v>9.3793305536393437E-2</v>
      </c>
      <c r="P141" s="1047">
        <f t="shared" si="76"/>
        <v>9.383883437407077E-2</v>
      </c>
      <c r="Q141" s="1047">
        <f t="shared" si="76"/>
        <v>9.318910723657356E-2</v>
      </c>
      <c r="R141" s="1047">
        <f t="shared" si="76"/>
        <v>9.272659116467688E-2</v>
      </c>
      <c r="S141" s="1045">
        <f t="shared" si="76"/>
        <v>9.2231083490283972E-2</v>
      </c>
      <c r="T141" s="1045">
        <f t="shared" si="76"/>
        <v>9.1097319920050351E-2</v>
      </c>
      <c r="U141" s="1023">
        <f t="shared" si="76"/>
        <v>9.0020014063936823E-2</v>
      </c>
      <c r="V141" s="1023">
        <f t="shared" si="76"/>
        <v>8.9166590881127272E-2</v>
      </c>
      <c r="W141" s="1023">
        <f t="shared" si="76"/>
        <v>8.9126559714795009E-2</v>
      </c>
      <c r="X141" s="1023">
        <f t="shared" si="76"/>
        <v>8.9366669098412774E-2</v>
      </c>
      <c r="Y141" s="1023">
        <f t="shared" si="76"/>
        <v>8.9498966251452913E-2</v>
      </c>
      <c r="Z141" s="1023">
        <f t="shared" si="76"/>
        <v>8.9248384043409387E-2</v>
      </c>
      <c r="AA141" s="1023">
        <f t="shared" si="76"/>
        <v>8.8694540952837353E-2</v>
      </c>
      <c r="AB141" s="1023">
        <f t="shared" si="76"/>
        <v>8.8353078181737779E-2</v>
      </c>
      <c r="AC141" s="1023">
        <f t="shared" si="76"/>
        <v>8.8338603746047184E-2</v>
      </c>
      <c r="AD141" s="1023">
        <f t="shared" si="76"/>
        <v>8.8143762115257887E-2</v>
      </c>
      <c r="AE141" s="1023">
        <f t="shared" si="76"/>
        <v>8.7886998370533181E-2</v>
      </c>
      <c r="AF141" s="1023">
        <f t="shared" ref="AF141" si="77">AF29/AF136</f>
        <v>8.7776390661747861E-2</v>
      </c>
      <c r="AG141" s="1046">
        <f t="shared" ref="AG141" si="78">AF141</f>
        <v>8.7776390661747861E-2</v>
      </c>
      <c r="AH141" s="1046">
        <f t="shared" si="73"/>
        <v>8.7776390661747861E-2</v>
      </c>
      <c r="AI141" s="1046">
        <f t="shared" si="73"/>
        <v>8.7776390661747861E-2</v>
      </c>
      <c r="AJ141" s="1046">
        <f t="shared" si="73"/>
        <v>8.7776390661747861E-2</v>
      </c>
      <c r="AK141" s="1046">
        <f t="shared" si="73"/>
        <v>8.7776390661747861E-2</v>
      </c>
      <c r="AL141" s="1046">
        <f t="shared" si="73"/>
        <v>8.7776390661747861E-2</v>
      </c>
      <c r="AM141" s="1046">
        <f t="shared" si="73"/>
        <v>8.7776390661747861E-2</v>
      </c>
      <c r="AN141" s="1046">
        <f t="shared" si="73"/>
        <v>8.7776390661747861E-2</v>
      </c>
    </row>
    <row r="142" spans="4:40" x14ac:dyDescent="0.35">
      <c r="D142" s="1015" t="s">
        <v>480</v>
      </c>
      <c r="E142" s="468"/>
      <c r="F142" s="1018">
        <f t="shared" ref="F142:AE142" si="79">F30/F137</f>
        <v>4.028324154209284E-2</v>
      </c>
      <c r="G142" s="1019">
        <f t="shared" si="79"/>
        <v>3.7650525887912199E-2</v>
      </c>
      <c r="H142" s="1019">
        <f t="shared" si="79"/>
        <v>3.5093849840255591E-2</v>
      </c>
      <c r="I142" s="1019">
        <f t="shared" si="79"/>
        <v>3.6420992256954401E-2</v>
      </c>
      <c r="J142" s="1019">
        <f t="shared" si="79"/>
        <v>4.0941964018887098E-2</v>
      </c>
      <c r="K142" s="1019">
        <f t="shared" si="79"/>
        <v>3.4995925719432178E-2</v>
      </c>
      <c r="L142" s="1019">
        <f t="shared" si="79"/>
        <v>3.6944300089762371E-2</v>
      </c>
      <c r="M142" s="1019">
        <f t="shared" si="79"/>
        <v>3.3738526420243116E-2</v>
      </c>
      <c r="N142" s="1019">
        <f t="shared" si="79"/>
        <v>3.5935921489392411E-2</v>
      </c>
      <c r="O142" s="1019">
        <f t="shared" si="79"/>
        <v>4.4499604288078275E-2</v>
      </c>
      <c r="P142" s="1019">
        <f t="shared" si="79"/>
        <v>6.1463207145895371E-2</v>
      </c>
      <c r="Q142" s="1019">
        <f t="shared" si="79"/>
        <v>6.6707598959838188E-2</v>
      </c>
      <c r="R142" s="1024">
        <f t="shared" si="79"/>
        <v>5.6074766355140186E-2</v>
      </c>
      <c r="S142" s="1024">
        <f t="shared" si="79"/>
        <v>5.6454297317089411E-2</v>
      </c>
      <c r="T142" s="965">
        <f t="shared" si="79"/>
        <v>6.0657461749838867E-2</v>
      </c>
      <c r="U142" s="1048">
        <f t="shared" si="79"/>
        <v>5.6820780918150633E-2</v>
      </c>
      <c r="V142" s="1048">
        <f t="shared" si="79"/>
        <v>5.575209643605869E-2</v>
      </c>
      <c r="W142" s="1048">
        <f t="shared" si="79"/>
        <v>5.3439472265389615E-2</v>
      </c>
      <c r="X142" s="1048">
        <f t="shared" si="79"/>
        <v>5.2165770555186369E-2</v>
      </c>
      <c r="Y142" s="1048">
        <f t="shared" si="79"/>
        <v>5.3394167334607549E-2</v>
      </c>
      <c r="Z142" s="1048">
        <f t="shared" si="79"/>
        <v>5.1025901776634561E-2</v>
      </c>
      <c r="AA142" s="1048">
        <f t="shared" si="79"/>
        <v>5.0888529886914377E-2</v>
      </c>
      <c r="AB142" s="1048">
        <f t="shared" si="79"/>
        <v>5.0538164727726355E-2</v>
      </c>
      <c r="AC142" s="1048">
        <f t="shared" si="79"/>
        <v>5.3651440209485014E-2</v>
      </c>
      <c r="AD142" s="1048">
        <f t="shared" si="79"/>
        <v>5.2917702851194265E-2</v>
      </c>
      <c r="AE142" s="1048">
        <f t="shared" si="79"/>
        <v>4.6521362989423151E-2</v>
      </c>
      <c r="AF142" s="1046">
        <f>AE142</f>
        <v>4.6521362989423151E-2</v>
      </c>
      <c r="AG142" s="1046">
        <f>AF142</f>
        <v>4.6521362989423151E-2</v>
      </c>
      <c r="AH142" s="1046">
        <f t="shared" si="73"/>
        <v>4.6521362989423151E-2</v>
      </c>
      <c r="AI142" s="1046">
        <f t="shared" si="73"/>
        <v>4.6521362989423151E-2</v>
      </c>
      <c r="AJ142" s="1046">
        <f t="shared" si="73"/>
        <v>4.6521362989423151E-2</v>
      </c>
      <c r="AK142" s="1046">
        <f t="shared" si="73"/>
        <v>4.6521362989423151E-2</v>
      </c>
      <c r="AL142" s="1046">
        <f t="shared" si="73"/>
        <v>4.6521362989423151E-2</v>
      </c>
      <c r="AM142" s="1046">
        <f t="shared" si="73"/>
        <v>4.6521362989423151E-2</v>
      </c>
      <c r="AN142" s="1046">
        <f t="shared" si="73"/>
        <v>4.6521362989423151E-2</v>
      </c>
    </row>
    <row r="146" spans="4:29" x14ac:dyDescent="0.35">
      <c r="D146" s="1514" t="s">
        <v>1653</v>
      </c>
      <c r="E146" s="1514"/>
      <c r="F146" s="1514"/>
      <c r="G146" s="1514"/>
      <c r="H146" s="1514"/>
      <c r="I146" s="1514"/>
      <c r="J146" s="1514"/>
      <c r="K146" s="1514"/>
      <c r="L146" s="1514"/>
      <c r="M146" s="1514"/>
      <c r="N146" s="1514"/>
      <c r="O146" s="1514"/>
      <c r="P146" s="1514"/>
      <c r="Q146" s="1514"/>
      <c r="R146" s="1514"/>
      <c r="S146" s="1514"/>
      <c r="T146" s="1514"/>
      <c r="U146" s="1514"/>
      <c r="V146" s="1514"/>
      <c r="W146" s="1514"/>
      <c r="X146" s="1514"/>
      <c r="Y146" s="1514"/>
      <c r="Z146" s="1514"/>
      <c r="AA146" s="1514"/>
      <c r="AB146" s="1514"/>
      <c r="AC146" s="1514"/>
    </row>
    <row r="147" spans="4:29" x14ac:dyDescent="0.35">
      <c r="D147" s="998" t="s">
        <v>1647</v>
      </c>
      <c r="E147" s="285"/>
      <c r="F147" s="400"/>
      <c r="G147" s="400"/>
      <c r="H147" s="400"/>
      <c r="I147" s="400"/>
      <c r="J147" s="400"/>
      <c r="K147" s="400"/>
      <c r="L147" s="400"/>
      <c r="M147" s="400"/>
      <c r="N147" s="400"/>
      <c r="O147" s="400"/>
      <c r="P147" s="400"/>
      <c r="Q147" s="400"/>
      <c r="R147" s="400"/>
      <c r="S147" s="1021"/>
      <c r="T147" s="400"/>
      <c r="U147" s="257"/>
      <c r="V147" s="257"/>
      <c r="W147" s="257"/>
      <c r="X147" s="257"/>
      <c r="Y147" s="257"/>
      <c r="Z147" s="257"/>
      <c r="AA147" s="257"/>
      <c r="AB147" s="257"/>
      <c r="AC147" s="254"/>
    </row>
    <row r="148" spans="4:29" x14ac:dyDescent="0.35">
      <c r="D148" s="966" t="s">
        <v>474</v>
      </c>
      <c r="E148" s="967"/>
      <c r="F148" s="968"/>
      <c r="G148" s="968">
        <f>(G130/F130)^4-1</f>
        <v>2.7913001349364253E-2</v>
      </c>
      <c r="H148" s="968">
        <f t="shared" ref="H148:S148" si="80">(H130/G130)^4-1</f>
        <v>4.7056786044947341E-2</v>
      </c>
      <c r="I148" s="968">
        <f t="shared" si="80"/>
        <v>3.8051936788167096E-2</v>
      </c>
      <c r="J148" s="968">
        <f t="shared" si="80"/>
        <v>-0.20739190510676964</v>
      </c>
      <c r="K148" s="968">
        <f t="shared" si="80"/>
        <v>0.2244423790709198</v>
      </c>
      <c r="L148" s="968">
        <f t="shared" si="80"/>
        <v>0.1303389096118206</v>
      </c>
      <c r="M148" s="968">
        <f t="shared" si="80"/>
        <v>5.7194029157374704E-2</v>
      </c>
      <c r="N148" s="968">
        <f t="shared" si="80"/>
        <v>0.16165607755558908</v>
      </c>
      <c r="O148" s="968">
        <f t="shared" si="80"/>
        <v>0.10200057153332942</v>
      </c>
      <c r="P148" s="968">
        <f t="shared" si="80"/>
        <v>9.5233695872873669E-2</v>
      </c>
      <c r="Q148" s="968">
        <f t="shared" si="80"/>
        <v>4.0007303437983976E-2</v>
      </c>
      <c r="R148" s="968">
        <f t="shared" si="80"/>
        <v>5.791958247645268E-2</v>
      </c>
      <c r="S148" s="968">
        <f t="shared" si="80"/>
        <v>0.10637537198937319</v>
      </c>
      <c r="T148" s="969"/>
      <c r="U148" s="247"/>
      <c r="V148" s="247"/>
      <c r="W148" s="247"/>
      <c r="X148" s="247"/>
      <c r="Y148" s="247"/>
      <c r="Z148" s="247"/>
      <c r="AA148" s="247"/>
      <c r="AB148" s="247"/>
      <c r="AC148" s="248"/>
    </row>
    <row r="149" spans="4:29" x14ac:dyDescent="0.35">
      <c r="D149" s="970" t="s">
        <v>748</v>
      </c>
      <c r="E149" s="971"/>
      <c r="F149" s="968"/>
      <c r="G149" s="968">
        <f t="shared" ref="G149:S155" si="81">(G131/F131)^4-1</f>
        <v>2.4344066214849969E-2</v>
      </c>
      <c r="H149" s="968">
        <f t="shared" si="81"/>
        <v>6.4808926543423739E-2</v>
      </c>
      <c r="I149" s="968">
        <f t="shared" si="81"/>
        <v>6.3775927543532784E-2</v>
      </c>
      <c r="J149" s="968">
        <f t="shared" si="81"/>
        <v>-0.23756828092741555</v>
      </c>
      <c r="K149" s="968">
        <f t="shared" si="81"/>
        <v>0.20855857524533361</v>
      </c>
      <c r="L149" s="968">
        <f t="shared" si="81"/>
        <v>0.16497669658506031</v>
      </c>
      <c r="M149" s="968">
        <f t="shared" si="81"/>
        <v>3.3024716454245651E-2</v>
      </c>
      <c r="N149" s="968">
        <f t="shared" si="81"/>
        <v>0.12362397469645003</v>
      </c>
      <c r="O149" s="968">
        <f t="shared" si="81"/>
        <v>0.11509621639666689</v>
      </c>
      <c r="P149" s="968">
        <f t="shared" si="81"/>
        <v>0.12372514482875774</v>
      </c>
      <c r="Q149" s="968">
        <f t="shared" si="81"/>
        <v>5.2430039350033653E-2</v>
      </c>
      <c r="R149" s="968">
        <f t="shared" si="81"/>
        <v>3.8224476617268799E-2</v>
      </c>
      <c r="S149" s="968">
        <f t="shared" si="81"/>
        <v>0.10708925865024077</v>
      </c>
      <c r="T149" s="969"/>
      <c r="U149" s="247"/>
      <c r="V149" s="247"/>
      <c r="W149" s="247"/>
      <c r="X149" s="247"/>
      <c r="Y149" s="247"/>
      <c r="Z149" s="247"/>
      <c r="AA149" s="247"/>
      <c r="AB149" s="247"/>
      <c r="AC149" s="248"/>
    </row>
    <row r="150" spans="4:29" x14ac:dyDescent="0.35">
      <c r="D150" s="970" t="s">
        <v>475</v>
      </c>
      <c r="E150" s="971"/>
      <c r="F150" s="968"/>
      <c r="G150" s="968">
        <f t="shared" si="81"/>
        <v>9.5170520378034862E-2</v>
      </c>
      <c r="H150" s="968">
        <f t="shared" si="81"/>
        <v>3.0386715102811657E-2</v>
      </c>
      <c r="I150" s="968">
        <f t="shared" si="81"/>
        <v>1.7703027313564768E-3</v>
      </c>
      <c r="J150" s="968">
        <f t="shared" si="81"/>
        <v>-0.3356849730909669</v>
      </c>
      <c r="K150" s="968">
        <f t="shared" si="81"/>
        <v>1.0509675199920907</v>
      </c>
      <c r="L150" s="968">
        <f t="shared" si="81"/>
        <v>-8.2213976413022638E-2</v>
      </c>
      <c r="M150" s="968">
        <f t="shared" si="81"/>
        <v>6.2073171040291086E-2</v>
      </c>
      <c r="N150" s="968">
        <f t="shared" si="81"/>
        <v>0.39978839992481441</v>
      </c>
      <c r="O150" s="968">
        <f t="shared" si="81"/>
        <v>4.7331788686077791E-2</v>
      </c>
      <c r="P150" s="968">
        <f t="shared" si="81"/>
        <v>-3.1277292254130451E-2</v>
      </c>
      <c r="Q150" s="968">
        <f t="shared" si="81"/>
        <v>-4.1585772607082738E-2</v>
      </c>
      <c r="R150" s="968">
        <f t="shared" si="81"/>
        <v>2.9737752261594474E-2</v>
      </c>
      <c r="S150" s="968">
        <f t="shared" si="81"/>
        <v>8.843487685029161E-2</v>
      </c>
      <c r="T150" s="969"/>
      <c r="U150" s="247"/>
      <c r="V150" s="247"/>
      <c r="W150" s="247"/>
      <c r="X150" s="247"/>
      <c r="Y150" s="247"/>
      <c r="Z150" s="247"/>
      <c r="AA150" s="247"/>
      <c r="AB150" s="247"/>
      <c r="AC150" s="248"/>
    </row>
    <row r="151" spans="4:29" x14ac:dyDescent="0.35">
      <c r="D151" s="970" t="s">
        <v>476</v>
      </c>
      <c r="E151" s="971"/>
      <c r="F151" s="968"/>
      <c r="G151" s="968">
        <f t="shared" si="81"/>
        <v>4.4060751620176752E-2</v>
      </c>
      <c r="H151" s="968">
        <f t="shared" si="81"/>
        <v>9.6622128532301677E-2</v>
      </c>
      <c r="I151" s="968">
        <f t="shared" si="81"/>
        <v>0.13613467539727431</v>
      </c>
      <c r="J151" s="968">
        <f t="shared" si="81"/>
        <v>3.8954701049413121E-2</v>
      </c>
      <c r="K151" s="968">
        <f t="shared" si="81"/>
        <v>9.1547814973823805E-2</v>
      </c>
      <c r="L151" s="968">
        <f t="shared" si="81"/>
        <v>1.7118776820983284E-2</v>
      </c>
      <c r="M151" s="968">
        <f t="shared" si="81"/>
        <v>-6.8633020493281682E-3</v>
      </c>
      <c r="N151" s="968">
        <f t="shared" si="81"/>
        <v>8.5315940617201047E-2</v>
      </c>
      <c r="O151" s="968">
        <f t="shared" si="81"/>
        <v>6.7078755396489553E-2</v>
      </c>
      <c r="P151" s="968">
        <f t="shared" si="81"/>
        <v>9.1398651624003957E-2</v>
      </c>
      <c r="Q151" s="968">
        <f t="shared" si="81"/>
        <v>9.6842257828838152E-2</v>
      </c>
      <c r="R151" s="968">
        <f t="shared" si="81"/>
        <v>0.22043497653146304</v>
      </c>
      <c r="S151" s="968">
        <f t="shared" si="81"/>
        <v>0.1305363369278012</v>
      </c>
      <c r="T151" s="969"/>
      <c r="U151" s="247"/>
      <c r="V151" s="247"/>
      <c r="W151" s="247"/>
      <c r="X151" s="247"/>
      <c r="Y151" s="247"/>
      <c r="Z151" s="247"/>
      <c r="AA151" s="247"/>
      <c r="AB151" s="247"/>
      <c r="AC151" s="248"/>
    </row>
    <row r="152" spans="4:29" x14ac:dyDescent="0.35">
      <c r="D152" s="970" t="s">
        <v>477</v>
      </c>
      <c r="E152" s="971"/>
      <c r="F152" s="968"/>
      <c r="G152" s="968">
        <f t="shared" si="81"/>
        <v>1.6217856588427448E-3</v>
      </c>
      <c r="H152" s="968">
        <f t="shared" si="81"/>
        <v>-9.8195076585786412E-3</v>
      </c>
      <c r="I152" s="968">
        <f t="shared" si="81"/>
        <v>-4.4183177856190636E-2</v>
      </c>
      <c r="J152" s="968">
        <f t="shared" si="81"/>
        <v>-8.0663409946468811E-2</v>
      </c>
      <c r="K152" s="968">
        <f t="shared" si="81"/>
        <v>-7.805384683529093E-3</v>
      </c>
      <c r="L152" s="968">
        <f t="shared" si="81"/>
        <v>0.18659805306579469</v>
      </c>
      <c r="M152" s="968">
        <f t="shared" si="81"/>
        <v>0.15450079755868118</v>
      </c>
      <c r="N152" s="968">
        <f t="shared" si="81"/>
        <v>0.18216321292460647</v>
      </c>
      <c r="O152" s="968">
        <f t="shared" si="81"/>
        <v>0.10122122504116104</v>
      </c>
      <c r="P152" s="968">
        <f t="shared" si="81"/>
        <v>8.1784043249750082E-2</v>
      </c>
      <c r="Q152" s="968">
        <f t="shared" si="81"/>
        <v>3.3572614427288761E-2</v>
      </c>
      <c r="R152" s="968">
        <f t="shared" si="81"/>
        <v>0.10059234887772717</v>
      </c>
      <c r="S152" s="968">
        <f t="shared" si="81"/>
        <v>0.10778699227577726</v>
      </c>
      <c r="T152" s="969"/>
      <c r="U152" s="247"/>
      <c r="V152" s="247"/>
      <c r="W152" s="247"/>
      <c r="X152" s="247"/>
      <c r="Y152" s="247"/>
      <c r="Z152" s="247"/>
      <c r="AA152" s="247"/>
      <c r="AB152" s="247"/>
      <c r="AC152" s="248"/>
    </row>
    <row r="153" spans="4:29" x14ac:dyDescent="0.35">
      <c r="D153" s="966" t="s">
        <v>464</v>
      </c>
      <c r="E153" s="967"/>
      <c r="F153" s="968"/>
      <c r="G153" s="968">
        <f t="shared" si="81"/>
        <v>2.4344066214849969E-2</v>
      </c>
      <c r="H153" s="968">
        <f t="shared" si="81"/>
        <v>6.4808926543423739E-2</v>
      </c>
      <c r="I153" s="968">
        <f t="shared" si="81"/>
        <v>6.3775927543532784E-2</v>
      </c>
      <c r="J153" s="968">
        <f t="shared" si="81"/>
        <v>-0.23756828092741555</v>
      </c>
      <c r="K153" s="968">
        <f t="shared" si="81"/>
        <v>0.20855857524533361</v>
      </c>
      <c r="L153" s="968">
        <f t="shared" si="81"/>
        <v>0.16497669658506031</v>
      </c>
      <c r="M153" s="968">
        <f t="shared" si="81"/>
        <v>3.3024716454245651E-2</v>
      </c>
      <c r="N153" s="968">
        <f t="shared" si="81"/>
        <v>0.12362397469645003</v>
      </c>
      <c r="O153" s="968">
        <f t="shared" si="81"/>
        <v>0.11509621639666689</v>
      </c>
      <c r="P153" s="968">
        <f t="shared" si="81"/>
        <v>0.12372514482875774</v>
      </c>
      <c r="Q153" s="968">
        <f t="shared" si="81"/>
        <v>5.2430039350033653E-2</v>
      </c>
      <c r="R153" s="968">
        <f t="shared" si="81"/>
        <v>3.8224476617268799E-2</v>
      </c>
      <c r="S153" s="968">
        <f t="shared" si="81"/>
        <v>0.10708925865024077</v>
      </c>
      <c r="T153" s="969"/>
      <c r="U153" s="247"/>
      <c r="V153" s="247"/>
      <c r="W153" s="247"/>
      <c r="X153" s="247"/>
      <c r="Y153" s="247"/>
      <c r="Z153" s="247"/>
      <c r="AA153" s="247"/>
      <c r="AB153" s="247"/>
      <c r="AC153" s="248"/>
    </row>
    <row r="154" spans="4:29" x14ac:dyDescent="0.35">
      <c r="D154" s="966" t="s">
        <v>465</v>
      </c>
      <c r="E154" s="971"/>
      <c r="F154" s="968"/>
      <c r="G154" s="968">
        <f t="shared" si="81"/>
        <v>5.6225503215933115E-2</v>
      </c>
      <c r="H154" s="968">
        <f t="shared" si="81"/>
        <v>4.2649929393125507E-2</v>
      </c>
      <c r="I154" s="968">
        <f t="shared" si="81"/>
        <v>-5.2769102927969436E-2</v>
      </c>
      <c r="J154" s="968">
        <f t="shared" si="81"/>
        <v>-0.31518953937074856</v>
      </c>
      <c r="K154" s="968">
        <f t="shared" si="81"/>
        <v>0.45065626029776107</v>
      </c>
      <c r="L154" s="968">
        <f t="shared" si="81"/>
        <v>7.6877388443889805E-2</v>
      </c>
      <c r="M154" s="968">
        <f t="shared" si="81"/>
        <v>0.14432627928306685</v>
      </c>
      <c r="N154" s="968">
        <f t="shared" si="81"/>
        <v>0.2183710840574129</v>
      </c>
      <c r="O154" s="968">
        <f t="shared" si="81"/>
        <v>9.1078117112424195E-2</v>
      </c>
      <c r="P154" s="968">
        <f t="shared" si="81"/>
        <v>0.11034428128211049</v>
      </c>
      <c r="Q154" s="968">
        <f t="shared" si="81"/>
        <v>8.1851657477481465E-2</v>
      </c>
      <c r="R154" s="968">
        <f t="shared" si="81"/>
        <v>0.11108373349601819</v>
      </c>
      <c r="S154" s="968">
        <f t="shared" si="81"/>
        <v>6.669526070653653E-2</v>
      </c>
      <c r="T154" s="969"/>
      <c r="U154" s="247"/>
      <c r="V154" s="247"/>
      <c r="W154" s="247"/>
      <c r="X154" s="247"/>
      <c r="Y154" s="247"/>
      <c r="Z154" s="247"/>
      <c r="AA154" s="247"/>
      <c r="AB154" s="247"/>
      <c r="AC154" s="248"/>
    </row>
    <row r="155" spans="4:29" x14ac:dyDescent="0.35">
      <c r="D155" s="972" t="s">
        <v>478</v>
      </c>
      <c r="E155" s="995"/>
      <c r="F155" s="996"/>
      <c r="G155" s="996">
        <f t="shared" si="81"/>
        <v>0.13564189817892713</v>
      </c>
      <c r="H155" s="996">
        <f t="shared" si="81"/>
        <v>7.3269037673770798E-2</v>
      </c>
      <c r="I155" s="996">
        <f t="shared" si="81"/>
        <v>-0.42616033971107714</v>
      </c>
      <c r="J155" s="996">
        <f t="shared" si="81"/>
        <v>-0.1519923111645074</v>
      </c>
      <c r="K155" s="996">
        <f t="shared" si="81"/>
        <v>2.7722728159712235</v>
      </c>
      <c r="L155" s="996">
        <f t="shared" si="81"/>
        <v>-0.3208799565110998</v>
      </c>
      <c r="M155" s="996">
        <f t="shared" si="81"/>
        <v>0.70458614812577447</v>
      </c>
      <c r="N155" s="996">
        <f t="shared" si="81"/>
        <v>0.72451118896038591</v>
      </c>
      <c r="O155" s="996">
        <f t="shared" si="81"/>
        <v>1.1886942360848751E-2</v>
      </c>
      <c r="P155" s="996">
        <f t="shared" si="81"/>
        <v>6.0916730790548046E-2</v>
      </c>
      <c r="Q155" s="996">
        <f t="shared" si="81"/>
        <v>-7.2250253285111588E-2</v>
      </c>
      <c r="R155" s="996">
        <f t="shared" si="81"/>
        <v>0.25710344596791712</v>
      </c>
      <c r="S155" s="996">
        <f t="shared" si="81"/>
        <v>0.10249849452981286</v>
      </c>
      <c r="T155" s="997"/>
      <c r="U155" s="270"/>
      <c r="V155" s="270"/>
      <c r="W155" s="270"/>
      <c r="X155" s="270"/>
      <c r="Y155" s="270"/>
      <c r="Z155" s="270"/>
      <c r="AA155" s="270"/>
      <c r="AB155" s="270"/>
      <c r="AC155" s="276"/>
    </row>
    <row r="158" spans="4:29" ht="14.9" customHeight="1" x14ac:dyDescent="0.35"/>
  </sheetData>
  <mergeCells count="44">
    <mergeCell ref="D122:E122"/>
    <mergeCell ref="D146:AC146"/>
    <mergeCell ref="AK110:AN110"/>
    <mergeCell ref="D120:E121"/>
    <mergeCell ref="F120:H120"/>
    <mergeCell ref="I120:L120"/>
    <mergeCell ref="M120:P120"/>
    <mergeCell ref="Q120:T120"/>
    <mergeCell ref="Y120:AB120"/>
    <mergeCell ref="AC120:AF120"/>
    <mergeCell ref="AG120:AJ120"/>
    <mergeCell ref="AK120:AN120"/>
    <mergeCell ref="AC110:AF110"/>
    <mergeCell ref="AG110:AJ110"/>
    <mergeCell ref="P78:S78"/>
    <mergeCell ref="D110:E111"/>
    <mergeCell ref="F110:H110"/>
    <mergeCell ref="I110:L110"/>
    <mergeCell ref="M110:P110"/>
    <mergeCell ref="Q110:T110"/>
    <mergeCell ref="D36:F36"/>
    <mergeCell ref="F48:V48"/>
    <mergeCell ref="W48:AH48"/>
    <mergeCell ref="AG49:AJ49"/>
    <mergeCell ref="O77:V77"/>
    <mergeCell ref="AC49:AF49"/>
    <mergeCell ref="F49:H49"/>
    <mergeCell ref="I49:L49"/>
    <mergeCell ref="M49:P49"/>
    <mergeCell ref="Q49:T49"/>
    <mergeCell ref="Y49:AB49"/>
    <mergeCell ref="AG6:AJ6"/>
    <mergeCell ref="AK6:AN6"/>
    <mergeCell ref="Y6:AB6"/>
    <mergeCell ref="AG5:AN5"/>
    <mergeCell ref="D1:AC1"/>
    <mergeCell ref="D5:E7"/>
    <mergeCell ref="F5:AB5"/>
    <mergeCell ref="F6:H6"/>
    <mergeCell ref="I6:L6"/>
    <mergeCell ref="M6:P6"/>
    <mergeCell ref="Q6:T6"/>
    <mergeCell ref="U6:X6"/>
    <mergeCell ref="AC6:AF6"/>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95" t="s">
        <v>428</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row>
    <row r="2" spans="1:29" ht="34.5" hidden="1" customHeight="1" outlineLevel="1" x14ac:dyDescent="0.35">
      <c r="B2" s="1426" t="s">
        <v>817</v>
      </c>
      <c r="C2" s="1388"/>
      <c r="D2" s="1388"/>
      <c r="E2" s="1388"/>
      <c r="F2" s="1388"/>
      <c r="G2" s="1388"/>
      <c r="H2" s="1388"/>
      <c r="I2" s="1388"/>
      <c r="J2" s="1388"/>
      <c r="K2" s="1388"/>
      <c r="L2" s="1388"/>
      <c r="M2" s="1388"/>
      <c r="N2" s="1388"/>
      <c r="O2" s="1388"/>
      <c r="P2" s="1388"/>
      <c r="Q2" s="1388"/>
      <c r="R2" s="1388"/>
      <c r="S2" s="1388"/>
      <c r="T2" s="1388"/>
      <c r="U2" s="1388"/>
      <c r="V2" s="1388"/>
      <c r="W2" s="1388"/>
      <c r="X2" s="1388"/>
      <c r="Y2" s="1388"/>
      <c r="Z2" s="1388"/>
      <c r="AA2" s="1388"/>
      <c r="AB2" s="1388"/>
      <c r="AC2" s="1388"/>
    </row>
    <row r="3" spans="1:29" ht="3" hidden="1" customHeight="1" outlineLevel="1" x14ac:dyDescent="0.35">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c r="AA3" s="1388"/>
      <c r="AB3" s="1388"/>
      <c r="AC3" s="1388"/>
    </row>
    <row r="4" spans="1:29" ht="10.4" hidden="1" customHeight="1" outlineLevel="1" x14ac:dyDescent="0.35">
      <c r="B4" s="1388"/>
      <c r="C4" s="1388"/>
      <c r="D4" s="1388"/>
      <c r="E4" s="1388"/>
      <c r="F4" s="1388"/>
      <c r="G4" s="1388"/>
      <c r="H4" s="1388"/>
      <c r="I4" s="1388"/>
      <c r="J4" s="1388"/>
      <c r="K4" s="1388"/>
      <c r="L4" s="1388"/>
      <c r="M4" s="1388"/>
      <c r="N4" s="1388"/>
      <c r="O4" s="1388"/>
      <c r="P4" s="1388"/>
      <c r="Q4" s="1388"/>
      <c r="R4" s="1388"/>
      <c r="S4" s="1388"/>
      <c r="T4" s="1388"/>
      <c r="U4" s="1388"/>
      <c r="V4" s="1388"/>
      <c r="W4" s="1388"/>
      <c r="X4" s="1388"/>
      <c r="Y4" s="1388"/>
      <c r="Z4" s="1388"/>
      <c r="AA4" s="1388"/>
      <c r="AB4" s="1388"/>
      <c r="AC4" s="1388"/>
    </row>
    <row r="5" spans="1:29" ht="14.25" hidden="1" customHeight="1" outlineLevel="1" x14ac:dyDescent="0.35">
      <c r="B5" s="1388"/>
      <c r="C5" s="1388"/>
      <c r="D5" s="1388"/>
      <c r="E5" s="1388"/>
      <c r="F5" s="1388"/>
      <c r="G5" s="1388"/>
      <c r="H5" s="1388"/>
      <c r="I5" s="1388"/>
      <c r="J5" s="1388"/>
      <c r="K5" s="1388"/>
      <c r="L5" s="1388"/>
      <c r="M5" s="1388"/>
      <c r="N5" s="1388"/>
      <c r="O5" s="1388"/>
      <c r="P5" s="1388"/>
      <c r="Q5" s="1388"/>
      <c r="R5" s="1388"/>
      <c r="S5" s="1388"/>
      <c r="T5" s="1388"/>
      <c r="U5" s="1388"/>
      <c r="V5" s="1388"/>
      <c r="W5" s="1388"/>
      <c r="X5" s="1388"/>
      <c r="Y5" s="1388"/>
      <c r="Z5" s="1388"/>
      <c r="AA5" s="1388"/>
      <c r="AB5" s="1388"/>
      <c r="AC5" s="1388"/>
    </row>
    <row r="6" spans="1:29" ht="14.25" hidden="1" customHeight="1" outlineLevel="1" x14ac:dyDescent="0.35">
      <c r="B6" s="1388"/>
      <c r="C6" s="1388"/>
      <c r="D6" s="1388"/>
      <c r="E6" s="1388"/>
      <c r="F6" s="1388"/>
      <c r="G6" s="1388"/>
      <c r="H6" s="1388"/>
      <c r="I6" s="1388"/>
      <c r="J6" s="1388"/>
      <c r="K6" s="1388"/>
      <c r="L6" s="1388"/>
      <c r="M6" s="1388"/>
      <c r="N6" s="1388"/>
      <c r="O6" s="1388"/>
      <c r="P6" s="1388"/>
      <c r="Q6" s="1388"/>
      <c r="R6" s="1388"/>
      <c r="S6" s="1388"/>
      <c r="T6" s="1388"/>
      <c r="U6" s="1388"/>
      <c r="V6" s="1388"/>
      <c r="W6" s="1388"/>
      <c r="X6" s="1388"/>
      <c r="Y6" s="1388"/>
      <c r="Z6" s="1388"/>
      <c r="AA6" s="1388"/>
      <c r="AB6" s="1388"/>
      <c r="AC6" s="1388"/>
    </row>
    <row r="7" spans="1:29" x14ac:dyDescent="0.35">
      <c r="B7" s="839" t="s">
        <v>299</v>
      </c>
      <c r="C7" s="387"/>
      <c r="D7" s="387"/>
      <c r="E7" s="387"/>
      <c r="F7" s="387"/>
      <c r="G7" s="387"/>
      <c r="H7" s="388"/>
      <c r="I7" s="388"/>
      <c r="J7" s="388"/>
      <c r="K7" s="388"/>
      <c r="L7" s="388"/>
      <c r="M7" s="388"/>
      <c r="N7" s="388"/>
      <c r="O7" s="388"/>
      <c r="P7" s="388"/>
      <c r="Q7" s="388"/>
      <c r="R7" s="388"/>
      <c r="S7" s="388"/>
      <c r="T7" s="388"/>
      <c r="U7" s="388"/>
    </row>
    <row r="8" spans="1:29" ht="14.9" customHeight="1" x14ac:dyDescent="0.35">
      <c r="B8" s="827" t="s">
        <v>270</v>
      </c>
      <c r="C8" s="828"/>
      <c r="D8" s="1083" t="s">
        <v>246</v>
      </c>
      <c r="E8" s="1084"/>
      <c r="F8" s="1084"/>
      <c r="G8" s="1084"/>
      <c r="H8" s="1084"/>
      <c r="I8" s="1084"/>
      <c r="J8" s="1084"/>
      <c r="K8" s="1084"/>
      <c r="L8" s="1084"/>
      <c r="M8" s="1084"/>
      <c r="N8" s="1084"/>
      <c r="O8" s="1084"/>
      <c r="P8" s="1456"/>
      <c r="Q8" s="1456"/>
      <c r="R8" s="1456"/>
      <c r="S8" s="1456"/>
      <c r="T8" s="1456"/>
      <c r="U8" s="1456"/>
      <c r="V8" s="1394"/>
      <c r="W8" s="1440" t="s">
        <v>247</v>
      </c>
      <c r="X8" s="1441"/>
      <c r="Y8" s="1441"/>
      <c r="Z8" s="1441"/>
      <c r="AA8" s="1441"/>
      <c r="AB8" s="1441"/>
      <c r="AC8" s="1442"/>
    </row>
    <row r="9" spans="1:29" ht="14.9" customHeight="1" x14ac:dyDescent="0.35">
      <c r="B9" s="829"/>
      <c r="C9" s="830"/>
      <c r="D9" s="249">
        <v>2018</v>
      </c>
      <c r="E9" s="1398">
        <v>2019</v>
      </c>
      <c r="F9" s="1415"/>
      <c r="G9" s="1415"/>
      <c r="H9" s="1400"/>
      <c r="I9" s="1398">
        <v>2020</v>
      </c>
      <c r="J9" s="1415"/>
      <c r="K9" s="1415"/>
      <c r="L9" s="1415"/>
      <c r="M9" s="1398">
        <v>2021</v>
      </c>
      <c r="N9" s="1415"/>
      <c r="O9" s="1415"/>
      <c r="P9" s="1415"/>
      <c r="Q9" s="1398">
        <v>2022</v>
      </c>
      <c r="R9" s="1399"/>
      <c r="S9" s="1399"/>
      <c r="T9" s="1400"/>
      <c r="U9" s="277"/>
      <c r="V9" s="277">
        <v>2023</v>
      </c>
      <c r="W9" s="746"/>
      <c r="X9" s="431"/>
      <c r="Y9" s="1412">
        <v>2024</v>
      </c>
      <c r="Z9" s="1413"/>
      <c r="AA9" s="1413"/>
      <c r="AB9" s="1414"/>
      <c r="AC9" s="408">
        <v>2025</v>
      </c>
    </row>
    <row r="10" spans="1:29"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0" t="s">
        <v>226</v>
      </c>
      <c r="X10" s="276" t="s">
        <v>248</v>
      </c>
      <c r="Y10" s="275" t="s">
        <v>249</v>
      </c>
      <c r="Z10" s="269" t="s">
        <v>250</v>
      </c>
      <c r="AA10" s="270" t="s">
        <v>226</v>
      </c>
      <c r="AB10" s="270" t="s">
        <v>248</v>
      </c>
      <c r="AC10" s="409" t="s">
        <v>249</v>
      </c>
    </row>
    <row r="11" spans="1:29" ht="15" customHeight="1" x14ac:dyDescent="0.35">
      <c r="B11" s="1496" t="s">
        <v>429</v>
      </c>
      <c r="C11" s="1498"/>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4"/>
    </row>
    <row r="12" spans="1:29" ht="17.149999999999999" customHeight="1" x14ac:dyDescent="0.35">
      <c r="A12" t="s">
        <v>1798</v>
      </c>
      <c r="B12" s="1065"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11">
        <f t="shared" ref="W12:AC12" si="0">SUM(W14:W39)-W38</f>
        <v>3255.5779999999995</v>
      </c>
      <c r="X12" s="711">
        <f t="shared" si="0"/>
        <v>3276.5948571428576</v>
      </c>
      <c r="Y12" s="711">
        <f t="shared" si="0"/>
        <v>3341.4180078428576</v>
      </c>
      <c r="Z12" s="711">
        <f t="shared" si="0"/>
        <v>3367.8180078428577</v>
      </c>
      <c r="AA12" s="711">
        <f t="shared" si="0"/>
        <v>3399.1180078428579</v>
      </c>
      <c r="AB12" s="711">
        <f t="shared" si="0"/>
        <v>3433.2720078428579</v>
      </c>
      <c r="AC12" s="1057">
        <f t="shared" si="0"/>
        <v>3501.7053503188577</v>
      </c>
    </row>
    <row r="13" spans="1:29" ht="15.65" customHeight="1" x14ac:dyDescent="0.35">
      <c r="A13" t="s">
        <v>1798</v>
      </c>
      <c r="B13" s="1064" t="s">
        <v>761</v>
      </c>
      <c r="C13" s="268" t="s">
        <v>788</v>
      </c>
      <c r="D13" s="391">
        <v>30</v>
      </c>
      <c r="E13" s="365">
        <v>30</v>
      </c>
      <c r="F13" s="365">
        <v>30</v>
      </c>
      <c r="G13" s="365">
        <v>30</v>
      </c>
      <c r="H13" s="365">
        <v>30</v>
      </c>
      <c r="I13" s="365">
        <v>30</v>
      </c>
      <c r="J13" s="365">
        <v>30</v>
      </c>
      <c r="K13" s="361">
        <v>30.2</v>
      </c>
      <c r="L13" s="361">
        <v>30.2</v>
      </c>
      <c r="M13" s="361">
        <f>'Haver Pivoted'!GX89</f>
        <v>34.4</v>
      </c>
      <c r="N13" s="361">
        <f>'Haver Pivoted'!GY89</f>
        <v>34.4</v>
      </c>
      <c r="O13" s="361">
        <f>'Haver Pivoted'!GZ89</f>
        <v>218.933333333333</v>
      </c>
      <c r="P13" s="361">
        <f>'Haver Pivoted'!HA89</f>
        <v>223.13333333333301</v>
      </c>
      <c r="Q13" s="361">
        <f>'Haver Pivoted'!HB89</f>
        <v>94.3</v>
      </c>
      <c r="R13" s="361">
        <f>'Haver Pivoted'!HC89</f>
        <v>94.3</v>
      </c>
      <c r="S13" s="361">
        <f>'Haver Pivoted'!HD89</f>
        <v>94.3</v>
      </c>
      <c r="T13" s="361">
        <f>'Haver Pivoted'!HE89</f>
        <v>94.3</v>
      </c>
      <c r="U13" s="711">
        <v>34</v>
      </c>
      <c r="V13" s="606">
        <v>34</v>
      </c>
      <c r="W13" s="711">
        <v>34</v>
      </c>
      <c r="X13" s="711">
        <v>34</v>
      </c>
      <c r="Y13" s="711">
        <v>34</v>
      </c>
      <c r="Z13" s="711">
        <v>34</v>
      </c>
      <c r="AA13" s="711">
        <v>34</v>
      </c>
      <c r="AB13" s="711">
        <v>34</v>
      </c>
      <c r="AC13" s="1057">
        <v>34</v>
      </c>
    </row>
    <row r="14" spans="1:29" ht="15" customHeight="1" x14ac:dyDescent="0.35">
      <c r="A14" t="s">
        <v>1795</v>
      </c>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1061">
        <f>V15+V16</f>
        <v>30.857142857142858</v>
      </c>
      <c r="W14" s="711">
        <f>'Unemployment Insurance'!W21+'Unemployment Insurance'!W20</f>
        <v>30.857142857142858</v>
      </c>
      <c r="X14" s="711">
        <f>'Unemployment Insurance'!X21+'Unemployment Insurance'!X20</f>
        <v>35.5</v>
      </c>
      <c r="Y14" s="711">
        <f>'Unemployment Insurance'!Y21+'Unemployment Insurance'!Y20</f>
        <v>35.5</v>
      </c>
      <c r="Z14" s="711">
        <f>'Unemployment Insurance'!Z21+'Unemployment Insurance'!Z20</f>
        <v>36.1</v>
      </c>
      <c r="AA14" s="711">
        <f>'Unemployment Insurance'!AA21+'Unemployment Insurance'!AA20</f>
        <v>37</v>
      </c>
      <c r="AB14" s="711">
        <f>'Unemployment Insurance'!AB21+'Unemployment Insurance'!AB20</f>
        <v>37.299999999999997</v>
      </c>
      <c r="AC14" s="1057">
        <f>'Unemployment Insurance'!AC21+'Unemployment Insurance'!AC20</f>
        <v>37.1</v>
      </c>
    </row>
    <row r="15" spans="1:29" x14ac:dyDescent="0.35">
      <c r="B15" s="521" t="s">
        <v>191</v>
      </c>
      <c r="C15" s="268"/>
      <c r="D15" s="705"/>
      <c r="E15" s="606"/>
      <c r="F15" s="606"/>
      <c r="G15" s="606"/>
      <c r="H15" s="606"/>
      <c r="I15" s="606"/>
      <c r="J15" s="606"/>
      <c r="K15" s="606"/>
      <c r="L15" s="606"/>
      <c r="M15" s="606"/>
      <c r="N15" s="606"/>
      <c r="O15" s="606"/>
      <c r="P15" s="606"/>
      <c r="Q15" s="606"/>
      <c r="R15" s="606"/>
      <c r="S15" s="606"/>
      <c r="T15" s="606"/>
      <c r="U15" s="606"/>
      <c r="V15" s="606">
        <f>'Unemployment Insurance'!V20</f>
        <v>0</v>
      </c>
      <c r="W15" s="711"/>
      <c r="X15" s="711"/>
      <c r="Y15" s="711"/>
      <c r="Z15" s="711"/>
      <c r="AA15" s="711"/>
      <c r="AB15" s="711"/>
      <c r="AC15" s="1057"/>
    </row>
    <row r="16" spans="1:29" x14ac:dyDescent="0.35">
      <c r="B16" s="521" t="s">
        <v>193</v>
      </c>
      <c r="C16" s="268"/>
      <c r="D16" s="705"/>
      <c r="E16" s="606"/>
      <c r="F16" s="606"/>
      <c r="G16" s="606"/>
      <c r="H16" s="606"/>
      <c r="I16" s="606"/>
      <c r="J16" s="606"/>
      <c r="K16" s="606"/>
      <c r="L16" s="606"/>
      <c r="M16" s="606"/>
      <c r="N16" s="606"/>
      <c r="O16" s="606"/>
      <c r="P16" s="606"/>
      <c r="Q16" s="606"/>
      <c r="R16" s="606"/>
      <c r="S16" s="606"/>
      <c r="T16" s="606"/>
      <c r="U16" s="606"/>
      <c r="V16" s="606">
        <f>'Unemployment Insurance'!V21</f>
        <v>30.857142857142858</v>
      </c>
      <c r="W16" s="711"/>
      <c r="X16" s="711"/>
      <c r="Y16" s="711"/>
      <c r="Z16" s="711"/>
      <c r="AA16" s="711"/>
      <c r="AB16" s="711"/>
      <c r="AC16" s="1057"/>
    </row>
    <row r="17" spans="1:101" ht="17.899999999999999" customHeight="1" x14ac:dyDescent="0.35">
      <c r="A17" t="s">
        <v>1795</v>
      </c>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1061">
        <f>Medicare!V10</f>
        <v>1016.2</v>
      </c>
      <c r="W17" s="711">
        <f>Medicare!W10</f>
        <v>1036.4000000000001</v>
      </c>
      <c r="X17" s="711">
        <f>Medicare!X10</f>
        <v>1053.5999999999999</v>
      </c>
      <c r="Y17" s="711">
        <f>Medicare!Y10</f>
        <v>1069.0999999999999</v>
      </c>
      <c r="Z17" s="711">
        <f>Medicare!Z10</f>
        <v>1088.2</v>
      </c>
      <c r="AA17" s="711">
        <f>Medicare!AA10</f>
        <v>1111.9000000000001</v>
      </c>
      <c r="AB17" s="711">
        <f>Medicare!AB10</f>
        <v>1140.3</v>
      </c>
      <c r="AC17" s="1057">
        <f>Medicare!AC10</f>
        <v>1172.5999999999999</v>
      </c>
    </row>
    <row r="18" spans="1:101" ht="18" customHeight="1" x14ac:dyDescent="0.35">
      <c r="A18" t="s">
        <v>1795</v>
      </c>
      <c r="B18" s="818" t="s">
        <v>432</v>
      </c>
      <c r="C18" s="268"/>
      <c r="D18" s="705"/>
      <c r="E18" s="606"/>
      <c r="F18" s="606"/>
      <c r="G18" s="606"/>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1061">
        <f>V19+V20</f>
        <v>0</v>
      </c>
      <c r="W18" s="711">
        <f>'Rebate Checks (expired)'!W10 +'Rebate Checks (expired)'!W11</f>
        <v>0</v>
      </c>
      <c r="X18" s="711">
        <f>'Rebate Checks (expired)'!X10 +'Rebate Checks (expired)'!X11</f>
        <v>0</v>
      </c>
      <c r="Y18" s="711">
        <f>'Rebate Checks (expired)'!Y10 +'Rebate Checks (expired)'!Y11</f>
        <v>0</v>
      </c>
      <c r="Z18" s="711">
        <f>'Rebate Checks (expired)'!Z10 +'Rebate Checks (expired)'!Z11</f>
        <v>0</v>
      </c>
      <c r="AA18" s="711">
        <f>'Rebate Checks (expired)'!AA10 +'Rebate Checks (expired)'!AA11</f>
        <v>0</v>
      </c>
      <c r="AB18" s="711">
        <f>'Rebate Checks (expired)'!AB10 +'Rebate Checks (expired)'!AB11</f>
        <v>0</v>
      </c>
      <c r="AC18" s="1057">
        <f>'Rebate Checks (expired)'!AC10 +'Rebate Checks (expired)'!AC11</f>
        <v>0</v>
      </c>
    </row>
    <row r="19" spans="1:101" ht="18" customHeight="1" x14ac:dyDescent="0.35">
      <c r="B19" s="819" t="s">
        <v>1788</v>
      </c>
      <c r="C19" s="268"/>
      <c r="D19" s="705"/>
      <c r="E19" s="606"/>
      <c r="F19" s="606"/>
      <c r="G19" s="606"/>
      <c r="H19" s="606"/>
      <c r="I19" s="606"/>
      <c r="J19" s="606"/>
      <c r="K19" s="606"/>
      <c r="L19" s="606"/>
      <c r="M19" s="606"/>
      <c r="N19" s="606"/>
      <c r="O19" s="606"/>
      <c r="P19" s="606"/>
      <c r="Q19" s="606"/>
      <c r="R19" s="606"/>
      <c r="S19" s="606"/>
      <c r="T19" s="606"/>
      <c r="U19" s="606"/>
      <c r="V19" s="606">
        <v>0</v>
      </c>
      <c r="W19" s="711"/>
      <c r="X19" s="711"/>
      <c r="Y19" s="711"/>
      <c r="Z19" s="711"/>
      <c r="AA19" s="711"/>
      <c r="AB19" s="711"/>
      <c r="AC19" s="1057"/>
    </row>
    <row r="20" spans="1:101" ht="18" customHeight="1" x14ac:dyDescent="0.35">
      <c r="B20" s="819" t="s">
        <v>1789</v>
      </c>
      <c r="C20" s="268"/>
      <c r="D20" s="705"/>
      <c r="E20" s="606"/>
      <c r="F20" s="606"/>
      <c r="G20" s="606"/>
      <c r="H20" s="606"/>
      <c r="I20" s="606"/>
      <c r="J20" s="606"/>
      <c r="K20" s="606"/>
      <c r="L20" s="606"/>
      <c r="M20" s="606"/>
      <c r="N20" s="606"/>
      <c r="O20" s="606"/>
      <c r="P20" s="606"/>
      <c r="Q20" s="606"/>
      <c r="R20" s="606"/>
      <c r="S20" s="606"/>
      <c r="T20" s="606"/>
      <c r="U20" s="606"/>
      <c r="V20" s="606">
        <v>0</v>
      </c>
      <c r="W20" s="711"/>
      <c r="X20" s="711"/>
      <c r="Y20" s="711"/>
      <c r="Z20" s="711"/>
      <c r="AA20" s="711"/>
      <c r="AB20" s="711"/>
      <c r="AC20" s="1057"/>
    </row>
    <row r="21" spans="1:101" ht="18" customHeight="1" x14ac:dyDescent="0.35">
      <c r="A21" t="s">
        <v>1795</v>
      </c>
      <c r="B21" s="820" t="s">
        <v>40</v>
      </c>
      <c r="C21" s="268"/>
      <c r="D21" s="502">
        <f>'Provider Relief (expired)'!D11</f>
        <v>0</v>
      </c>
      <c r="E21" s="508">
        <f>'Provider Relief (expired)'!E11</f>
        <v>0</v>
      </c>
      <c r="F21" s="508">
        <f>'Provider Relief (expired)'!F11</f>
        <v>0</v>
      </c>
      <c r="G21" s="508">
        <f>'Provider Relief (expired)'!G11</f>
        <v>0</v>
      </c>
      <c r="H21" s="508">
        <f>'Provider Relief (expired)'!H11</f>
        <v>0</v>
      </c>
      <c r="I21" s="508">
        <f>'Provider Relief (expired)'!I11</f>
        <v>0</v>
      </c>
      <c r="J21" s="508">
        <f>'Provider Relief (expired)'!J11</f>
        <v>160.9</v>
      </c>
      <c r="K21" s="508">
        <f>'Provider Relief (expired)'!K11</f>
        <v>58.4</v>
      </c>
      <c r="L21" s="508">
        <f>'Provider Relief (expired)'!L11</f>
        <v>34.5</v>
      </c>
      <c r="M21" s="508">
        <f>'Provider Relief (expired)'!M11</f>
        <v>21.4</v>
      </c>
      <c r="N21" s="508">
        <f>'Provider Relief (expired)'!N11</f>
        <v>13.3</v>
      </c>
      <c r="O21" s="508">
        <f>'Provider Relief (expired)'!O11</f>
        <v>18.7</v>
      </c>
      <c r="P21" s="508">
        <f>'Provider Relief (expired)'!P11</f>
        <v>32.200000000000003</v>
      </c>
      <c r="Q21" s="508">
        <f>'Provider Relief (expired)'!Q11</f>
        <v>26.9</v>
      </c>
      <c r="R21" s="508">
        <f>'Provider Relief (expired)'!R11</f>
        <v>20</v>
      </c>
      <c r="S21" s="508">
        <f>'Provider Relief (expired)'!S11</f>
        <v>8.1</v>
      </c>
      <c r="T21" s="508">
        <f>'Provider Relief (expired)'!T11</f>
        <v>4.9000000000000004</v>
      </c>
      <c r="U21" s="508">
        <v>0</v>
      </c>
      <c r="V21" s="1061">
        <v>0</v>
      </c>
      <c r="W21" s="711">
        <v>0</v>
      </c>
      <c r="X21" s="711">
        <v>0</v>
      </c>
      <c r="Y21" s="711">
        <v>0</v>
      </c>
      <c r="Z21" s="711">
        <v>0</v>
      </c>
      <c r="AA21" s="711">
        <v>0</v>
      </c>
      <c r="AB21" s="711">
        <v>0</v>
      </c>
      <c r="AC21" s="1057">
        <v>0</v>
      </c>
    </row>
    <row r="22" spans="1:101" ht="21.65" customHeight="1" x14ac:dyDescent="0.35">
      <c r="B22" s="529" t="s">
        <v>433</v>
      </c>
      <c r="C22" s="268"/>
      <c r="D22" s="705"/>
      <c r="E22" s="606"/>
      <c r="F22" s="606"/>
      <c r="G22" s="606"/>
      <c r="H22" s="606"/>
      <c r="I22" s="606"/>
      <c r="J22" s="606">
        <f>'PPP (expired)'!J53</f>
        <v>57.2</v>
      </c>
      <c r="K22" s="606">
        <f>'PPP (expired)'!K53</f>
        <v>81.2</v>
      </c>
      <c r="L22" s="606">
        <f>'PPP (expired)'!L53</f>
        <v>24.4</v>
      </c>
      <c r="M22" s="606">
        <f>'PPP (expired)'!M53</f>
        <v>11.7</v>
      </c>
      <c r="N22" s="606">
        <f>'PPP (expired)'!N53</f>
        <v>28.5</v>
      </c>
      <c r="O22" s="606">
        <f>'PPP (expired)'!O53</f>
        <v>18.8</v>
      </c>
      <c r="P22" s="606">
        <f>'PPP (expired)'!P53</f>
        <v>1.6</v>
      </c>
      <c r="Q22" s="606">
        <f>'PPP (expired)'!Q53</f>
        <v>0</v>
      </c>
      <c r="R22" s="606">
        <f>'PPP (expired)'!R53</f>
        <v>0</v>
      </c>
      <c r="S22" s="606">
        <f>'PPP (expired)'!S53</f>
        <v>0</v>
      </c>
      <c r="T22" s="606">
        <f>'PPP (expired)'!T53</f>
        <v>0</v>
      </c>
      <c r="U22" s="606">
        <f>'PPP (expired)'!U53</f>
        <v>0</v>
      </c>
      <c r="V22" s="606">
        <f>'PPP (expired)'!V53</f>
        <v>0</v>
      </c>
      <c r="W22" s="711">
        <f>'PPP (expired)'!W53</f>
        <v>0</v>
      </c>
      <c r="X22" s="711">
        <f>'PPP (expired)'!X53</f>
        <v>0</v>
      </c>
      <c r="Y22" s="711">
        <f>'PPP (expired)'!Y53</f>
        <v>0</v>
      </c>
      <c r="Z22" s="711">
        <f>'PPP (expired)'!Z53</f>
        <v>0</v>
      </c>
      <c r="AA22" s="711">
        <f>'PPP (expired)'!AA53</f>
        <v>0</v>
      </c>
      <c r="AB22" s="711">
        <f>'PPP (expired)'!AB53</f>
        <v>0</v>
      </c>
      <c r="AC22" s="711">
        <f>'PPP (expired)'!AC53</f>
        <v>0</v>
      </c>
    </row>
    <row r="23" spans="1:101" ht="22.4" customHeight="1" x14ac:dyDescent="0.35">
      <c r="B23" s="529" t="s">
        <v>206</v>
      </c>
      <c r="C23" s="823"/>
      <c r="D23" s="502"/>
      <c r="E23" s="508"/>
      <c r="F23" s="508"/>
      <c r="G23" s="508"/>
      <c r="H23" s="508"/>
      <c r="I23" s="508"/>
      <c r="J23" s="508"/>
      <c r="K23" s="508"/>
      <c r="L23" s="508"/>
      <c r="M23" s="606">
        <f>'ARP Quarterly'!C4</f>
        <v>0</v>
      </c>
      <c r="N23" s="606">
        <f>'ARP Quarterly'!D4</f>
        <v>0</v>
      </c>
      <c r="O23" s="606">
        <f>'ARP Quarterly'!E4</f>
        <v>3.1040000000000418</v>
      </c>
      <c r="P23" s="606">
        <f>'ARP Quarterly'!F4</f>
        <v>19.719000000000005</v>
      </c>
      <c r="Q23" s="606">
        <f>'ARP Quarterly'!G4</f>
        <v>19.719000000000005</v>
      </c>
      <c r="R23" s="606">
        <f>'ARP Quarterly'!H4</f>
        <v>19.719000000000005</v>
      </c>
      <c r="S23" s="606">
        <f>'ARP Quarterly'!I4</f>
        <v>19.719000000000005</v>
      </c>
      <c r="T23" s="606">
        <f>'ARP Quarterly'!J4</f>
        <v>1.4159999999999999</v>
      </c>
      <c r="U23" s="606">
        <f>'ARP Quarterly'!K4</f>
        <v>1.4159999999999999</v>
      </c>
      <c r="V23" s="606">
        <f>'ARP Quarterly'!L4</f>
        <v>1.4159999999999999</v>
      </c>
      <c r="W23" s="711">
        <f>'ARP Quarterly'!M4</f>
        <v>1.4159999999999999</v>
      </c>
      <c r="X23" s="711">
        <f>'ARP Quarterly'!N4</f>
        <v>1.4790000000000001</v>
      </c>
      <c r="Y23" s="711">
        <f>'ARP Quarterly'!O4</f>
        <v>1.4790000000000001</v>
      </c>
      <c r="Z23" s="711">
        <f>'ARP Quarterly'!P4</f>
        <v>1.4790000000000001</v>
      </c>
      <c r="AA23" s="711">
        <f>'ARP Quarterly'!Q4</f>
        <v>1.4790000000000001</v>
      </c>
      <c r="AB23" s="711">
        <f>'ARP Quarterly'!R4</f>
        <v>1.63</v>
      </c>
      <c r="AC23" s="711">
        <f>'ARP Quarterly'!S4</f>
        <v>1.63</v>
      </c>
      <c r="AE23" s="823"/>
      <c r="AF23" s="823"/>
      <c r="AG23" s="823"/>
      <c r="AH23" s="823"/>
      <c r="AI23" s="823"/>
      <c r="AJ23" s="823"/>
      <c r="AK23" s="823"/>
      <c r="AL23" s="823"/>
      <c r="AM23" s="823"/>
      <c r="AN23" s="823"/>
      <c r="AO23" s="823"/>
      <c r="AP23" s="823"/>
      <c r="AQ23" s="823"/>
      <c r="AR23" s="823"/>
      <c r="AS23" s="823"/>
      <c r="AT23" s="823"/>
      <c r="AU23" s="823"/>
      <c r="AV23" s="823"/>
      <c r="AW23" s="823"/>
      <c r="AX23" s="823"/>
      <c r="AY23" s="823"/>
      <c r="AZ23" s="823"/>
      <c r="BA23" s="823"/>
      <c r="BB23" s="823"/>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row>
    <row r="24" spans="1:101" ht="36.65" customHeight="1" x14ac:dyDescent="0.35">
      <c r="B24" s="374" t="s">
        <v>1383</v>
      </c>
      <c r="C24" s="268"/>
      <c r="D24" s="705">
        <f>D85</f>
        <v>0</v>
      </c>
      <c r="E24" s="606">
        <f t="shared" ref="E24:AC24" si="1">E85</f>
        <v>0</v>
      </c>
      <c r="F24" s="606">
        <f t="shared" si="1"/>
        <v>0</v>
      </c>
      <c r="G24" s="606">
        <f t="shared" si="1"/>
        <v>0</v>
      </c>
      <c r="H24" s="606">
        <f t="shared" si="1"/>
        <v>0</v>
      </c>
      <c r="I24" s="606">
        <f t="shared" si="1"/>
        <v>6.9950000000000045</v>
      </c>
      <c r="J24" s="606">
        <f t="shared" si="1"/>
        <v>51.122999999999998</v>
      </c>
      <c r="K24" s="606">
        <f t="shared" si="1"/>
        <v>51.055</v>
      </c>
      <c r="L24" s="606">
        <f t="shared" si="1"/>
        <v>51.762999999999998</v>
      </c>
      <c r="M24" s="606">
        <f t="shared" si="1"/>
        <v>91.453000000000003</v>
      </c>
      <c r="N24" s="606">
        <f t="shared" si="1"/>
        <v>101.11800000000002</v>
      </c>
      <c r="O24" s="606">
        <f t="shared" si="1"/>
        <v>93.417000000000002</v>
      </c>
      <c r="P24" s="606">
        <f t="shared" si="1"/>
        <v>99.84</v>
      </c>
      <c r="Q24" s="606">
        <f t="shared" si="1"/>
        <v>77.435000000000002</v>
      </c>
      <c r="R24" s="606">
        <f t="shared" si="1"/>
        <v>74.290999999999997</v>
      </c>
      <c r="S24" s="606">
        <f t="shared" si="1"/>
        <v>69.937000000000012</v>
      </c>
      <c r="T24" s="606">
        <f t="shared" si="1"/>
        <v>91.18</v>
      </c>
      <c r="U24" s="606">
        <f t="shared" si="1"/>
        <v>84.404000000000025</v>
      </c>
      <c r="V24" s="606">
        <f t="shared" si="1"/>
        <v>52.51</v>
      </c>
      <c r="W24" s="711">
        <f t="shared" si="1"/>
        <v>52.51</v>
      </c>
      <c r="X24" s="711">
        <f t="shared" si="1"/>
        <v>52.51</v>
      </c>
      <c r="Y24" s="711">
        <f t="shared" si="1"/>
        <v>52.51</v>
      </c>
      <c r="Z24" s="711">
        <f t="shared" si="1"/>
        <v>52.51</v>
      </c>
      <c r="AA24" s="711">
        <f t="shared" si="1"/>
        <v>52.51</v>
      </c>
      <c r="AB24" s="711">
        <f t="shared" si="1"/>
        <v>52.51</v>
      </c>
      <c r="AC24" s="711">
        <f t="shared" si="1"/>
        <v>52.51</v>
      </c>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row>
    <row r="25" spans="1:101" ht="17.149999999999999" customHeight="1" x14ac:dyDescent="0.35">
      <c r="A25" t="s">
        <v>1798</v>
      </c>
      <c r="B25" s="1065" t="s">
        <v>430</v>
      </c>
      <c r="C25" s="268" t="s">
        <v>431</v>
      </c>
      <c r="D25" s="606">
        <f>'Haver Pivoted'!GO31</f>
        <v>2223</v>
      </c>
      <c r="E25" s="606">
        <f>'Haver Pivoted'!GP31</f>
        <v>2303.8000000000002</v>
      </c>
      <c r="F25" s="606">
        <f>'Haver Pivoted'!GQ31</f>
        <v>2321.6999999999998</v>
      </c>
      <c r="G25" s="606">
        <f>'Haver Pivoted'!GR31</f>
        <v>2337.1</v>
      </c>
      <c r="H25" s="606">
        <f>'Haver Pivoted'!GS31</f>
        <v>2349.5</v>
      </c>
      <c r="I25" s="606">
        <f>'Haver Pivoted'!GT31</f>
        <v>2417</v>
      </c>
      <c r="J25" s="606">
        <f>'Haver Pivoted'!GU31</f>
        <v>4659.2</v>
      </c>
      <c r="K25" s="606">
        <f>'Haver Pivoted'!GV31</f>
        <v>3514.2</v>
      </c>
      <c r="L25" s="606">
        <f>'Haver Pivoted'!GW31</f>
        <v>2896.7</v>
      </c>
      <c r="M25" s="606">
        <f>'Haver Pivoted'!GX31</f>
        <v>5152.8</v>
      </c>
      <c r="N25" s="606">
        <f>'Haver Pivoted'!GY31</f>
        <v>3403.1</v>
      </c>
      <c r="O25" s="606">
        <f>'Haver Pivoted'!GZ31</f>
        <v>3121.9</v>
      </c>
      <c r="P25" s="606">
        <f>'Haver Pivoted'!HA31</f>
        <v>2958.3</v>
      </c>
      <c r="Q25" s="606">
        <f>'Haver Pivoted'!HB31</f>
        <v>2978.4</v>
      </c>
      <c r="R25" s="606">
        <f>'Haver Pivoted'!HC31</f>
        <v>2983.3</v>
      </c>
      <c r="S25" s="606">
        <f>'Haver Pivoted'!HD31</f>
        <v>2976.9</v>
      </c>
      <c r="T25" s="606">
        <f>'Haver Pivoted'!HE31</f>
        <v>3033.2</v>
      </c>
      <c r="U25" s="606">
        <f>'Haver Pivoted'!HF31</f>
        <v>3055.3</v>
      </c>
      <c r="V25" s="606">
        <f>'Haver Pivoted'!HG31</f>
        <v>3066.9</v>
      </c>
      <c r="W25" s="711"/>
      <c r="X25" s="711"/>
      <c r="Y25" s="711"/>
      <c r="Z25" s="711"/>
      <c r="AA25" s="711"/>
      <c r="AB25" s="711"/>
      <c r="AC25" s="711"/>
    </row>
    <row r="26" spans="1:101" ht="17.149999999999999" customHeight="1" x14ac:dyDescent="0.35">
      <c r="B26" s="387" t="s">
        <v>1797</v>
      </c>
      <c r="C26" s="268"/>
      <c r="D26" s="606">
        <f>D27+D28</f>
        <v>812.1</v>
      </c>
      <c r="E26" s="606">
        <f t="shared" ref="E26:V26" si="2">E27+E28</f>
        <v>833.1</v>
      </c>
      <c r="F26" s="606">
        <f t="shared" si="2"/>
        <v>845.8</v>
      </c>
      <c r="G26" s="606">
        <f t="shared" si="2"/>
        <v>854.4</v>
      </c>
      <c r="H26" s="606">
        <f t="shared" si="2"/>
        <v>858.7</v>
      </c>
      <c r="I26" s="606">
        <f t="shared" si="2"/>
        <v>881.29500000000007</v>
      </c>
      <c r="J26" s="606">
        <f t="shared" si="2"/>
        <v>2987.223</v>
      </c>
      <c r="K26" s="606">
        <f t="shared" si="2"/>
        <v>1814.4549999999999</v>
      </c>
      <c r="L26" s="606">
        <f t="shared" si="2"/>
        <v>1281.463</v>
      </c>
      <c r="M26" s="606">
        <f>M27+M28</f>
        <v>3523.1529999999998</v>
      </c>
      <c r="N26" s="606">
        <f t="shared" si="2"/>
        <v>1770.518</v>
      </c>
      <c r="O26" s="606">
        <f t="shared" si="2"/>
        <v>1470.1543333333329</v>
      </c>
      <c r="P26" s="606">
        <f t="shared" si="2"/>
        <v>1297.9923333333329</v>
      </c>
      <c r="Q26" s="606">
        <f t="shared" si="2"/>
        <v>1139.5540000000001</v>
      </c>
      <c r="R26" s="606">
        <f t="shared" si="2"/>
        <v>1143.1099999999999</v>
      </c>
      <c r="S26" s="606">
        <f t="shared" si="2"/>
        <v>1152.1559999999999</v>
      </c>
      <c r="T26" s="606">
        <f t="shared" si="2"/>
        <v>1180.6959999999999</v>
      </c>
      <c r="U26" s="606">
        <f t="shared" si="2"/>
        <v>1142.9199999999998</v>
      </c>
      <c r="V26" s="606">
        <f t="shared" si="2"/>
        <v>1134.9831428571429</v>
      </c>
      <c r="W26" s="711">
        <f>W27+W28</f>
        <v>53.925999999999995</v>
      </c>
      <c r="X26" s="711">
        <f t="shared" ref="X26" si="3">X27+X28</f>
        <v>53.988999999999997</v>
      </c>
      <c r="Y26" s="711">
        <f t="shared" ref="Y26" si="4">Y27+Y28</f>
        <v>53.988999999999997</v>
      </c>
      <c r="Z26" s="711">
        <f t="shared" ref="Z26" si="5">Z27+Z28</f>
        <v>53.988999999999997</v>
      </c>
      <c r="AA26" s="711">
        <f t="shared" ref="AA26" si="6">AA27+AA28</f>
        <v>53.988999999999997</v>
      </c>
      <c r="AB26" s="711">
        <f t="shared" ref="AB26" si="7">AB27+AB28</f>
        <v>54.14</v>
      </c>
      <c r="AC26" s="711">
        <f t="shared" ref="AC26" si="8">AC27+AC28</f>
        <v>54.14</v>
      </c>
    </row>
    <row r="27" spans="1:101" ht="17.149999999999999" customHeight="1" x14ac:dyDescent="0.35">
      <c r="B27" s="521" t="s">
        <v>1796</v>
      </c>
      <c r="C27" s="268"/>
      <c r="D27" s="705">
        <f t="shared" ref="D27:V27" si="9">D13+D14+D17</f>
        <v>812.1</v>
      </c>
      <c r="E27" s="606">
        <f t="shared" si="9"/>
        <v>833.1</v>
      </c>
      <c r="F27" s="606">
        <f t="shared" si="9"/>
        <v>845.8</v>
      </c>
      <c r="G27" s="606">
        <f t="shared" si="9"/>
        <v>854.4</v>
      </c>
      <c r="H27" s="606">
        <f t="shared" si="9"/>
        <v>858.7</v>
      </c>
      <c r="I27" s="606">
        <f t="shared" si="9"/>
        <v>874.30000000000007</v>
      </c>
      <c r="J27" s="606">
        <f t="shared" si="9"/>
        <v>1800.8</v>
      </c>
      <c r="K27" s="606">
        <f t="shared" si="9"/>
        <v>1666.6</v>
      </c>
      <c r="L27" s="606">
        <f t="shared" si="9"/>
        <v>1200.3</v>
      </c>
      <c r="M27" s="606">
        <f t="shared" si="9"/>
        <v>1486.3</v>
      </c>
      <c r="N27" s="606">
        <f t="shared" si="9"/>
        <v>1350.8</v>
      </c>
      <c r="O27" s="606">
        <f t="shared" si="9"/>
        <v>1315.9333333333329</v>
      </c>
      <c r="P27" s="606">
        <f t="shared" si="9"/>
        <v>1162.633333333333</v>
      </c>
      <c r="Q27" s="606">
        <f t="shared" si="9"/>
        <v>1042.4000000000001</v>
      </c>
      <c r="R27" s="606">
        <f t="shared" si="9"/>
        <v>1049.0999999999999</v>
      </c>
      <c r="S27" s="606">
        <f t="shared" si="9"/>
        <v>1062.5</v>
      </c>
      <c r="T27" s="606">
        <f t="shared" si="9"/>
        <v>1088.0999999999999</v>
      </c>
      <c r="U27" s="606">
        <f t="shared" si="9"/>
        <v>1057.0999999999999</v>
      </c>
      <c r="V27" s="606">
        <f t="shared" si="9"/>
        <v>1081.0571428571429</v>
      </c>
      <c r="W27" s="711"/>
      <c r="X27" s="711"/>
      <c r="Y27" s="711"/>
      <c r="Z27" s="711"/>
      <c r="AA27" s="711"/>
      <c r="AB27" s="711"/>
      <c r="AC27" s="1057"/>
    </row>
    <row r="28" spans="1:101" ht="28.5" customHeight="1" x14ac:dyDescent="0.35">
      <c r="B28" s="521" t="s">
        <v>1793</v>
      </c>
      <c r="C28" s="268"/>
      <c r="D28" s="502">
        <f t="shared" ref="D28:AC28" si="10">D18+D23+D24+D22</f>
        <v>0</v>
      </c>
      <c r="E28" s="508">
        <f t="shared" si="10"/>
        <v>0</v>
      </c>
      <c r="F28" s="508">
        <f t="shared" si="10"/>
        <v>0</v>
      </c>
      <c r="G28" s="508">
        <f t="shared" si="10"/>
        <v>0</v>
      </c>
      <c r="H28" s="508">
        <f t="shared" si="10"/>
        <v>0</v>
      </c>
      <c r="I28" s="508">
        <f t="shared" si="10"/>
        <v>6.9950000000000045</v>
      </c>
      <c r="J28" s="508">
        <f t="shared" si="10"/>
        <v>1186.423</v>
      </c>
      <c r="K28" s="508">
        <f t="shared" si="10"/>
        <v>147.85500000000002</v>
      </c>
      <c r="L28" s="508">
        <f t="shared" si="10"/>
        <v>81.162999999999997</v>
      </c>
      <c r="M28" s="508">
        <f t="shared" si="10"/>
        <v>2036.8529999999998</v>
      </c>
      <c r="N28" s="508">
        <f t="shared" si="10"/>
        <v>419.71800000000007</v>
      </c>
      <c r="O28" s="508">
        <f t="shared" si="10"/>
        <v>154.22100000000006</v>
      </c>
      <c r="P28" s="508">
        <f t="shared" si="10"/>
        <v>135.35900000000001</v>
      </c>
      <c r="Q28" s="508">
        <f t="shared" si="10"/>
        <v>97.154000000000011</v>
      </c>
      <c r="R28" s="508">
        <f t="shared" si="10"/>
        <v>94.01</v>
      </c>
      <c r="S28" s="508">
        <f t="shared" si="10"/>
        <v>89.65600000000002</v>
      </c>
      <c r="T28" s="508">
        <f t="shared" si="10"/>
        <v>92.596000000000004</v>
      </c>
      <c r="U28" s="508">
        <f t="shared" si="10"/>
        <v>85.820000000000022</v>
      </c>
      <c r="V28" s="508">
        <f t="shared" si="10"/>
        <v>53.925999999999995</v>
      </c>
      <c r="W28" s="459">
        <f t="shared" si="10"/>
        <v>53.925999999999995</v>
      </c>
      <c r="X28" s="459">
        <f t="shared" si="10"/>
        <v>53.988999999999997</v>
      </c>
      <c r="Y28" s="459">
        <f t="shared" si="10"/>
        <v>53.988999999999997</v>
      </c>
      <c r="Z28" s="459">
        <f t="shared" si="10"/>
        <v>53.988999999999997</v>
      </c>
      <c r="AA28" s="459">
        <f t="shared" si="10"/>
        <v>53.988999999999997</v>
      </c>
      <c r="AB28" s="459">
        <f t="shared" si="10"/>
        <v>54.14</v>
      </c>
      <c r="AC28" s="459">
        <f t="shared" si="10"/>
        <v>54.14</v>
      </c>
    </row>
    <row r="29" spans="1:101" x14ac:dyDescent="0.35">
      <c r="B29" s="529" t="s">
        <v>1799</v>
      </c>
      <c r="C29" s="268"/>
      <c r="D29" s="508">
        <f>D25-D26</f>
        <v>1410.9</v>
      </c>
      <c r="E29" s="508">
        <f t="shared" ref="E29:V29" si="11">E25-E26</f>
        <v>1470.7000000000003</v>
      </c>
      <c r="F29" s="508">
        <f t="shared" si="11"/>
        <v>1475.8999999999999</v>
      </c>
      <c r="G29" s="508">
        <f t="shared" si="11"/>
        <v>1482.6999999999998</v>
      </c>
      <c r="H29" s="508">
        <f t="shared" si="11"/>
        <v>1490.8</v>
      </c>
      <c r="I29" s="508">
        <f t="shared" si="11"/>
        <v>1535.7049999999999</v>
      </c>
      <c r="J29" s="508">
        <f t="shared" si="11"/>
        <v>1671.9769999999999</v>
      </c>
      <c r="K29" s="508">
        <f t="shared" si="11"/>
        <v>1699.7449999999999</v>
      </c>
      <c r="L29" s="508">
        <f t="shared" si="11"/>
        <v>1615.2369999999999</v>
      </c>
      <c r="M29" s="508">
        <f t="shared" si="11"/>
        <v>1629.6470000000004</v>
      </c>
      <c r="N29" s="508">
        <f t="shared" si="11"/>
        <v>1632.5819999999999</v>
      </c>
      <c r="O29" s="508">
        <f t="shared" si="11"/>
        <v>1651.7456666666671</v>
      </c>
      <c r="P29" s="508">
        <f t="shared" si="11"/>
        <v>1660.3076666666673</v>
      </c>
      <c r="Q29" s="508">
        <f t="shared" si="11"/>
        <v>1838.846</v>
      </c>
      <c r="R29" s="508">
        <f t="shared" si="11"/>
        <v>1840.1900000000003</v>
      </c>
      <c r="S29" s="508">
        <f t="shared" si="11"/>
        <v>1824.7440000000001</v>
      </c>
      <c r="T29" s="508">
        <f t="shared" si="11"/>
        <v>1852.5039999999999</v>
      </c>
      <c r="U29" s="508">
        <f t="shared" si="11"/>
        <v>1912.3800000000003</v>
      </c>
      <c r="V29" s="508">
        <f t="shared" si="11"/>
        <v>1931.9168571428572</v>
      </c>
      <c r="W29" s="459"/>
      <c r="X29" s="459"/>
      <c r="Y29" s="459"/>
      <c r="Z29" s="459"/>
      <c r="AA29" s="459"/>
      <c r="AB29" s="459"/>
      <c r="AC29" s="459"/>
    </row>
    <row r="30" spans="1:101" ht="18" customHeight="1" x14ac:dyDescent="0.35">
      <c r="B30" s="403" t="s">
        <v>1790</v>
      </c>
      <c r="C30" s="268"/>
      <c r="D30" s="391"/>
      <c r="E30" s="365"/>
      <c r="F30" s="365"/>
      <c r="G30" s="365"/>
      <c r="H30" s="365"/>
      <c r="I30" s="365"/>
      <c r="J30" s="365"/>
      <c r="K30" s="365"/>
      <c r="L30" s="365"/>
      <c r="M30" s="365"/>
      <c r="N30" s="365"/>
      <c r="O30" s="365"/>
      <c r="P30" s="365"/>
      <c r="Q30" s="365"/>
      <c r="R30" s="365"/>
      <c r="S30" s="365"/>
      <c r="T30" s="365"/>
      <c r="U30" s="365"/>
      <c r="V30" s="606"/>
      <c r="W30" s="711"/>
      <c r="X30" s="711"/>
      <c r="Y30" s="711"/>
      <c r="Z30" s="711"/>
      <c r="AA30" s="711"/>
      <c r="AB30" s="711"/>
      <c r="AC30" s="1057"/>
    </row>
    <row r="31" spans="1:101" ht="18" customHeight="1" x14ac:dyDescent="0.35">
      <c r="B31" s="403" t="s">
        <v>1791</v>
      </c>
      <c r="C31" s="268"/>
      <c r="D31" s="391"/>
      <c r="E31" s="365"/>
      <c r="F31" s="365"/>
      <c r="G31" s="365"/>
      <c r="H31" s="365"/>
      <c r="I31" s="365"/>
      <c r="J31" s="365"/>
      <c r="K31" s="365"/>
      <c r="L31" s="365"/>
      <c r="M31" s="365"/>
      <c r="N31" s="365"/>
      <c r="O31" s="365"/>
      <c r="P31" s="365"/>
      <c r="Q31" s="365"/>
      <c r="R31" s="365"/>
      <c r="S31" s="365"/>
      <c r="T31" s="365"/>
      <c r="U31" s="365"/>
      <c r="V31" s="606"/>
      <c r="W31" s="711"/>
      <c r="X31" s="711"/>
      <c r="Y31" s="711"/>
      <c r="Z31" s="711"/>
      <c r="AA31" s="711"/>
      <c r="AB31" s="711"/>
      <c r="AC31" s="1057"/>
    </row>
    <row r="32" spans="1:101" ht="20.149999999999999" customHeight="1" x14ac:dyDescent="0.35">
      <c r="B32" s="389" t="s">
        <v>435</v>
      </c>
      <c r="C32" s="385"/>
      <c r="D32" s="861"/>
      <c r="E32" s="747"/>
      <c r="F32" s="747"/>
      <c r="G32" s="747"/>
      <c r="H32" s="680"/>
      <c r="I32" s="680"/>
      <c r="J32" s="680"/>
      <c r="K32" s="680"/>
      <c r="L32" s="680"/>
      <c r="M32" s="680">
        <f>'ARP Quarterly'!C5</f>
        <v>0</v>
      </c>
      <c r="N32" s="680">
        <f>'ARP Quarterly'!D5</f>
        <v>33.921840000000024</v>
      </c>
      <c r="O32" s="680">
        <f>'ARP Quarterly'!E5</f>
        <v>44.966160000000031</v>
      </c>
      <c r="P32" s="680">
        <f>'ARP Quarterly'!F5</f>
        <v>52.756999999999998</v>
      </c>
      <c r="Q32" s="680">
        <f>'ARP Quarterly'!G5</f>
        <v>52.756999999999998</v>
      </c>
      <c r="R32" s="680">
        <f>'ARP Quarterly'!H5</f>
        <v>52.756999999999998</v>
      </c>
      <c r="S32" s="680">
        <f>'ARP Quarterly'!I5</f>
        <v>52.756999999999998</v>
      </c>
      <c r="T32" s="680">
        <v>30</v>
      </c>
      <c r="U32" s="680">
        <f>'ARP Quarterly'!K5</f>
        <v>12</v>
      </c>
      <c r="V32" s="1062">
        <f>'ARP Quarterly'!L5</f>
        <v>12</v>
      </c>
      <c r="W32" s="682">
        <f>'ARP Quarterly'!M5</f>
        <v>12</v>
      </c>
      <c r="X32" s="682">
        <f>'ARP Quarterly'!N5</f>
        <v>4.2219999999999995</v>
      </c>
      <c r="Y32" s="682">
        <f>'ARP Quarterly'!O5</f>
        <v>4.2219999999999995</v>
      </c>
      <c r="Z32" s="682">
        <f>'ARP Quarterly'!P5</f>
        <v>4.2219999999999995</v>
      </c>
      <c r="AA32" s="682">
        <f>'ARP Quarterly'!Q5</f>
        <v>4.2219999999999995</v>
      </c>
      <c r="AB32" s="682">
        <f>'ARP Quarterly'!R5</f>
        <v>2.3719999999999999</v>
      </c>
      <c r="AC32" s="1082">
        <f>'ARP Quarterly'!S5</f>
        <v>2.3719999999999999</v>
      </c>
    </row>
    <row r="33" spans="2:101" ht="22.4" customHeight="1" x14ac:dyDescent="0.35">
      <c r="B33" s="374" t="s">
        <v>206</v>
      </c>
      <c r="C33" s="823"/>
      <c r="D33" s="391"/>
      <c r="E33" s="365"/>
      <c r="F33" s="365"/>
      <c r="G33" s="365"/>
      <c r="H33" s="365"/>
      <c r="I33" s="365"/>
      <c r="J33" s="365"/>
      <c r="K33" s="365"/>
      <c r="L33" s="365"/>
      <c r="M33" s="606">
        <f>'ARP Quarterly'!C4</f>
        <v>0</v>
      </c>
      <c r="N33" s="606">
        <f>'ARP Quarterly'!D4</f>
        <v>0</v>
      </c>
      <c r="O33" s="606">
        <f>'ARP Quarterly'!E4</f>
        <v>3.1040000000000418</v>
      </c>
      <c r="P33" s="606">
        <f>'ARP Quarterly'!F4</f>
        <v>19.719000000000005</v>
      </c>
      <c r="Q33" s="606">
        <f>'ARP Quarterly'!G4</f>
        <v>19.719000000000005</v>
      </c>
      <c r="R33" s="606">
        <f>'ARP Quarterly'!H4</f>
        <v>19.719000000000005</v>
      </c>
      <c r="S33" s="606">
        <f>'ARP Quarterly'!I4</f>
        <v>19.719000000000005</v>
      </c>
      <c r="T33" s="606">
        <f>'ARP Quarterly'!J4</f>
        <v>1.4159999999999999</v>
      </c>
      <c r="U33" s="606">
        <f>'ARP Quarterly'!K4</f>
        <v>1.4159999999999999</v>
      </c>
      <c r="V33" s="606">
        <f>'ARP Quarterly'!L4</f>
        <v>1.4159999999999999</v>
      </c>
      <c r="W33" s="711">
        <f>'ARP Quarterly'!M4</f>
        <v>1.4159999999999999</v>
      </c>
      <c r="X33" s="711">
        <f>'ARP Quarterly'!N4</f>
        <v>1.4790000000000001</v>
      </c>
      <c r="Y33" s="711">
        <f>'ARP Quarterly'!O4</f>
        <v>1.4790000000000001</v>
      </c>
      <c r="Z33" s="711">
        <f>'ARP Quarterly'!P4</f>
        <v>1.4790000000000001</v>
      </c>
      <c r="AA33" s="711">
        <f>'ARP Quarterly'!Q4</f>
        <v>1.4790000000000001</v>
      </c>
      <c r="AB33" s="711">
        <f>'ARP Quarterly'!R4</f>
        <v>1.63</v>
      </c>
      <c r="AC33" s="1057">
        <f>'ARP Quarterly'!S4</f>
        <v>1.63</v>
      </c>
      <c r="AE33" s="823"/>
      <c r="AF33" s="823"/>
      <c r="AG33" s="823"/>
      <c r="AH33" s="823"/>
      <c r="AI33" s="823"/>
      <c r="AJ33" s="823"/>
      <c r="AK33" s="823"/>
      <c r="AL33" s="823"/>
      <c r="AM33" s="823"/>
      <c r="AN33" s="823"/>
      <c r="AO33" s="823"/>
      <c r="AP33" s="823"/>
      <c r="AQ33" s="823"/>
      <c r="AR33" s="823"/>
      <c r="AS33" s="823"/>
      <c r="AT33" s="823"/>
      <c r="AU33" s="823"/>
      <c r="AV33" s="823"/>
      <c r="AW33" s="823"/>
      <c r="AX33" s="823"/>
      <c r="AY33" s="823"/>
      <c r="AZ33" s="823"/>
      <c r="BA33" s="823"/>
      <c r="BB33" s="823"/>
      <c r="BC33" s="823"/>
      <c r="BD33" s="823"/>
      <c r="BE33" s="823"/>
      <c r="BF33" s="823"/>
      <c r="BG33" s="823"/>
      <c r="BH33" s="823"/>
      <c r="BI33" s="823"/>
      <c r="BJ33" s="823"/>
      <c r="BK33" s="823"/>
      <c r="BL33" s="823"/>
      <c r="BM33" s="823"/>
      <c r="BN33" s="823"/>
      <c r="BO33" s="823"/>
      <c r="BP33" s="823"/>
      <c r="BQ33" s="823"/>
      <c r="BR33" s="823"/>
      <c r="BS33" s="823"/>
      <c r="BT33" s="823"/>
      <c r="BU33" s="823"/>
      <c r="BV33" s="823"/>
      <c r="BW33" s="823"/>
      <c r="BX33" s="823"/>
      <c r="BY33" s="823"/>
      <c r="BZ33" s="823"/>
      <c r="CA33" s="823"/>
      <c r="CB33" s="823"/>
      <c r="CC33" s="823"/>
      <c r="CD33" s="823"/>
      <c r="CE33" s="823"/>
      <c r="CF33" s="823"/>
      <c r="CG33" s="823"/>
      <c r="CH33" s="823"/>
      <c r="CI33" s="823"/>
      <c r="CJ33" s="823"/>
      <c r="CK33" s="823"/>
      <c r="CL33" s="823"/>
      <c r="CM33" s="823"/>
      <c r="CN33" s="823"/>
      <c r="CO33" s="823"/>
      <c r="CP33" s="823"/>
      <c r="CQ33" s="823"/>
      <c r="CR33" s="823"/>
      <c r="CS33" s="823"/>
      <c r="CT33" s="823"/>
      <c r="CU33" s="823"/>
      <c r="CV33" s="823"/>
      <c r="CW33" s="823"/>
    </row>
    <row r="34" spans="2:101" ht="36.65" customHeight="1" x14ac:dyDescent="0.35">
      <c r="B34" s="374" t="s">
        <v>1383</v>
      </c>
      <c r="C34" s="268"/>
      <c r="D34" s="392">
        <f>D85</f>
        <v>0</v>
      </c>
      <c r="E34" s="265">
        <f t="shared" ref="E34:AC34" si="12">E85</f>
        <v>0</v>
      </c>
      <c r="F34" s="265">
        <f t="shared" si="12"/>
        <v>0</v>
      </c>
      <c r="G34" s="265">
        <f t="shared" si="12"/>
        <v>0</v>
      </c>
      <c r="H34" s="265">
        <f t="shared" si="12"/>
        <v>0</v>
      </c>
      <c r="I34" s="606">
        <f t="shared" si="12"/>
        <v>6.9950000000000045</v>
      </c>
      <c r="J34" s="606">
        <f t="shared" si="12"/>
        <v>51.122999999999998</v>
      </c>
      <c r="K34" s="606">
        <f t="shared" si="12"/>
        <v>51.055</v>
      </c>
      <c r="L34" s="606">
        <f t="shared" si="12"/>
        <v>51.762999999999998</v>
      </c>
      <c r="M34" s="606">
        <f t="shared" si="12"/>
        <v>91.453000000000003</v>
      </c>
      <c r="N34" s="606">
        <f t="shared" si="12"/>
        <v>101.11800000000002</v>
      </c>
      <c r="O34" s="606">
        <f t="shared" si="12"/>
        <v>93.417000000000002</v>
      </c>
      <c r="P34" s="606">
        <f t="shared" si="12"/>
        <v>99.84</v>
      </c>
      <c r="Q34" s="606">
        <f t="shared" si="12"/>
        <v>77.435000000000002</v>
      </c>
      <c r="R34" s="606">
        <f t="shared" si="12"/>
        <v>74.290999999999997</v>
      </c>
      <c r="S34" s="606">
        <f t="shared" si="12"/>
        <v>69.937000000000012</v>
      </c>
      <c r="T34" s="606">
        <f t="shared" si="12"/>
        <v>91.18</v>
      </c>
      <c r="U34" s="606">
        <f t="shared" si="12"/>
        <v>84.404000000000025</v>
      </c>
      <c r="V34" s="606">
        <f>V85</f>
        <v>52.51</v>
      </c>
      <c r="W34" s="711">
        <f>W85</f>
        <v>52.51</v>
      </c>
      <c r="X34" s="711">
        <f t="shared" si="12"/>
        <v>52.51</v>
      </c>
      <c r="Y34" s="711">
        <f t="shared" si="12"/>
        <v>52.51</v>
      </c>
      <c r="Z34" s="711">
        <f t="shared" si="12"/>
        <v>52.51</v>
      </c>
      <c r="AA34" s="711">
        <f t="shared" si="12"/>
        <v>52.51</v>
      </c>
      <c r="AB34" s="711">
        <f t="shared" si="12"/>
        <v>52.51</v>
      </c>
      <c r="AC34" s="1057">
        <f t="shared" si="12"/>
        <v>52.51</v>
      </c>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row>
    <row r="35" spans="2:101" ht="15.65" customHeight="1" x14ac:dyDescent="0.35">
      <c r="B35" s="1063" t="s">
        <v>761</v>
      </c>
      <c r="C35" s="268" t="s">
        <v>788</v>
      </c>
      <c r="D35" s="391">
        <v>30</v>
      </c>
      <c r="E35" s="365">
        <v>30</v>
      </c>
      <c r="F35" s="365">
        <v>30</v>
      </c>
      <c r="G35" s="365">
        <v>30</v>
      </c>
      <c r="H35" s="365">
        <v>30</v>
      </c>
      <c r="I35" s="365">
        <v>30</v>
      </c>
      <c r="J35" s="365">
        <v>30</v>
      </c>
      <c r="K35" s="361">
        <v>30.2</v>
      </c>
      <c r="L35" s="361">
        <v>30.2</v>
      </c>
      <c r="M35" s="361">
        <f>'Haver Pivoted'!GX89</f>
        <v>34.4</v>
      </c>
      <c r="N35" s="361">
        <f>'Haver Pivoted'!GY89</f>
        <v>34.4</v>
      </c>
      <c r="O35" s="361">
        <f>'Haver Pivoted'!GZ89</f>
        <v>218.933333333333</v>
      </c>
      <c r="P35" s="361">
        <f>'Haver Pivoted'!HA89</f>
        <v>223.13333333333301</v>
      </c>
      <c r="Q35" s="361">
        <f>'Haver Pivoted'!HB89</f>
        <v>94.3</v>
      </c>
      <c r="R35" s="361">
        <f>'Haver Pivoted'!HC89</f>
        <v>94.3</v>
      </c>
      <c r="S35" s="576">
        <f>'Haver Pivoted'!HD89</f>
        <v>94.3</v>
      </c>
      <c r="T35" s="576">
        <f>'Haver Pivoted'!HE89</f>
        <v>94.3</v>
      </c>
      <c r="U35" s="711">
        <v>34</v>
      </c>
      <c r="V35" s="606">
        <v>34</v>
      </c>
      <c r="W35" s="711">
        <v>34</v>
      </c>
      <c r="X35" s="711">
        <v>34</v>
      </c>
      <c r="Y35" s="711">
        <v>34</v>
      </c>
      <c r="Z35" s="711">
        <v>34</v>
      </c>
      <c r="AA35" s="711">
        <v>34</v>
      </c>
      <c r="AB35" s="711">
        <v>34</v>
      </c>
      <c r="AC35" s="1057">
        <v>34</v>
      </c>
    </row>
    <row r="36" spans="2:101" ht="21.65" customHeight="1" x14ac:dyDescent="0.35">
      <c r="B36" s="374" t="s">
        <v>433</v>
      </c>
      <c r="C36" s="268"/>
      <c r="D36" s="392"/>
      <c r="E36" s="265"/>
      <c r="F36" s="265"/>
      <c r="G36" s="265"/>
      <c r="H36" s="606"/>
      <c r="I36" s="606"/>
      <c r="J36" s="606">
        <f>'PPP (expired)'!J53</f>
        <v>57.2</v>
      </c>
      <c r="K36" s="606">
        <f>'PPP (expired)'!K53</f>
        <v>81.2</v>
      </c>
      <c r="L36" s="606">
        <f>'PPP (expired)'!L53</f>
        <v>24.4</v>
      </c>
      <c r="M36" s="606">
        <f>'PPP (expired)'!M53</f>
        <v>11.7</v>
      </c>
      <c r="N36" s="606">
        <f>'PPP (expired)'!N53</f>
        <v>28.5</v>
      </c>
      <c r="O36" s="606">
        <f>'PPP (expired)'!O53</f>
        <v>18.8</v>
      </c>
      <c r="P36" s="606">
        <f>'PPP (expired)'!P53</f>
        <v>1.6</v>
      </c>
      <c r="Q36" s="606">
        <f>'PPP (expired)'!Q53</f>
        <v>0</v>
      </c>
      <c r="R36" s="606">
        <f>'PPP (expired)'!Q61</f>
        <v>0</v>
      </c>
      <c r="S36" s="606">
        <f>'PPP (expired)'!S53</f>
        <v>0</v>
      </c>
      <c r="T36" s="606">
        <f>'PPP (expired)'!T53</f>
        <v>0</v>
      </c>
      <c r="U36" s="606">
        <f>'PPP (expired)'!U53</f>
        <v>0</v>
      </c>
      <c r="V36" s="606">
        <f>'PPP (expired)'!V53</f>
        <v>0</v>
      </c>
      <c r="W36" s="711">
        <f>'PPP (expired)'!W53</f>
        <v>0</v>
      </c>
      <c r="X36" s="711">
        <f>'PPP (expired)'!X53</f>
        <v>0</v>
      </c>
      <c r="Y36" s="711">
        <f>'PPP (expired)'!Y53</f>
        <v>0</v>
      </c>
      <c r="Z36" s="711">
        <f>'PPP (expired)'!Z53</f>
        <v>0</v>
      </c>
      <c r="AA36" s="711">
        <f>'PPP (expired)'!AA53</f>
        <v>0</v>
      </c>
      <c r="AB36" s="711">
        <f>'PPP (expired)'!AB53</f>
        <v>0</v>
      </c>
      <c r="AC36" s="1057">
        <f>'PPP (expired)'!AC53</f>
        <v>0</v>
      </c>
    </row>
    <row r="37" spans="2:101" ht="21.65" customHeight="1" x14ac:dyDescent="0.35">
      <c r="B37" s="403" t="s">
        <v>762</v>
      </c>
      <c r="C37" s="268"/>
      <c r="D37" s="705">
        <f t="shared" ref="D37:AC37" si="13">D109</f>
        <v>0</v>
      </c>
      <c r="E37" s="606">
        <f t="shared" si="13"/>
        <v>0</v>
      </c>
      <c r="F37" s="606">
        <f t="shared" si="13"/>
        <v>0</v>
      </c>
      <c r="G37" s="606">
        <f t="shared" si="13"/>
        <v>0</v>
      </c>
      <c r="H37" s="606">
        <f t="shared" si="13"/>
        <v>0</v>
      </c>
      <c r="I37" s="606">
        <f t="shared" si="13"/>
        <v>-6.9950000000003456</v>
      </c>
      <c r="J37" s="606">
        <f t="shared" si="13"/>
        <v>-38.323000000000548</v>
      </c>
      <c r="K37" s="606">
        <f t="shared" si="13"/>
        <v>85.244999999999436</v>
      </c>
      <c r="L37" s="606">
        <f t="shared" si="13"/>
        <v>17.936999999999443</v>
      </c>
      <c r="M37" s="606">
        <f t="shared" si="13"/>
        <v>20.752999999999702</v>
      </c>
      <c r="N37" s="606">
        <f t="shared" si="13"/>
        <v>-8.8338400000009187</v>
      </c>
      <c r="O37" s="606">
        <f t="shared" si="13"/>
        <v>-12.81449333333353</v>
      </c>
      <c r="P37" s="606">
        <f t="shared" si="13"/>
        <v>-32.243333333333567</v>
      </c>
      <c r="Q37" s="606">
        <f t="shared" si="13"/>
        <v>72.944079999999303</v>
      </c>
      <c r="R37" s="606">
        <f t="shared" si="13"/>
        <v>74.4880799999994</v>
      </c>
      <c r="S37" s="606">
        <f t="shared" si="13"/>
        <v>64.242079999999305</v>
      </c>
      <c r="T37" s="606">
        <f t="shared" si="13"/>
        <v>111.2590799999989</v>
      </c>
      <c r="U37" s="1060">
        <f t="shared" si="13"/>
        <v>80.691958999999542</v>
      </c>
      <c r="V37" s="606">
        <f>V109</f>
        <v>93.528816142856385</v>
      </c>
      <c r="W37" s="711">
        <f t="shared" si="13"/>
        <v>93.528816142856385</v>
      </c>
      <c r="X37" s="711">
        <f t="shared" si="13"/>
        <v>93.528816142856385</v>
      </c>
      <c r="Y37" s="711">
        <f t="shared" si="13"/>
        <v>93.528816142856385</v>
      </c>
      <c r="Z37" s="711">
        <f t="shared" si="13"/>
        <v>93.528816142856385</v>
      </c>
      <c r="AA37" s="711">
        <f t="shared" si="13"/>
        <v>93.528816142856385</v>
      </c>
      <c r="AB37" s="711">
        <f t="shared" si="13"/>
        <v>93.528816142856385</v>
      </c>
      <c r="AC37" s="1057">
        <f t="shared" si="13"/>
        <v>93.528816142856385</v>
      </c>
    </row>
    <row r="38" spans="2:101" ht="21" customHeight="1" x14ac:dyDescent="0.35">
      <c r="B38" s="389" t="s">
        <v>759</v>
      </c>
      <c r="C38" s="385"/>
      <c r="D38" s="861">
        <f t="shared" ref="D38:AC38" si="14">D33+D21</f>
        <v>0</v>
      </c>
      <c r="E38" s="747">
        <f t="shared" si="14"/>
        <v>0</v>
      </c>
      <c r="F38" s="747">
        <f t="shared" si="14"/>
        <v>0</v>
      </c>
      <c r="G38" s="747">
        <f t="shared" si="14"/>
        <v>0</v>
      </c>
      <c r="H38" s="747">
        <f t="shared" si="14"/>
        <v>0</v>
      </c>
      <c r="I38" s="747">
        <f t="shared" si="14"/>
        <v>0</v>
      </c>
      <c r="J38" s="747">
        <f t="shared" si="14"/>
        <v>160.9</v>
      </c>
      <c r="K38" s="747">
        <f t="shared" si="14"/>
        <v>58.4</v>
      </c>
      <c r="L38" s="747">
        <f t="shared" si="14"/>
        <v>34.5</v>
      </c>
      <c r="M38" s="747">
        <f t="shared" si="14"/>
        <v>21.4</v>
      </c>
      <c r="N38" s="747">
        <f t="shared" si="14"/>
        <v>13.3</v>
      </c>
      <c r="O38" s="747">
        <f t="shared" si="14"/>
        <v>21.804000000000041</v>
      </c>
      <c r="P38" s="680">
        <f t="shared" si="14"/>
        <v>51.919000000000011</v>
      </c>
      <c r="Q38" s="747">
        <f t="shared" si="14"/>
        <v>46.619</v>
      </c>
      <c r="R38" s="747">
        <f t="shared" si="14"/>
        <v>39.719000000000008</v>
      </c>
      <c r="S38" s="747">
        <f t="shared" si="14"/>
        <v>27.819000000000003</v>
      </c>
      <c r="T38" s="680">
        <f t="shared" si="14"/>
        <v>6.3160000000000007</v>
      </c>
      <c r="U38" s="680">
        <f t="shared" si="14"/>
        <v>1.4159999999999999</v>
      </c>
      <c r="V38" s="1062">
        <f t="shared" si="14"/>
        <v>1.4159999999999999</v>
      </c>
      <c r="W38" s="682">
        <f t="shared" si="14"/>
        <v>1.4159999999999999</v>
      </c>
      <c r="X38" s="682">
        <f t="shared" si="14"/>
        <v>1.4790000000000001</v>
      </c>
      <c r="Y38" s="682">
        <f t="shared" si="14"/>
        <v>1.4790000000000001</v>
      </c>
      <c r="Z38" s="682">
        <f t="shared" si="14"/>
        <v>1.4790000000000001</v>
      </c>
      <c r="AA38" s="682">
        <f t="shared" si="14"/>
        <v>1.4790000000000001</v>
      </c>
      <c r="AB38" s="682">
        <f t="shared" si="14"/>
        <v>1.63</v>
      </c>
      <c r="AC38" s="682">
        <f t="shared" si="14"/>
        <v>1.63</v>
      </c>
    </row>
    <row r="39" spans="2:101" ht="44.9" customHeight="1" x14ac:dyDescent="0.35">
      <c r="B39" s="374" t="s">
        <v>766</v>
      </c>
      <c r="C39" s="268"/>
      <c r="D39" s="705">
        <f t="shared" ref="D39:AC39" si="15">D101</f>
        <v>1410.9</v>
      </c>
      <c r="E39" s="606">
        <f t="shared" si="15"/>
        <v>1470.7000000000003</v>
      </c>
      <c r="F39" s="606">
        <f t="shared" si="15"/>
        <v>1475.8999999999996</v>
      </c>
      <c r="G39" s="606">
        <f t="shared" si="15"/>
        <v>1482.6999999999998</v>
      </c>
      <c r="H39" s="606">
        <f t="shared" si="15"/>
        <v>1490.8000000000002</v>
      </c>
      <c r="I39" s="606">
        <f t="shared" si="15"/>
        <v>1542.7000000000003</v>
      </c>
      <c r="J39" s="606">
        <f t="shared" si="15"/>
        <v>1549.4000000000003</v>
      </c>
      <c r="K39" s="606">
        <f t="shared" si="15"/>
        <v>1556.1000000000004</v>
      </c>
      <c r="L39" s="606">
        <f t="shared" si="15"/>
        <v>1562.8000000000004</v>
      </c>
      <c r="M39" s="606">
        <f t="shared" si="15"/>
        <v>1587.4940000000006</v>
      </c>
      <c r="N39" s="606">
        <f t="shared" si="15"/>
        <v>1594.1940000000006</v>
      </c>
      <c r="O39" s="606">
        <f t="shared" si="15"/>
        <v>1600.8940000000007</v>
      </c>
      <c r="P39" s="606">
        <f t="shared" si="15"/>
        <v>1607.5940000000007</v>
      </c>
      <c r="Q39" s="606">
        <f t="shared" si="15"/>
        <v>1686.2449200000008</v>
      </c>
      <c r="R39" s="606">
        <f t="shared" si="15"/>
        <v>1692.9449200000008</v>
      </c>
      <c r="S39" s="606">
        <f t="shared" si="15"/>
        <v>1699.6449200000009</v>
      </c>
      <c r="T39" s="606">
        <f t="shared" si="15"/>
        <v>1706.3449200000009</v>
      </c>
      <c r="U39" s="606">
        <f t="shared" si="15"/>
        <v>1819.6880410000008</v>
      </c>
      <c r="V39" s="606">
        <f t="shared" si="15"/>
        <v>1826.3880410000008</v>
      </c>
      <c r="W39" s="711">
        <f t="shared" si="15"/>
        <v>1833.0880410000009</v>
      </c>
      <c r="X39" s="711">
        <f t="shared" si="15"/>
        <v>1839.7880410000009</v>
      </c>
      <c r="Y39" s="711">
        <f t="shared" si="15"/>
        <v>1889.111191700001</v>
      </c>
      <c r="Z39" s="711">
        <f t="shared" si="15"/>
        <v>1895.811191700001</v>
      </c>
      <c r="AA39" s="711">
        <f t="shared" si="15"/>
        <v>1902.5111917000011</v>
      </c>
      <c r="AB39" s="711">
        <f t="shared" si="15"/>
        <v>1909.2111917000011</v>
      </c>
      <c r="AC39" s="1057">
        <f t="shared" si="15"/>
        <v>1945.544534176001</v>
      </c>
    </row>
    <row r="40" spans="2:101" ht="44.9" customHeight="1" x14ac:dyDescent="0.35">
      <c r="B40" s="530" t="s">
        <v>1136</v>
      </c>
      <c r="D40" s="705"/>
      <c r="E40" s="606"/>
      <c r="F40" s="606"/>
      <c r="G40" s="606"/>
      <c r="H40" s="606"/>
      <c r="I40" s="606"/>
      <c r="J40" s="606"/>
      <c r="K40" s="606"/>
      <c r="L40" s="606"/>
      <c r="M40" s="606"/>
      <c r="N40" s="606"/>
      <c r="O40" s="606"/>
      <c r="P40" s="606"/>
      <c r="Q40" s="606"/>
      <c r="R40" s="606"/>
      <c r="S40" s="845">
        <f>'IRA and CHIPS'!E191</f>
        <v>-0.622</v>
      </c>
      <c r="T40" s="845">
        <f>'IRA and CHIPS'!F191</f>
        <v>21.89</v>
      </c>
      <c r="U40" s="845">
        <f>'IRA and CHIPS'!G191</f>
        <v>21.89</v>
      </c>
      <c r="V40" s="845">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66">
        <f>'IRA and CHIPS'!O191</f>
        <v>16.966999999999999</v>
      </c>
    </row>
    <row r="41" spans="2:101" ht="31.4" customHeight="1" x14ac:dyDescent="0.35">
      <c r="B41" s="695" t="s">
        <v>763</v>
      </c>
      <c r="C41" s="385"/>
      <c r="D41" s="680">
        <f t="shared" ref="D41:R41" si="16">D39+SUM(D34:D37)+D40</f>
        <v>1440.9</v>
      </c>
      <c r="E41" s="680">
        <f t="shared" si="16"/>
        <v>1500.7000000000003</v>
      </c>
      <c r="F41" s="680">
        <f t="shared" si="16"/>
        <v>1505.8999999999996</v>
      </c>
      <c r="G41" s="680">
        <f t="shared" si="16"/>
        <v>1512.6999999999998</v>
      </c>
      <c r="H41" s="680">
        <f t="shared" si="16"/>
        <v>1520.8000000000002</v>
      </c>
      <c r="I41" s="680">
        <f t="shared" si="16"/>
        <v>1572.6999999999998</v>
      </c>
      <c r="J41" s="680">
        <f t="shared" si="16"/>
        <v>1649.3999999999996</v>
      </c>
      <c r="K41" s="680">
        <f t="shared" si="16"/>
        <v>1803.7999999999997</v>
      </c>
      <c r="L41" s="680">
        <f t="shared" si="16"/>
        <v>1687.1</v>
      </c>
      <c r="M41" s="680">
        <f t="shared" si="16"/>
        <v>1745.8000000000002</v>
      </c>
      <c r="N41" s="680">
        <f t="shared" si="16"/>
        <v>1749.3781599999998</v>
      </c>
      <c r="O41" s="680">
        <f t="shared" si="16"/>
        <v>1919.2298400000002</v>
      </c>
      <c r="P41" s="680">
        <f t="shared" si="16"/>
        <v>1899.9240000000002</v>
      </c>
      <c r="Q41" s="680">
        <f t="shared" si="16"/>
        <v>1930.924</v>
      </c>
      <c r="R41" s="680">
        <f t="shared" si="16"/>
        <v>1936.0240000000003</v>
      </c>
      <c r="S41" s="680">
        <f>S39+SUM(S34:S37)+S40</f>
        <v>1927.5020000000002</v>
      </c>
      <c r="T41" s="849">
        <f>T39+SUM(T34:T37)+T40</f>
        <v>2024.9739999999999</v>
      </c>
      <c r="U41" s="849">
        <f>U39+SUM(U34:U37)+U40</f>
        <v>2040.6740000000004</v>
      </c>
      <c r="V41" s="1062">
        <f>V39+SUM(V34:V37)+V40</f>
        <v>2028.3168571428573</v>
      </c>
      <c r="W41" s="682">
        <f t="shared" ref="W41:AC41" si="17">W39+SUM(W34:W37)+W40</f>
        <v>2035.0168571428574</v>
      </c>
      <c r="X41" s="682">
        <f t="shared" si="17"/>
        <v>2035.2658571428574</v>
      </c>
      <c r="Y41" s="682">
        <f t="shared" si="17"/>
        <v>2084.589007842857</v>
      </c>
      <c r="Z41" s="682">
        <f t="shared" si="17"/>
        <v>2091.2890078428572</v>
      </c>
      <c r="AA41" s="682">
        <f t="shared" si="17"/>
        <v>2097.9890078428575</v>
      </c>
      <c r="AB41" s="682">
        <f t="shared" si="17"/>
        <v>2106.2170078428576</v>
      </c>
      <c r="AC41" s="682">
        <f t="shared" si="17"/>
        <v>2142.5503503188575</v>
      </c>
    </row>
    <row r="42" spans="2:101" ht="31.4" customHeight="1" x14ac:dyDescent="0.35">
      <c r="B42" s="695"/>
      <c r="C42" s="385"/>
      <c r="D42" s="680"/>
      <c r="E42" s="680"/>
      <c r="F42" s="680"/>
      <c r="G42" s="680"/>
      <c r="H42" s="680"/>
      <c r="I42" s="680"/>
      <c r="J42" s="680"/>
      <c r="K42" s="680"/>
      <c r="L42" s="680"/>
      <c r="M42" s="680"/>
      <c r="N42" s="680"/>
      <c r="O42" s="680"/>
      <c r="P42" s="680"/>
      <c r="Q42" s="680"/>
      <c r="R42" s="680"/>
      <c r="S42" s="680"/>
      <c r="T42" s="680"/>
      <c r="U42" s="680"/>
      <c r="V42" s="680">
        <f>V12-SUM(V14,V17,V18,V21,V32,V33,V34,V35)+V40</f>
        <v>1941.8068571428573</v>
      </c>
      <c r="W42" s="682"/>
      <c r="X42" s="682"/>
      <c r="Y42" s="682"/>
      <c r="Z42" s="682"/>
      <c r="AA42" s="682"/>
      <c r="AB42" s="682"/>
      <c r="AC42" s="682"/>
    </row>
    <row r="43" spans="2:101" ht="31.4" customHeight="1" x14ac:dyDescent="0.35">
      <c r="B43" s="1496" t="s">
        <v>436</v>
      </c>
      <c r="C43" s="1498"/>
      <c r="D43" s="691"/>
      <c r="E43" s="692"/>
      <c r="F43" s="692"/>
      <c r="G43" s="692"/>
      <c r="H43" s="692"/>
      <c r="I43" s="692"/>
      <c r="J43" s="692"/>
      <c r="K43" s="692"/>
      <c r="L43" s="692"/>
      <c r="M43" s="692"/>
      <c r="N43" s="692"/>
      <c r="O43" s="692"/>
      <c r="P43" s="692"/>
      <c r="Q43" s="692"/>
      <c r="R43" s="692"/>
      <c r="S43" s="692"/>
      <c r="T43" s="680"/>
      <c r="U43" s="692"/>
      <c r="V43" s="680">
        <f>V39+V37</f>
        <v>1919.9168571428572</v>
      </c>
      <c r="W43" s="682"/>
      <c r="X43" s="682"/>
      <c r="Y43" s="682"/>
      <c r="Z43" s="682"/>
      <c r="AA43" s="682"/>
      <c r="AB43" s="682"/>
      <c r="AC43" s="1082"/>
    </row>
    <row r="44" spans="2:101" x14ac:dyDescent="0.35">
      <c r="B44" s="403" t="s">
        <v>768</v>
      </c>
      <c r="C44" s="268" t="s">
        <v>437</v>
      </c>
      <c r="D44" s="392">
        <f>'Haver Pivoted'!GO37</f>
        <v>733.6</v>
      </c>
      <c r="E44" s="265">
        <f>'Haver Pivoted'!GP37</f>
        <v>744.3</v>
      </c>
      <c r="F44" s="265">
        <f>'Haver Pivoted'!GQ37</f>
        <v>762.3</v>
      </c>
      <c r="G44" s="265">
        <f>'Haver Pivoted'!GR37</f>
        <v>772.2</v>
      </c>
      <c r="H44" s="265">
        <f>'Haver Pivoted'!GS37</f>
        <v>772.1</v>
      </c>
      <c r="I44" s="265">
        <f>'Haver Pivoted'!GT37</f>
        <v>760.7</v>
      </c>
      <c r="J44" s="265">
        <f>'Haver Pivoted'!GU37</f>
        <v>811.2</v>
      </c>
      <c r="K44" s="265">
        <f>'Haver Pivoted'!GV37</f>
        <v>850.3</v>
      </c>
      <c r="L44" s="265">
        <f>'Haver Pivoted'!GW37</f>
        <v>840.8</v>
      </c>
      <c r="M44" s="265">
        <f>'Haver Pivoted'!GX37</f>
        <v>870.7</v>
      </c>
      <c r="N44" s="265">
        <f>'Haver Pivoted'!GY37</f>
        <v>914.7</v>
      </c>
      <c r="O44" s="265">
        <f>'Haver Pivoted'!GZ37</f>
        <v>923.7</v>
      </c>
      <c r="P44" s="265">
        <f>'Haver Pivoted'!HA37</f>
        <v>921.7</v>
      </c>
      <c r="Q44" s="265">
        <f>'Haver Pivoted'!HB37</f>
        <v>969.3</v>
      </c>
      <c r="R44" s="265">
        <f>'Haver Pivoted'!HC37</f>
        <v>1003.7</v>
      </c>
      <c r="S44" s="745">
        <f>'Haver Pivoted'!HD37</f>
        <v>1023</v>
      </c>
      <c r="T44" s="745">
        <f>'Haver Pivoted'!HE37</f>
        <v>1084.0999999999999</v>
      </c>
      <c r="U44" s="745">
        <f>'Haver Pivoted'!HF37</f>
        <v>1068</v>
      </c>
      <c r="V44" s="745">
        <f>'Haver Pivoted'!HG37</f>
        <v>1094.7</v>
      </c>
      <c r="W44" s="405"/>
      <c r="X44" s="405"/>
      <c r="Y44" s="405"/>
      <c r="Z44" s="405"/>
      <c r="AA44" s="405"/>
      <c r="AB44" s="405"/>
      <c r="AC44" s="1085"/>
    </row>
    <row r="45" spans="2:101" x14ac:dyDescent="0.35">
      <c r="B45" s="679" t="s">
        <v>197</v>
      </c>
      <c r="C45" s="268"/>
      <c r="D45" s="705">
        <f>Medicaid!D30</f>
        <v>589.5</v>
      </c>
      <c r="E45" s="606">
        <f>Medicaid!E30</f>
        <v>598.70000000000005</v>
      </c>
      <c r="F45" s="606">
        <f>Medicaid!F30</f>
        <v>614.4</v>
      </c>
      <c r="G45" s="606">
        <f>Medicaid!G30</f>
        <v>622.4</v>
      </c>
      <c r="H45" s="606">
        <f>Medicaid!H30</f>
        <v>620.6</v>
      </c>
      <c r="I45" s="606">
        <f>Medicaid!I30</f>
        <v>606.5</v>
      </c>
      <c r="J45" s="606">
        <f>Medicaid!J30</f>
        <v>654.6</v>
      </c>
      <c r="K45" s="606">
        <f>Medicaid!K30</f>
        <v>690.7</v>
      </c>
      <c r="L45" s="606">
        <f>Medicaid!L30</f>
        <v>678.5</v>
      </c>
      <c r="M45" s="606">
        <f>Medicaid!M30</f>
        <v>704.8</v>
      </c>
      <c r="N45" s="606">
        <f>Medicaid!N30</f>
        <v>745.5</v>
      </c>
      <c r="O45" s="606">
        <f>Medicaid!O30</f>
        <v>749.2</v>
      </c>
      <c r="P45" s="606">
        <f>Medicaid!P30</f>
        <v>746.4</v>
      </c>
      <c r="Q45" s="606">
        <f>Medicaid!Q30</f>
        <v>792.1</v>
      </c>
      <c r="R45" s="606">
        <f>Medicaid!R30</f>
        <v>819.3</v>
      </c>
      <c r="S45" s="745">
        <f>Medicaid!S30</f>
        <v>818.9</v>
      </c>
      <c r="T45" s="606">
        <f>Medicaid!T30</f>
        <v>827.1</v>
      </c>
      <c r="U45" s="606">
        <f>Medicaid!U30</f>
        <v>876.8</v>
      </c>
      <c r="V45" s="606">
        <f>Medicaid!V30</f>
        <v>910.9</v>
      </c>
      <c r="W45" s="711">
        <f>Medicaid!W30</f>
        <v>867.3</v>
      </c>
      <c r="X45" s="711">
        <f>Medicaid!X30</f>
        <v>857.7</v>
      </c>
      <c r="Y45" s="711">
        <f>Medicaid!Y30</f>
        <v>909.4</v>
      </c>
      <c r="Z45" s="711">
        <f>Medicaid!Z30</f>
        <v>934.7</v>
      </c>
      <c r="AA45" s="711">
        <f>Medicaid!AA30</f>
        <v>947.9</v>
      </c>
      <c r="AB45" s="711">
        <f>Medicaid!AB30</f>
        <v>960.7</v>
      </c>
      <c r="AC45" s="1057">
        <f>Medicaid!AC30</f>
        <v>955.2</v>
      </c>
    </row>
    <row r="46" spans="2:101" ht="14.9" customHeight="1" x14ac:dyDescent="0.35">
      <c r="B46" s="695" t="s">
        <v>769</v>
      </c>
      <c r="C46" s="385"/>
      <c r="D46" s="704">
        <f>D44-D45</f>
        <v>144.10000000000002</v>
      </c>
      <c r="E46" s="680">
        <f t="shared" ref="E46:O46" si="18">E44-E45</f>
        <v>145.59999999999991</v>
      </c>
      <c r="F46" s="680">
        <f t="shared" si="18"/>
        <v>147.89999999999998</v>
      </c>
      <c r="G46" s="680">
        <f t="shared" si="18"/>
        <v>149.80000000000007</v>
      </c>
      <c r="H46" s="680">
        <f t="shared" si="18"/>
        <v>151.5</v>
      </c>
      <c r="I46" s="680">
        <f t="shared" si="18"/>
        <v>154.20000000000005</v>
      </c>
      <c r="J46" s="680">
        <f t="shared" si="18"/>
        <v>156.60000000000002</v>
      </c>
      <c r="K46" s="680">
        <f t="shared" si="18"/>
        <v>159.59999999999991</v>
      </c>
      <c r="L46" s="680">
        <f t="shared" si="18"/>
        <v>162.29999999999995</v>
      </c>
      <c r="M46" s="680">
        <f t="shared" si="18"/>
        <v>165.90000000000009</v>
      </c>
      <c r="N46" s="680">
        <f t="shared" si="18"/>
        <v>169.20000000000005</v>
      </c>
      <c r="O46" s="680">
        <f t="shared" si="18"/>
        <v>174.5</v>
      </c>
      <c r="P46" s="680">
        <f>P44-P45</f>
        <v>175.30000000000007</v>
      </c>
      <c r="Q46" s="680">
        <f>Q44-Q45</f>
        <v>177.19999999999993</v>
      </c>
      <c r="R46" s="680">
        <f>R44-R45</f>
        <v>184.40000000000009</v>
      </c>
      <c r="S46" s="745">
        <f>S44-S45</f>
        <v>204.10000000000002</v>
      </c>
      <c r="T46" s="745">
        <f>T44-T45</f>
        <v>256.99999999999989</v>
      </c>
      <c r="U46" s="680">
        <f>T46*(1+AVERAGE($F$48:$I$48))+U47</f>
        <v>190.71451531976618</v>
      </c>
      <c r="V46" s="1062">
        <f>U46*(1+AVERAGE($F$48:$I$48))+V47</f>
        <v>193.47098220247852</v>
      </c>
      <c r="W46" s="682">
        <f t="shared" ref="W46:AC46" si="19">V46*(1+AVERAGE($F$48:$I$48))</f>
        <v>196.26728931267826</v>
      </c>
      <c r="X46" s="682">
        <f t="shared" si="19"/>
        <v>199.10401247579478</v>
      </c>
      <c r="Y46" s="682">
        <f t="shared" si="19"/>
        <v>201.98173583987366</v>
      </c>
      <c r="Z46" s="682">
        <f t="shared" si="19"/>
        <v>204.90105199586665</v>
      </c>
      <c r="AA46" s="682">
        <f t="shared" si="19"/>
        <v>207.86256209965993</v>
      </c>
      <c r="AB46" s="682">
        <f t="shared" si="19"/>
        <v>210.86687599586637</v>
      </c>
      <c r="AC46" s="1082">
        <f t="shared" si="19"/>
        <v>213.91461234340684</v>
      </c>
    </row>
    <row r="47" spans="2:101" ht="14.9" customHeight="1" x14ac:dyDescent="0.35">
      <c r="B47" s="695" t="s">
        <v>1644</v>
      </c>
      <c r="C47" s="385"/>
      <c r="D47" s="704"/>
      <c r="E47" s="680"/>
      <c r="F47" s="680"/>
      <c r="G47" s="680"/>
      <c r="H47" s="680"/>
      <c r="I47" s="680"/>
      <c r="J47" s="680"/>
      <c r="K47" s="680"/>
      <c r="L47" s="680"/>
      <c r="M47" s="680"/>
      <c r="N47" s="680"/>
      <c r="O47" s="680"/>
      <c r="P47" s="680"/>
      <c r="Q47" s="680"/>
      <c r="R47" s="680"/>
      <c r="S47" s="745"/>
      <c r="T47" s="680"/>
      <c r="U47" s="680">
        <v>-70</v>
      </c>
      <c r="V47" s="680"/>
      <c r="W47" s="682"/>
      <c r="X47" s="682"/>
      <c r="Y47" s="682"/>
      <c r="Z47" s="682"/>
      <c r="AA47" s="682"/>
      <c r="AB47" s="682"/>
      <c r="AC47" s="1082"/>
    </row>
    <row r="48" spans="2:101" x14ac:dyDescent="0.35">
      <c r="B48" s="860" t="s">
        <v>770</v>
      </c>
      <c r="C48" s="468"/>
      <c r="D48" s="706"/>
      <c r="E48" s="694">
        <f>E46/D46-1</f>
        <v>1.0409437890353201E-2</v>
      </c>
      <c r="F48" s="694">
        <f t="shared" ref="F48:N48" si="20">F46/E46-1</f>
        <v>1.5796703296703685E-2</v>
      </c>
      <c r="G48" s="694">
        <f t="shared" si="20"/>
        <v>1.2846517917512346E-2</v>
      </c>
      <c r="H48" s="694">
        <f t="shared" si="20"/>
        <v>1.1348464619492127E-2</v>
      </c>
      <c r="I48" s="694">
        <f t="shared" si="20"/>
        <v>1.782178217821806E-2</v>
      </c>
      <c r="J48" s="694">
        <f t="shared" si="20"/>
        <v>1.5564202334630295E-2</v>
      </c>
      <c r="K48" s="694">
        <f t="shared" si="20"/>
        <v>1.9157088122604637E-2</v>
      </c>
      <c r="L48" s="694">
        <f t="shared" si="20"/>
        <v>1.6917293233082997E-2</v>
      </c>
      <c r="M48" s="694">
        <f t="shared" si="20"/>
        <v>2.2181146025878951E-2</v>
      </c>
      <c r="N48" s="694">
        <f t="shared" si="20"/>
        <v>1.9891500904158921E-2</v>
      </c>
      <c r="O48" s="694">
        <f>O46/N46-1</f>
        <v>3.1323877068557548E-2</v>
      </c>
      <c r="P48" s="694">
        <f t="shared" ref="P48:S48" si="21">P46/O46-1</f>
        <v>4.5845272206308518E-3</v>
      </c>
      <c r="Q48" s="694">
        <f t="shared" si="21"/>
        <v>1.0838562464346113E-2</v>
      </c>
      <c r="R48" s="694">
        <f t="shared" si="21"/>
        <v>4.0632054176073185E-2</v>
      </c>
      <c r="S48" s="766">
        <f t="shared" si="21"/>
        <v>0.1068329718004335</v>
      </c>
      <c r="T48" s="681"/>
      <c r="U48" s="681"/>
      <c r="V48" s="681"/>
      <c r="W48" s="702"/>
      <c r="X48" s="702"/>
      <c r="Y48" s="702"/>
      <c r="Z48" s="702"/>
      <c r="AA48" s="702"/>
      <c r="AB48" s="702"/>
      <c r="AC48" s="1081"/>
    </row>
    <row r="51" spans="2:39" x14ac:dyDescent="0.35">
      <c r="B51" s="1434"/>
      <c r="C51" s="1434"/>
      <c r="U51" s="265"/>
      <c r="V51" s="265"/>
      <c r="W51" s="265"/>
      <c r="X51" s="265"/>
      <c r="Y51" s="265"/>
      <c r="Z51" s="265"/>
      <c r="AA51" s="265"/>
      <c r="AB51" s="265"/>
      <c r="AC51" s="265"/>
    </row>
    <row r="52" spans="2:39" x14ac:dyDescent="0.35">
      <c r="B52" s="356"/>
      <c r="C52" s="268"/>
      <c r="U52" s="606"/>
      <c r="V52" s="606">
        <f>V40+V39+V34+V35+V36+V37</f>
        <v>2028.3168571428573</v>
      </c>
      <c r="W52" s="606"/>
      <c r="X52" s="606"/>
      <c r="Y52" s="606"/>
      <c r="Z52" s="606"/>
      <c r="AA52" s="606"/>
      <c r="AB52" s="606"/>
      <c r="AC52" s="606"/>
      <c r="AD52" s="633"/>
      <c r="AE52" s="633"/>
      <c r="AF52" s="633"/>
      <c r="AG52" s="633"/>
      <c r="AH52" s="633"/>
      <c r="AI52" s="633"/>
      <c r="AJ52" s="633"/>
      <c r="AK52" s="633"/>
      <c r="AL52" s="633"/>
      <c r="AM52" s="633"/>
    </row>
    <row r="53" spans="2:39" x14ac:dyDescent="0.35">
      <c r="B53" s="356"/>
      <c r="C53" s="268"/>
      <c r="U53" s="265"/>
      <c r="V53" s="265"/>
      <c r="W53" s="265"/>
      <c r="X53" s="265"/>
      <c r="Y53" s="265"/>
      <c r="Z53" s="265"/>
      <c r="AA53" s="265"/>
      <c r="AB53" s="265"/>
      <c r="AC53" s="265"/>
      <c r="AD53" s="633"/>
      <c r="AE53" s="633"/>
      <c r="AF53" s="633"/>
      <c r="AG53" s="633"/>
      <c r="AH53" s="633"/>
      <c r="AI53" s="633"/>
      <c r="AJ53" s="633"/>
      <c r="AK53" s="633"/>
      <c r="AL53" s="633"/>
      <c r="AM53" s="633"/>
    </row>
    <row r="54" spans="2:39" ht="28.5" customHeight="1" x14ac:dyDescent="0.35">
      <c r="B54" s="375"/>
      <c r="C54" s="268"/>
      <c r="U54" s="606"/>
      <c r="V54" s="606"/>
      <c r="W54" s="606"/>
      <c r="X54" s="606"/>
      <c r="Y54" s="606"/>
      <c r="Z54" s="606"/>
      <c r="AA54" s="606"/>
      <c r="AB54" s="606"/>
      <c r="AC54" s="606"/>
      <c r="AD54" s="633"/>
      <c r="AE54" s="633"/>
      <c r="AF54" s="633"/>
      <c r="AG54" s="633"/>
      <c r="AH54" s="633"/>
      <c r="AI54" s="633"/>
      <c r="AJ54" s="633"/>
      <c r="AK54" s="633"/>
      <c r="AL54" s="633"/>
      <c r="AM54" s="633"/>
    </row>
    <row r="55" spans="2:39" x14ac:dyDescent="0.35">
      <c r="B55" s="375"/>
      <c r="C55" s="268"/>
      <c r="U55" s="606"/>
      <c r="V55" s="606"/>
      <c r="W55" s="606"/>
      <c r="X55" s="606"/>
      <c r="Y55" s="606"/>
      <c r="Z55" s="606"/>
      <c r="AA55" s="606"/>
      <c r="AB55" s="606"/>
      <c r="AC55" s="606"/>
      <c r="AD55" s="633"/>
      <c r="AE55" s="633"/>
      <c r="AF55" s="633"/>
      <c r="AG55" s="633"/>
      <c r="AH55" s="633"/>
      <c r="AI55" s="633"/>
      <c r="AJ55" s="633"/>
      <c r="AK55" s="633"/>
      <c r="AL55" s="633"/>
      <c r="AM55" s="633"/>
    </row>
    <row r="56" spans="2:39" x14ac:dyDescent="0.35">
      <c r="B56" s="356"/>
      <c r="C56" s="268"/>
      <c r="U56" s="606"/>
      <c r="V56" s="606"/>
      <c r="W56" s="606"/>
      <c r="X56" s="606"/>
      <c r="Y56" s="606"/>
      <c r="Z56" s="606"/>
      <c r="AA56" s="606"/>
      <c r="AB56" s="606"/>
      <c r="AC56" s="606"/>
      <c r="AD56" s="633"/>
      <c r="AE56" s="633"/>
      <c r="AF56" s="633"/>
      <c r="AG56" s="633"/>
      <c r="AH56" s="633"/>
      <c r="AI56" s="633"/>
      <c r="AJ56" s="633"/>
      <c r="AK56" s="633"/>
      <c r="AL56" s="633"/>
      <c r="AM56" s="633"/>
    </row>
    <row r="57" spans="2:39" x14ac:dyDescent="0.35">
      <c r="B57" s="380"/>
      <c r="C57" s="385"/>
      <c r="U57" s="680"/>
      <c r="V57" s="680"/>
      <c r="W57" s="680"/>
      <c r="X57" s="680"/>
      <c r="Y57" s="680"/>
      <c r="Z57" s="680"/>
      <c r="AA57" s="680"/>
      <c r="AB57" s="680"/>
      <c r="AC57" s="680"/>
      <c r="AD57" s="633"/>
      <c r="AE57" s="633"/>
      <c r="AF57" s="633"/>
      <c r="AG57" s="633"/>
      <c r="AH57" s="633"/>
      <c r="AI57" s="633"/>
      <c r="AJ57" s="633"/>
      <c r="AK57" s="633"/>
      <c r="AL57" s="633"/>
      <c r="AM57" s="633"/>
    </row>
    <row r="58" spans="2:39" x14ac:dyDescent="0.35">
      <c r="B58" s="375"/>
      <c r="C58" s="823"/>
      <c r="U58" s="606"/>
      <c r="V58" s="606"/>
      <c r="W58" s="606"/>
      <c r="X58" s="606"/>
      <c r="Y58" s="606"/>
      <c r="Z58" s="606"/>
      <c r="AA58" s="606"/>
      <c r="AB58" s="606"/>
      <c r="AC58" s="606"/>
      <c r="AD58" s="633"/>
      <c r="AE58" s="633"/>
      <c r="AF58" s="633"/>
      <c r="AG58" s="633"/>
      <c r="AH58" s="633"/>
      <c r="AI58" s="633"/>
      <c r="AJ58" s="633"/>
      <c r="AK58" s="633"/>
      <c r="AL58" s="633"/>
      <c r="AM58" s="633"/>
    </row>
    <row r="59" spans="2:39" x14ac:dyDescent="0.35">
      <c r="B59" s="375"/>
      <c r="C59" s="823"/>
      <c r="U59" s="365"/>
      <c r="V59" s="365"/>
      <c r="W59" s="365"/>
      <c r="X59" s="365"/>
      <c r="Y59" s="365"/>
      <c r="Z59" s="365"/>
      <c r="AA59" s="365"/>
      <c r="AB59" s="365"/>
      <c r="AC59" s="365"/>
      <c r="AD59" s="633"/>
      <c r="AE59" s="633"/>
      <c r="AF59" s="633"/>
      <c r="AG59" s="633"/>
      <c r="AH59" s="633"/>
      <c r="AI59" s="633"/>
      <c r="AJ59" s="633"/>
      <c r="AK59" s="633"/>
      <c r="AL59" s="633"/>
      <c r="AM59" s="633"/>
    </row>
    <row r="60" spans="2:39" x14ac:dyDescent="0.35">
      <c r="B60" s="375"/>
      <c r="C60" s="268"/>
      <c r="U60" s="606"/>
      <c r="V60" s="606"/>
      <c r="W60" s="606"/>
      <c r="X60" s="606"/>
      <c r="Y60" s="606"/>
      <c r="Z60" s="606"/>
      <c r="AA60" s="606"/>
      <c r="AB60" s="606"/>
      <c r="AC60" s="606"/>
      <c r="AD60" s="633"/>
      <c r="AE60" s="633"/>
      <c r="AF60" s="633"/>
      <c r="AG60" s="633"/>
      <c r="AH60" s="633"/>
      <c r="AI60" s="633"/>
      <c r="AJ60" s="633"/>
      <c r="AK60" s="633"/>
      <c r="AL60" s="633"/>
      <c r="AM60" s="633"/>
    </row>
    <row r="61" spans="2:39" x14ac:dyDescent="0.35">
      <c r="B61" s="375"/>
      <c r="C61" s="268"/>
      <c r="U61" s="606"/>
      <c r="V61" s="606"/>
      <c r="W61" s="606"/>
      <c r="X61" s="606"/>
      <c r="Y61" s="606"/>
      <c r="Z61" s="606"/>
      <c r="AA61" s="606"/>
      <c r="AB61" s="606"/>
      <c r="AC61" s="606"/>
      <c r="AD61" s="633"/>
      <c r="AE61" s="633"/>
      <c r="AF61" s="633"/>
      <c r="AG61" s="633"/>
      <c r="AH61" s="633"/>
      <c r="AI61" s="633"/>
      <c r="AJ61" s="633"/>
      <c r="AK61" s="633"/>
      <c r="AL61" s="633"/>
      <c r="AM61" s="633"/>
    </row>
    <row r="62" spans="2:39" x14ac:dyDescent="0.35">
      <c r="B62" s="375"/>
      <c r="C62" s="268"/>
      <c r="U62" s="606"/>
      <c r="V62" s="606"/>
      <c r="W62" s="606"/>
      <c r="X62" s="606"/>
      <c r="Y62" s="606"/>
      <c r="Z62" s="606"/>
      <c r="AA62" s="606"/>
      <c r="AB62" s="606"/>
      <c r="AC62" s="606"/>
      <c r="AD62" s="633"/>
      <c r="AE62" s="633"/>
      <c r="AF62" s="633"/>
      <c r="AG62" s="633"/>
      <c r="AH62" s="633"/>
      <c r="AI62" s="633"/>
      <c r="AJ62" s="633"/>
      <c r="AK62" s="633"/>
      <c r="AL62" s="633"/>
      <c r="AM62" s="633"/>
    </row>
    <row r="63" spans="2:39" x14ac:dyDescent="0.35">
      <c r="B63" s="356"/>
      <c r="C63" s="268"/>
      <c r="U63" s="606"/>
      <c r="V63" s="606"/>
      <c r="W63" s="606"/>
      <c r="X63" s="606"/>
      <c r="Y63" s="606"/>
      <c r="Z63" s="606"/>
      <c r="AA63" s="606"/>
      <c r="AB63" s="606"/>
      <c r="AC63" s="606"/>
      <c r="AD63" s="633"/>
      <c r="AE63" s="633"/>
      <c r="AF63" s="633"/>
      <c r="AG63" s="633"/>
      <c r="AH63" s="633"/>
      <c r="AI63" s="633"/>
      <c r="AJ63" s="633"/>
      <c r="AK63" s="633"/>
      <c r="AL63" s="633"/>
      <c r="AM63" s="633"/>
    </row>
    <row r="64" spans="2:39" x14ac:dyDescent="0.35">
      <c r="B64" s="380"/>
      <c r="C64" s="385"/>
      <c r="U64" s="747"/>
      <c r="V64" s="747"/>
      <c r="W64" s="747"/>
      <c r="X64" s="747"/>
      <c r="Y64" s="747"/>
      <c r="Z64" s="747"/>
      <c r="AA64" s="747"/>
      <c r="AB64" s="747"/>
      <c r="AC64" s="747"/>
      <c r="AD64" s="633"/>
      <c r="AE64" s="633"/>
      <c r="AF64" s="633"/>
      <c r="AG64" s="633"/>
      <c r="AH64" s="633"/>
      <c r="AI64" s="633"/>
      <c r="AJ64" s="633"/>
      <c r="AK64" s="633"/>
      <c r="AL64" s="633"/>
      <c r="AM64" s="633"/>
    </row>
    <row r="65" spans="2:39" ht="28.5" customHeight="1" x14ac:dyDescent="0.35">
      <c r="B65" s="375"/>
      <c r="C65" s="268"/>
      <c r="U65" s="606"/>
      <c r="V65" s="606"/>
      <c r="W65" s="606"/>
      <c r="X65" s="606"/>
      <c r="Y65" s="606"/>
      <c r="Z65" s="606"/>
      <c r="AA65" s="606"/>
      <c r="AB65" s="606"/>
      <c r="AC65" s="606"/>
      <c r="AD65" s="633"/>
      <c r="AE65" s="633"/>
      <c r="AF65" s="633"/>
      <c r="AG65" s="633"/>
      <c r="AH65" s="633"/>
      <c r="AI65" s="633"/>
      <c r="AJ65" s="633"/>
      <c r="AK65" s="633"/>
      <c r="AL65" s="633"/>
      <c r="AM65" s="633"/>
    </row>
    <row r="66" spans="2:39" x14ac:dyDescent="0.35">
      <c r="B66" s="488"/>
      <c r="C66" s="44"/>
      <c r="U66" s="845"/>
      <c r="V66" s="845"/>
      <c r="W66" s="845"/>
      <c r="X66" s="845"/>
      <c r="Y66" s="845"/>
      <c r="Z66" s="845"/>
      <c r="AA66" s="845"/>
      <c r="AB66" s="845"/>
      <c r="AC66" s="845"/>
      <c r="AD66" s="633"/>
      <c r="AE66" s="633"/>
      <c r="AF66" s="633"/>
      <c r="AG66" s="633"/>
      <c r="AH66" s="633"/>
      <c r="AI66" s="633"/>
      <c r="AJ66" s="633"/>
      <c r="AK66" s="633"/>
      <c r="AL66" s="633"/>
      <c r="AM66" s="633"/>
    </row>
    <row r="67" spans="2:39" x14ac:dyDescent="0.35">
      <c r="B67" s="385"/>
      <c r="C67" s="385"/>
      <c r="U67" s="680"/>
      <c r="V67" s="680"/>
      <c r="W67" s="680"/>
      <c r="X67" s="680"/>
      <c r="Y67" s="680"/>
      <c r="Z67" s="680"/>
      <c r="AA67" s="680"/>
      <c r="AB67" s="680"/>
      <c r="AC67" s="680"/>
      <c r="AD67" s="633"/>
      <c r="AE67" s="633"/>
      <c r="AF67" s="633"/>
      <c r="AG67" s="633"/>
      <c r="AH67" s="633"/>
      <c r="AI67" s="633"/>
      <c r="AJ67" s="633"/>
      <c r="AK67" s="633"/>
      <c r="AL67" s="633"/>
      <c r="AM67" s="633"/>
    </row>
    <row r="68" spans="2:39" x14ac:dyDescent="0.35">
      <c r="B68" s="1434"/>
      <c r="C68" s="1434"/>
      <c r="U68" s="680"/>
      <c r="V68" s="680"/>
      <c r="W68" s="680"/>
      <c r="X68" s="680"/>
      <c r="Y68" s="680"/>
      <c r="Z68" s="680"/>
      <c r="AA68" s="680"/>
      <c r="AB68" s="680"/>
      <c r="AC68" s="680"/>
      <c r="AD68" s="633"/>
      <c r="AE68" s="633"/>
      <c r="AF68" s="633"/>
      <c r="AG68" s="633"/>
      <c r="AH68" s="633"/>
      <c r="AI68" s="633"/>
      <c r="AJ68" s="633"/>
      <c r="AK68" s="633"/>
      <c r="AL68" s="633"/>
      <c r="AM68" s="633"/>
    </row>
    <row r="69" spans="2:39" x14ac:dyDescent="0.35">
      <c r="B69" s="356"/>
      <c r="C69" s="268"/>
      <c r="U69" s="268"/>
      <c r="V69" s="268"/>
      <c r="W69" s="268"/>
      <c r="X69" s="268"/>
      <c r="Y69" s="268"/>
      <c r="Z69" s="268"/>
      <c r="AA69" s="268"/>
      <c r="AB69" s="268"/>
      <c r="AC69" s="268"/>
      <c r="AD69" s="633"/>
      <c r="AE69" s="633"/>
      <c r="AF69" s="633"/>
      <c r="AG69" s="633"/>
      <c r="AH69" s="633"/>
      <c r="AI69" s="633"/>
      <c r="AJ69" s="633"/>
      <c r="AK69" s="633"/>
      <c r="AL69" s="633"/>
      <c r="AM69" s="633"/>
    </row>
    <row r="70" spans="2:39" x14ac:dyDescent="0.35">
      <c r="B70" s="268"/>
      <c r="C70" s="268"/>
      <c r="U70" s="606"/>
      <c r="V70" s="606"/>
      <c r="W70" s="606"/>
      <c r="X70" s="606"/>
      <c r="Y70" s="606"/>
      <c r="Z70" s="606"/>
      <c r="AA70" s="606"/>
      <c r="AB70" s="606"/>
      <c r="AC70" s="606"/>
      <c r="AD70" s="633"/>
      <c r="AE70" s="633"/>
      <c r="AF70" s="633"/>
      <c r="AG70" s="633"/>
      <c r="AH70" s="633"/>
      <c r="AI70" s="633"/>
      <c r="AJ70" s="633"/>
      <c r="AK70" s="633"/>
      <c r="AL70" s="633"/>
      <c r="AM70" s="633"/>
    </row>
    <row r="71" spans="2:39" x14ac:dyDescent="0.35">
      <c r="B71" s="385"/>
      <c r="C71" s="385"/>
      <c r="U71" s="680"/>
      <c r="V71" s="680"/>
      <c r="W71" s="680"/>
      <c r="X71" s="680"/>
      <c r="Y71" s="680"/>
      <c r="Z71" s="680"/>
      <c r="AA71" s="680"/>
      <c r="AB71" s="680"/>
      <c r="AC71" s="680"/>
      <c r="AD71" s="633"/>
      <c r="AE71" s="633"/>
      <c r="AF71" s="633"/>
      <c r="AG71" s="633"/>
      <c r="AH71" s="633"/>
      <c r="AI71" s="633"/>
      <c r="AJ71" s="633"/>
      <c r="AK71" s="633"/>
      <c r="AL71" s="633"/>
      <c r="AM71" s="633"/>
    </row>
    <row r="72" spans="2:39" x14ac:dyDescent="0.35">
      <c r="B72" s="385"/>
      <c r="C72" s="385"/>
      <c r="U72" s="680"/>
      <c r="V72" s="680"/>
      <c r="W72" s="680"/>
      <c r="X72" s="680"/>
      <c r="Y72" s="680"/>
      <c r="Z72" s="680"/>
      <c r="AA72" s="680"/>
      <c r="AB72" s="680"/>
      <c r="AC72" s="680"/>
      <c r="AD72" s="633"/>
      <c r="AE72" s="633"/>
      <c r="AF72" s="633"/>
      <c r="AG72" s="633"/>
      <c r="AH72" s="633"/>
      <c r="AI72" s="633"/>
      <c r="AJ72" s="633"/>
      <c r="AK72" s="633"/>
      <c r="AL72" s="633"/>
      <c r="AM72" s="633"/>
    </row>
    <row r="73" spans="2:39" x14ac:dyDescent="0.35">
      <c r="B73" s="1059"/>
      <c r="C73" s="268"/>
      <c r="U73" s="606"/>
      <c r="V73" s="606"/>
      <c r="W73" s="606"/>
      <c r="X73" s="606"/>
      <c r="Y73" s="606"/>
      <c r="Z73" s="606"/>
      <c r="AA73" s="606"/>
      <c r="AB73" s="606"/>
      <c r="AC73" s="606"/>
      <c r="AD73" s="633"/>
      <c r="AE73" s="633"/>
      <c r="AF73" s="633"/>
      <c r="AG73" s="633"/>
      <c r="AH73" s="633"/>
      <c r="AI73" s="633"/>
      <c r="AJ73" s="633"/>
      <c r="AK73" s="633"/>
      <c r="AL73" s="633"/>
      <c r="AM73" s="633"/>
    </row>
    <row r="75" spans="2:39" x14ac:dyDescent="0.35">
      <c r="U75" s="1515"/>
      <c r="V75" s="1515"/>
      <c r="W75" s="1515"/>
      <c r="X75" s="1515"/>
    </row>
    <row r="76" spans="2:39" x14ac:dyDescent="0.35">
      <c r="U76" s="1515"/>
      <c r="V76" s="1515"/>
      <c r="W76" s="1515"/>
      <c r="X76" s="1515"/>
    </row>
    <row r="77" spans="2:39" x14ac:dyDescent="0.35">
      <c r="U77" s="1515"/>
      <c r="V77" s="1515"/>
      <c r="W77" s="1515"/>
      <c r="X77" s="1515"/>
    </row>
    <row r="79" spans="2:39" x14ac:dyDescent="0.35">
      <c r="P79" s="597"/>
      <c r="Q79" s="597"/>
    </row>
    <row r="80" spans="2:39" x14ac:dyDescent="0.35">
      <c r="B80" s="630" t="s">
        <v>318</v>
      </c>
      <c r="D80" s="606"/>
      <c r="E80" s="606"/>
      <c r="F80" s="606"/>
      <c r="G80" s="606"/>
      <c r="H80" s="606"/>
      <c r="I80" s="606"/>
      <c r="J80" s="606"/>
      <c r="K80" s="606"/>
      <c r="L80" s="606"/>
      <c r="M80" s="606"/>
      <c r="N80" s="606"/>
      <c r="O80" s="606"/>
      <c r="P80" s="606"/>
      <c r="Q80" s="606"/>
      <c r="R80" s="606"/>
      <c r="S80" s="606"/>
      <c r="T80" s="606"/>
      <c r="U80" s="606"/>
      <c r="V80" s="606"/>
      <c r="W80" s="606"/>
      <c r="X80" s="606"/>
      <c r="Y80" s="606"/>
      <c r="Z80" s="606"/>
      <c r="AA80" s="606"/>
      <c r="AB80" s="606"/>
      <c r="AC80" s="606"/>
    </row>
    <row r="81" spans="2:33" ht="45.75" customHeight="1" x14ac:dyDescent="0.35">
      <c r="B81" s="1416" t="s">
        <v>440</v>
      </c>
      <c r="C81" s="1416"/>
      <c r="D81" s="1416"/>
      <c r="E81" s="1416"/>
      <c r="F81" s="1416"/>
      <c r="G81" s="1416"/>
      <c r="H81" s="1416"/>
      <c r="I81" s="1416"/>
      <c r="J81" s="1416"/>
      <c r="K81" s="1416"/>
      <c r="L81" s="1416"/>
      <c r="M81" s="1416"/>
      <c r="N81" s="1416"/>
      <c r="O81" s="1416"/>
      <c r="P81" s="1416"/>
      <c r="Q81" s="1416"/>
      <c r="R81" s="1416"/>
      <c r="S81" s="1416"/>
      <c r="T81" s="1416"/>
      <c r="U81" s="1416"/>
      <c r="V81" s="1416"/>
      <c r="W81" s="1416"/>
      <c r="X81" s="1416"/>
      <c r="Y81" s="1416"/>
      <c r="Z81" s="1416"/>
      <c r="AA81" s="1416"/>
      <c r="AB81" s="1416"/>
      <c r="AC81" s="1416"/>
    </row>
    <row r="82" spans="2:33" ht="14.9" customHeight="1" x14ac:dyDescent="0.35">
      <c r="B82" s="1391" t="s">
        <v>441</v>
      </c>
      <c r="C82" s="1392"/>
      <c r="D82" s="1409" t="s">
        <v>246</v>
      </c>
      <c r="E82" s="1410"/>
      <c r="F82" s="1410"/>
      <c r="G82" s="1410"/>
      <c r="H82" s="1410"/>
      <c r="I82" s="1410"/>
      <c r="J82" s="1410"/>
      <c r="K82" s="1410"/>
      <c r="L82" s="1410"/>
      <c r="M82" s="1410"/>
      <c r="N82" s="1410"/>
      <c r="O82" s="1410"/>
      <c r="P82" s="1410"/>
      <c r="Q82" s="1410"/>
      <c r="R82" s="1410"/>
      <c r="S82" s="1410"/>
      <c r="T82" s="1410"/>
      <c r="U82" s="1410"/>
      <c r="V82" s="1411"/>
      <c r="W82" s="1490" t="s">
        <v>247</v>
      </c>
      <c r="X82" s="1486"/>
      <c r="Y82" s="1486"/>
      <c r="Z82" s="1486"/>
      <c r="AA82" s="1486"/>
      <c r="AB82" s="1486"/>
      <c r="AC82" s="1486"/>
      <c r="AD82" s="1486"/>
      <c r="AE82" s="1486"/>
      <c r="AF82" s="1486"/>
      <c r="AG82" s="1486"/>
    </row>
    <row r="83" spans="2:33" x14ac:dyDescent="0.35">
      <c r="B83" s="1391"/>
      <c r="C83" s="1392"/>
      <c r="D83" s="249">
        <v>2018</v>
      </c>
      <c r="E83" s="1398">
        <v>2019</v>
      </c>
      <c r="F83" s="1415"/>
      <c r="G83" s="1415"/>
      <c r="H83" s="1400"/>
      <c r="I83" s="1398">
        <v>2020</v>
      </c>
      <c r="J83" s="1415"/>
      <c r="K83" s="1415"/>
      <c r="L83" s="1415"/>
      <c r="M83" s="1398">
        <v>2021</v>
      </c>
      <c r="N83" s="1415"/>
      <c r="O83" s="1415"/>
      <c r="P83" s="1415"/>
      <c r="Q83" s="1398">
        <v>2022</v>
      </c>
      <c r="R83" s="1399"/>
      <c r="S83" s="1399"/>
      <c r="T83" s="1400"/>
      <c r="U83" s="277"/>
      <c r="V83" s="282">
        <v>2023</v>
      </c>
      <c r="W83" s="746"/>
      <c r="X83" s="431"/>
      <c r="Y83" s="1412">
        <v>2024</v>
      </c>
      <c r="Z83" s="1413"/>
      <c r="AA83" s="1413"/>
      <c r="AB83" s="1414"/>
      <c r="AC83" s="1412">
        <v>2025</v>
      </c>
      <c r="AD83" s="1413"/>
      <c r="AE83" s="1413"/>
      <c r="AF83" s="1414"/>
      <c r="AG83" s="1058">
        <v>2026</v>
      </c>
    </row>
    <row r="84" spans="2:33" x14ac:dyDescent="0.35">
      <c r="B84" s="1393"/>
      <c r="C84" s="1394"/>
      <c r="D84" s="244" t="s">
        <v>248</v>
      </c>
      <c r="E84" s="244" t="s">
        <v>249</v>
      </c>
      <c r="F84" s="245" t="s">
        <v>250</v>
      </c>
      <c r="G84" s="245" t="s">
        <v>226</v>
      </c>
      <c r="H84" s="246" t="s">
        <v>248</v>
      </c>
      <c r="I84" s="245" t="s">
        <v>249</v>
      </c>
      <c r="J84" s="245" t="s">
        <v>250</v>
      </c>
      <c r="K84" s="245" t="s">
        <v>226</v>
      </c>
      <c r="L84" s="245" t="s">
        <v>248</v>
      </c>
      <c r="M84" s="244" t="s">
        <v>249</v>
      </c>
      <c r="N84" s="245" t="s">
        <v>250</v>
      </c>
      <c r="O84" s="245" t="s">
        <v>226</v>
      </c>
      <c r="P84" s="245" t="s">
        <v>248</v>
      </c>
      <c r="Q84" s="244" t="s">
        <v>249</v>
      </c>
      <c r="R84" s="245" t="s">
        <v>250</v>
      </c>
      <c r="S84" s="245" t="s">
        <v>226</v>
      </c>
      <c r="T84" s="246" t="s">
        <v>248</v>
      </c>
      <c r="U84" s="245" t="s">
        <v>249</v>
      </c>
      <c r="V84" s="273" t="s">
        <v>250</v>
      </c>
      <c r="W84" s="270" t="s">
        <v>226</v>
      </c>
      <c r="X84" s="276" t="s">
        <v>248</v>
      </c>
      <c r="Y84" s="275" t="s">
        <v>249</v>
      </c>
      <c r="Z84" s="269" t="s">
        <v>250</v>
      </c>
      <c r="AA84" s="270" t="s">
        <v>226</v>
      </c>
      <c r="AB84" s="270" t="s">
        <v>248</v>
      </c>
      <c r="AC84" s="275" t="s">
        <v>249</v>
      </c>
      <c r="AD84" s="269" t="s">
        <v>250</v>
      </c>
      <c r="AE84" s="270" t="s">
        <v>226</v>
      </c>
      <c r="AF84" s="270" t="s">
        <v>248</v>
      </c>
      <c r="AG84" s="275" t="s">
        <v>249</v>
      </c>
    </row>
    <row r="85" spans="2:33" x14ac:dyDescent="0.35">
      <c r="B85" s="679" t="s">
        <v>1384</v>
      </c>
      <c r="D85" s="378"/>
      <c r="E85" s="422"/>
      <c r="F85" s="422"/>
      <c r="G85" s="422"/>
      <c r="H85" s="422"/>
      <c r="I85" s="689">
        <f>(I86-AVERAGE($E86:$H86))</f>
        <v>6.9950000000000045</v>
      </c>
      <c r="J85" s="689">
        <f t="shared" ref="J85:U85" si="22">(J86-AVERAGE($E86:$H86))</f>
        <v>51.122999999999998</v>
      </c>
      <c r="K85" s="689">
        <f t="shared" si="22"/>
        <v>51.055</v>
      </c>
      <c r="L85" s="689">
        <f t="shared" si="22"/>
        <v>51.762999999999998</v>
      </c>
      <c r="M85" s="689">
        <f t="shared" si="22"/>
        <v>91.453000000000003</v>
      </c>
      <c r="N85" s="689">
        <f t="shared" si="22"/>
        <v>101.11800000000002</v>
      </c>
      <c r="O85" s="689">
        <f t="shared" si="22"/>
        <v>93.417000000000002</v>
      </c>
      <c r="P85" s="689">
        <f t="shared" si="22"/>
        <v>99.84</v>
      </c>
      <c r="Q85" s="689">
        <f t="shared" si="22"/>
        <v>77.435000000000002</v>
      </c>
      <c r="R85" s="689">
        <f t="shared" si="22"/>
        <v>74.290999999999997</v>
      </c>
      <c r="S85" s="690">
        <f t="shared" si="22"/>
        <v>69.937000000000012</v>
      </c>
      <c r="T85" s="864">
        <f t="shared" si="22"/>
        <v>91.18</v>
      </c>
      <c r="U85" s="690">
        <f t="shared" si="22"/>
        <v>84.404000000000025</v>
      </c>
      <c r="V85" s="690">
        <f>(V86-AVERAGE($E86:$H86))</f>
        <v>52.51</v>
      </c>
      <c r="W85" s="866">
        <f>V85</f>
        <v>52.51</v>
      </c>
      <c r="X85" s="866">
        <f t="shared" ref="X85:AG85" si="23">W85</f>
        <v>52.51</v>
      </c>
      <c r="Y85" s="866">
        <f t="shared" si="23"/>
        <v>52.51</v>
      </c>
      <c r="Z85" s="866">
        <f t="shared" si="23"/>
        <v>52.51</v>
      </c>
      <c r="AA85" s="866">
        <f t="shared" si="23"/>
        <v>52.51</v>
      </c>
      <c r="AB85" s="866">
        <f t="shared" si="23"/>
        <v>52.51</v>
      </c>
      <c r="AC85" s="840">
        <f t="shared" si="23"/>
        <v>52.51</v>
      </c>
      <c r="AD85" s="866">
        <f t="shared" si="23"/>
        <v>52.51</v>
      </c>
      <c r="AE85" s="866">
        <f t="shared" si="23"/>
        <v>52.51</v>
      </c>
      <c r="AF85" s="866">
        <f t="shared" si="23"/>
        <v>52.51</v>
      </c>
      <c r="AG85" s="866">
        <f t="shared" si="23"/>
        <v>52.51</v>
      </c>
    </row>
    <row r="86" spans="2:33" x14ac:dyDescent="0.35">
      <c r="B86" s="679" t="s">
        <v>148</v>
      </c>
      <c r="C86" s="268" t="s">
        <v>442</v>
      </c>
      <c r="D86" s="392">
        <f>'Haver Pivoted'!GO66</f>
        <v>57.017000000000003</v>
      </c>
      <c r="E86" s="265">
        <f>'Haver Pivoted'!GP66</f>
        <v>55.875</v>
      </c>
      <c r="F86" s="265">
        <f>'Haver Pivoted'!GQ66</f>
        <v>54.335999999999999</v>
      </c>
      <c r="G86" s="265">
        <f>'Haver Pivoted'!GR66</f>
        <v>54.345999999999997</v>
      </c>
      <c r="H86" s="265">
        <f>'Haver Pivoted'!GS66</f>
        <v>54.290999999999997</v>
      </c>
      <c r="I86" s="265">
        <f>'Haver Pivoted'!GT66</f>
        <v>61.707000000000001</v>
      </c>
      <c r="J86" s="265">
        <f>'Haver Pivoted'!GU66</f>
        <v>105.83499999999999</v>
      </c>
      <c r="K86" s="265">
        <f>'Haver Pivoted'!GV66</f>
        <v>105.767</v>
      </c>
      <c r="L86" s="265">
        <f>'Haver Pivoted'!GW66</f>
        <v>106.47499999999999</v>
      </c>
      <c r="M86" s="265">
        <f>'Haver Pivoted'!GX66</f>
        <v>146.16499999999999</v>
      </c>
      <c r="N86" s="265">
        <f>'Haver Pivoted'!GY66</f>
        <v>155.83000000000001</v>
      </c>
      <c r="O86" s="265">
        <f>'Haver Pivoted'!GZ66</f>
        <v>148.12899999999999</v>
      </c>
      <c r="P86" s="265">
        <f>'Haver Pivoted'!HA66</f>
        <v>154.55199999999999</v>
      </c>
      <c r="Q86" s="265">
        <f>'Haver Pivoted'!HB66</f>
        <v>132.14699999999999</v>
      </c>
      <c r="R86" s="265">
        <f>'Haver Pivoted'!HC66</f>
        <v>129.00299999999999</v>
      </c>
      <c r="S86" s="245">
        <f>'Haver Pivoted'!HD66</f>
        <v>124.649</v>
      </c>
      <c r="T86" s="245">
        <f>'Haver Pivoted'!HE66</f>
        <v>145.892</v>
      </c>
      <c r="U86" s="245">
        <f>'Haver Pivoted'!HF66</f>
        <v>139.11600000000001</v>
      </c>
      <c r="V86" s="245">
        <f>'Haver Pivoted'!HG66</f>
        <v>107.22199999999999</v>
      </c>
      <c r="W86" s="247"/>
      <c r="X86" s="247"/>
      <c r="Y86" s="247"/>
      <c r="Z86" s="247"/>
      <c r="AA86" s="247"/>
      <c r="AB86" s="247"/>
      <c r="AC86" s="247"/>
      <c r="AD86" s="353"/>
      <c r="AE86" s="353"/>
      <c r="AF86" s="353"/>
      <c r="AG86" s="353"/>
    </row>
    <row r="87" spans="2:33" ht="29.15" customHeight="1" x14ac:dyDescent="0.35">
      <c r="B87" s="678" t="s">
        <v>443</v>
      </c>
      <c r="C87" s="468"/>
      <c r="D87" s="838"/>
      <c r="E87" s="676"/>
      <c r="F87" s="676"/>
      <c r="G87" s="676"/>
      <c r="H87" s="676"/>
      <c r="I87" s="676"/>
      <c r="J87" s="676">
        <f t="shared" ref="J87:V87" si="24">J86-$H86</f>
        <v>51.543999999999997</v>
      </c>
      <c r="K87" s="676">
        <f t="shared" si="24"/>
        <v>51.475999999999999</v>
      </c>
      <c r="L87" s="676">
        <f t="shared" si="24"/>
        <v>52.183999999999997</v>
      </c>
      <c r="M87" s="676">
        <f t="shared" si="24"/>
        <v>91.873999999999995</v>
      </c>
      <c r="N87" s="676">
        <f>N86-$H86</f>
        <v>101.53900000000002</v>
      </c>
      <c r="O87" s="676">
        <f>O86-$H86</f>
        <v>93.837999999999994</v>
      </c>
      <c r="P87" s="676">
        <f t="shared" si="24"/>
        <v>100.261</v>
      </c>
      <c r="Q87" s="676">
        <f t="shared" si="24"/>
        <v>77.855999999999995</v>
      </c>
      <c r="R87" s="676">
        <f t="shared" si="24"/>
        <v>74.711999999999989</v>
      </c>
      <c r="S87" s="273">
        <f t="shared" si="24"/>
        <v>70.358000000000004</v>
      </c>
      <c r="T87" s="273">
        <f t="shared" si="24"/>
        <v>91.600999999999999</v>
      </c>
      <c r="U87" s="273">
        <f t="shared" si="24"/>
        <v>84.825000000000017</v>
      </c>
      <c r="V87" s="273">
        <f t="shared" si="24"/>
        <v>52.930999999999997</v>
      </c>
      <c r="W87" s="270"/>
      <c r="X87" s="270"/>
      <c r="Y87" s="270"/>
      <c r="Z87" s="270"/>
      <c r="AA87" s="270"/>
      <c r="AB87" s="270"/>
      <c r="AC87" s="270"/>
      <c r="AD87" s="353"/>
      <c r="AE87" s="353"/>
      <c r="AF87" s="353"/>
      <c r="AG87" s="353"/>
    </row>
    <row r="88" spans="2:33" ht="29.15" customHeight="1" x14ac:dyDescent="0.35">
      <c r="B88" s="268"/>
      <c r="C88" s="268"/>
      <c r="D88" s="265"/>
      <c r="E88" s="265"/>
      <c r="F88" s="265"/>
      <c r="G88" s="265"/>
      <c r="H88" s="265"/>
      <c r="I88" s="265"/>
      <c r="J88" s="265"/>
      <c r="K88" s="265"/>
      <c r="L88" s="265"/>
      <c r="M88" s="265"/>
      <c r="N88" s="265"/>
      <c r="O88" s="265"/>
      <c r="P88" s="265"/>
      <c r="Q88" s="265"/>
      <c r="R88" s="265"/>
      <c r="S88" s="265"/>
      <c r="T88" s="265"/>
      <c r="U88" s="265"/>
      <c r="V88" s="265"/>
      <c r="W88" s="265"/>
      <c r="X88" s="265"/>
      <c r="Y88" s="265"/>
      <c r="Z88" s="265"/>
      <c r="AA88" s="265"/>
      <c r="AB88" s="265"/>
      <c r="AC88" s="265"/>
    </row>
    <row r="89" spans="2:33" ht="29.15" customHeight="1" x14ac:dyDescent="0.35">
      <c r="B89" s="268"/>
      <c r="C89" s="268"/>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row>
    <row r="90" spans="2:33" ht="29.15" customHeight="1" x14ac:dyDescent="0.35">
      <c r="B90" s="268"/>
      <c r="C90" s="268"/>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row>
    <row r="91" spans="2:33" ht="35.9" customHeight="1" x14ac:dyDescent="0.35"/>
    <row r="92" spans="2:33" x14ac:dyDescent="0.35">
      <c r="B92" s="630" t="s">
        <v>331</v>
      </c>
    </row>
    <row r="93" spans="2:33" x14ac:dyDescent="0.35">
      <c r="B93" s="1491" t="s">
        <v>767</v>
      </c>
      <c r="C93" s="1492"/>
      <c r="D93" s="1393" t="s">
        <v>246</v>
      </c>
      <c r="E93" s="1456"/>
      <c r="F93" s="1456"/>
      <c r="G93" s="1456"/>
      <c r="H93" s="1456"/>
      <c r="I93" s="1456"/>
      <c r="J93" s="1456"/>
      <c r="K93" s="1456"/>
      <c r="L93" s="1456"/>
      <c r="M93" s="1456"/>
      <c r="N93" s="1456"/>
      <c r="O93" s="1456"/>
      <c r="P93" s="1456"/>
      <c r="Q93" s="1456"/>
      <c r="R93" s="1456"/>
      <c r="S93" s="1456"/>
      <c r="T93" s="1456"/>
      <c r="U93" s="1456"/>
      <c r="V93" s="1394"/>
      <c r="W93" s="1490" t="s">
        <v>247</v>
      </c>
      <c r="X93" s="1486"/>
      <c r="Y93" s="1486"/>
      <c r="Z93" s="1486"/>
      <c r="AA93" s="1486"/>
      <c r="AB93" s="1486"/>
      <c r="AC93" s="1486"/>
      <c r="AD93" s="1486"/>
      <c r="AE93" s="1486"/>
      <c r="AF93" s="1486"/>
      <c r="AG93" s="1486"/>
    </row>
    <row r="94" spans="2:33" x14ac:dyDescent="0.35">
      <c r="B94" s="1493"/>
      <c r="C94" s="1494"/>
      <c r="D94" s="249">
        <v>2018</v>
      </c>
      <c r="E94" s="1398">
        <v>2019</v>
      </c>
      <c r="F94" s="1415"/>
      <c r="G94" s="1415"/>
      <c r="H94" s="1400"/>
      <c r="I94" s="1398">
        <v>2020</v>
      </c>
      <c r="J94" s="1415"/>
      <c r="K94" s="1415"/>
      <c r="L94" s="1415"/>
      <c r="M94" s="1398">
        <v>2021</v>
      </c>
      <c r="N94" s="1415"/>
      <c r="O94" s="1415"/>
      <c r="P94" s="1415"/>
      <c r="Q94" s="1398">
        <v>2022</v>
      </c>
      <c r="R94" s="1399"/>
      <c r="S94" s="1399"/>
      <c r="T94" s="1400"/>
      <c r="U94" s="277"/>
      <c r="V94" s="282">
        <v>2023</v>
      </c>
      <c r="W94" s="746"/>
      <c r="X94" s="431"/>
      <c r="Y94" s="1412">
        <v>2024</v>
      </c>
      <c r="Z94" s="1413"/>
      <c r="AA94" s="1413"/>
      <c r="AB94" s="1414"/>
      <c r="AC94" s="1412">
        <v>2025</v>
      </c>
      <c r="AD94" s="1413"/>
      <c r="AE94" s="1413"/>
      <c r="AF94" s="1414"/>
      <c r="AG94" s="1058">
        <v>2026</v>
      </c>
    </row>
    <row r="95" spans="2:33" x14ac:dyDescent="0.35">
      <c r="B95" s="1493"/>
      <c r="C95" s="1494"/>
      <c r="D95" s="244" t="s">
        <v>248</v>
      </c>
      <c r="E95" s="244" t="s">
        <v>249</v>
      </c>
      <c r="F95" s="245" t="s">
        <v>250</v>
      </c>
      <c r="G95" s="245" t="s">
        <v>226</v>
      </c>
      <c r="H95" s="246" t="s">
        <v>248</v>
      </c>
      <c r="I95" s="245" t="s">
        <v>249</v>
      </c>
      <c r="J95" s="245" t="s">
        <v>250</v>
      </c>
      <c r="K95" s="245" t="s">
        <v>226</v>
      </c>
      <c r="L95" s="245" t="s">
        <v>248</v>
      </c>
      <c r="M95" s="244" t="s">
        <v>249</v>
      </c>
      <c r="N95" s="245" t="s">
        <v>250</v>
      </c>
      <c r="O95" s="245" t="s">
        <v>226</v>
      </c>
      <c r="P95" s="245" t="s">
        <v>248</v>
      </c>
      <c r="Q95" s="244" t="s">
        <v>249</v>
      </c>
      <c r="R95" s="245" t="s">
        <v>250</v>
      </c>
      <c r="S95" s="245" t="s">
        <v>226</v>
      </c>
      <c r="T95" s="246" t="s">
        <v>248</v>
      </c>
      <c r="U95" s="245" t="s">
        <v>249</v>
      </c>
      <c r="V95" s="273" t="s">
        <v>250</v>
      </c>
      <c r="W95" s="270" t="s">
        <v>226</v>
      </c>
      <c r="X95" s="276" t="s">
        <v>248</v>
      </c>
      <c r="Y95" s="275" t="s">
        <v>249</v>
      </c>
      <c r="Z95" s="269" t="s">
        <v>250</v>
      </c>
      <c r="AA95" s="270" t="s">
        <v>226</v>
      </c>
      <c r="AB95" s="270" t="s">
        <v>248</v>
      </c>
      <c r="AC95" s="275" t="s">
        <v>249</v>
      </c>
      <c r="AD95" s="269" t="s">
        <v>250</v>
      </c>
      <c r="AE95" s="270" t="s">
        <v>226</v>
      </c>
      <c r="AF95" s="270" t="s">
        <v>248</v>
      </c>
      <c r="AG95" s="275" t="s">
        <v>249</v>
      </c>
    </row>
    <row r="96" spans="2:33" ht="25.75" customHeight="1" x14ac:dyDescent="0.35">
      <c r="B96" s="822" t="s">
        <v>430</v>
      </c>
      <c r="C96" s="863" t="s">
        <v>431</v>
      </c>
      <c r="D96" s="475">
        <f>'Haver Pivoted'!GO31</f>
        <v>2223</v>
      </c>
      <c r="E96" s="476">
        <f>'Haver Pivoted'!GP31</f>
        <v>2303.8000000000002</v>
      </c>
      <c r="F96" s="476">
        <f>'Haver Pivoted'!GQ31</f>
        <v>2321.6999999999998</v>
      </c>
      <c r="G96" s="476">
        <f>'Haver Pivoted'!GR31</f>
        <v>2337.1</v>
      </c>
      <c r="H96" s="476">
        <f>'Haver Pivoted'!GS31</f>
        <v>2349.5</v>
      </c>
      <c r="I96" s="476">
        <f>'Haver Pivoted'!GT31</f>
        <v>2417</v>
      </c>
      <c r="J96" s="476">
        <f>'Haver Pivoted'!GU31</f>
        <v>4659.2</v>
      </c>
      <c r="K96" s="476">
        <f>'Haver Pivoted'!GV31</f>
        <v>3514.2</v>
      </c>
      <c r="L96" s="476">
        <f>'Haver Pivoted'!GW31</f>
        <v>2896.7</v>
      </c>
      <c r="M96" s="476">
        <f>'Haver Pivoted'!GX31</f>
        <v>5152.8</v>
      </c>
      <c r="N96" s="476">
        <f>'Haver Pivoted'!GY31</f>
        <v>3403.1</v>
      </c>
      <c r="O96" s="476">
        <f>'Haver Pivoted'!GZ31</f>
        <v>3121.9</v>
      </c>
      <c r="P96" s="476">
        <f>'Haver Pivoted'!HA31</f>
        <v>2958.3</v>
      </c>
      <c r="Q96" s="476">
        <f>'Haver Pivoted'!HB31</f>
        <v>2978.4</v>
      </c>
      <c r="R96" s="476">
        <f>'Haver Pivoted'!HC31</f>
        <v>2983.3</v>
      </c>
      <c r="S96" s="477">
        <f>'Haver Pivoted'!HD31</f>
        <v>2976.9</v>
      </c>
      <c r="T96" s="865">
        <f>'Haver Pivoted'!HE31</f>
        <v>3033.2</v>
      </c>
      <c r="U96" s="477">
        <f>'Haver Pivoted'!HF31</f>
        <v>3055.3</v>
      </c>
      <c r="V96" s="477">
        <f>'Haver Pivoted'!HG31</f>
        <v>3066.9</v>
      </c>
      <c r="W96" s="1078"/>
      <c r="X96" s="1078"/>
      <c r="Y96" s="1078"/>
      <c r="Z96" s="1078"/>
      <c r="AA96" s="1078"/>
      <c r="AB96" s="1078"/>
      <c r="AC96" s="844"/>
      <c r="AD96" s="844"/>
      <c r="AE96" s="844"/>
      <c r="AF96" s="844"/>
      <c r="AG96" s="353"/>
    </row>
    <row r="97" spans="2:33" ht="25.75" customHeight="1" x14ac:dyDescent="0.35">
      <c r="B97" s="592" t="s">
        <v>1794</v>
      </c>
      <c r="C97" s="268"/>
      <c r="D97" s="837">
        <f>D98+D99</f>
        <v>812.1</v>
      </c>
      <c r="E97" s="575">
        <f>E98+E99</f>
        <v>833.1</v>
      </c>
      <c r="F97" s="575">
        <f>F98+F99</f>
        <v>845.8</v>
      </c>
      <c r="G97" s="575">
        <f t="shared" ref="G97:N97" si="25">G98+G99</f>
        <v>854.4</v>
      </c>
      <c r="H97" s="575">
        <f t="shared" si="25"/>
        <v>858.7</v>
      </c>
      <c r="I97" s="575">
        <f t="shared" si="25"/>
        <v>881.29500000000007</v>
      </c>
      <c r="J97" s="575">
        <f t="shared" si="25"/>
        <v>3148.123</v>
      </c>
      <c r="K97" s="575">
        <f t="shared" si="25"/>
        <v>1872.855</v>
      </c>
      <c r="L97" s="575">
        <f t="shared" si="25"/>
        <v>1315.963</v>
      </c>
      <c r="M97" s="575">
        <f t="shared" si="25"/>
        <v>3544.5529999999999</v>
      </c>
      <c r="N97" s="575">
        <f t="shared" si="25"/>
        <v>1817.7398400000002</v>
      </c>
      <c r="O97" s="575">
        <f>O98+O99</f>
        <v>1533.8204933333329</v>
      </c>
      <c r="P97" s="575">
        <f t="shared" ref="P97:R97" si="26">P98+P99</f>
        <v>1382.949333333333</v>
      </c>
      <c r="Q97" s="575">
        <f t="shared" si="26"/>
        <v>1219.211</v>
      </c>
      <c r="R97" s="575">
        <f t="shared" si="26"/>
        <v>1215.867</v>
      </c>
      <c r="S97" s="824">
        <f>S98+S99</f>
        <v>1213.0129999999999</v>
      </c>
      <c r="T97" s="824">
        <f t="shared" ref="T97:U97" si="27">T98+T99</f>
        <v>1215.596</v>
      </c>
      <c r="U97" s="824">
        <f t="shared" si="27"/>
        <v>1154.9199999999998</v>
      </c>
      <c r="V97" s="824">
        <f>V98+V99</f>
        <v>1146.9831428571429</v>
      </c>
      <c r="W97" s="814"/>
      <c r="X97" s="814"/>
      <c r="Y97" s="814"/>
      <c r="Z97" s="814"/>
      <c r="AA97" s="814"/>
      <c r="AB97" s="814"/>
      <c r="AC97" s="814"/>
      <c r="AD97" s="814"/>
      <c r="AE97" s="814"/>
      <c r="AF97" s="814"/>
      <c r="AG97" s="353"/>
    </row>
    <row r="98" spans="2:33" ht="25.75" customHeight="1" x14ac:dyDescent="0.35">
      <c r="B98" s="529" t="s">
        <v>1792</v>
      </c>
      <c r="C98" s="268"/>
      <c r="D98" s="837">
        <f t="shared" ref="D98:V98" si="28">D14+D17+D35</f>
        <v>812.1</v>
      </c>
      <c r="E98" s="837">
        <f t="shared" si="28"/>
        <v>833.1</v>
      </c>
      <c r="F98" s="575">
        <f t="shared" si="28"/>
        <v>845.8</v>
      </c>
      <c r="G98" s="575">
        <f t="shared" si="28"/>
        <v>854.4</v>
      </c>
      <c r="H98" s="575">
        <f t="shared" si="28"/>
        <v>858.7</v>
      </c>
      <c r="I98" s="575">
        <f t="shared" si="28"/>
        <v>874.30000000000007</v>
      </c>
      <c r="J98" s="575">
        <f t="shared" si="28"/>
        <v>1800.8</v>
      </c>
      <c r="K98" s="575">
        <f t="shared" si="28"/>
        <v>1666.6000000000001</v>
      </c>
      <c r="L98" s="575">
        <f t="shared" si="28"/>
        <v>1200.3</v>
      </c>
      <c r="M98" s="575">
        <f t="shared" si="28"/>
        <v>1486.3000000000002</v>
      </c>
      <c r="N98" s="575">
        <f t="shared" si="28"/>
        <v>1350.8000000000002</v>
      </c>
      <c r="O98" s="575">
        <f t="shared" si="28"/>
        <v>1315.9333333333329</v>
      </c>
      <c r="P98" s="575">
        <f t="shared" si="28"/>
        <v>1162.633333333333</v>
      </c>
      <c r="Q98" s="575">
        <f t="shared" si="28"/>
        <v>1042.4000000000001</v>
      </c>
      <c r="R98" s="575">
        <f t="shared" si="28"/>
        <v>1049.0999999999999</v>
      </c>
      <c r="S98" s="824">
        <f t="shared" si="28"/>
        <v>1062.5</v>
      </c>
      <c r="T98" s="824">
        <f t="shared" si="28"/>
        <v>1088.0999999999999</v>
      </c>
      <c r="U98" s="824">
        <f t="shared" si="28"/>
        <v>1057.0999999999999</v>
      </c>
      <c r="V98" s="824">
        <f t="shared" si="28"/>
        <v>1081.0571428571429</v>
      </c>
      <c r="W98" s="814"/>
      <c r="X98" s="814"/>
      <c r="Y98" s="814"/>
      <c r="Z98" s="814"/>
      <c r="AA98" s="814"/>
      <c r="AB98" s="814"/>
      <c r="AC98" s="814"/>
      <c r="AD98" s="814"/>
      <c r="AE98" s="814"/>
      <c r="AF98" s="814"/>
      <c r="AG98" s="814"/>
    </row>
    <row r="99" spans="2:33" ht="36" customHeight="1" x14ac:dyDescent="0.35">
      <c r="B99" s="529" t="s">
        <v>1793</v>
      </c>
      <c r="C99" s="268"/>
      <c r="D99" s="575">
        <f t="shared" ref="D99:AG99" si="29">D18+D21+D32+D33+D34+D36</f>
        <v>0</v>
      </c>
      <c r="E99" s="575">
        <f t="shared" si="29"/>
        <v>0</v>
      </c>
      <c r="F99" s="575">
        <f t="shared" si="29"/>
        <v>0</v>
      </c>
      <c r="G99" s="575">
        <f t="shared" si="29"/>
        <v>0</v>
      </c>
      <c r="H99" s="575">
        <f t="shared" si="29"/>
        <v>0</v>
      </c>
      <c r="I99" s="575">
        <f t="shared" si="29"/>
        <v>6.9950000000000045</v>
      </c>
      <c r="J99" s="575">
        <f t="shared" si="29"/>
        <v>1347.3230000000001</v>
      </c>
      <c r="K99" s="575">
        <f t="shared" si="29"/>
        <v>206.255</v>
      </c>
      <c r="L99" s="575">
        <f t="shared" si="29"/>
        <v>115.66300000000001</v>
      </c>
      <c r="M99" s="575">
        <f t="shared" si="29"/>
        <v>2058.2529999999997</v>
      </c>
      <c r="N99" s="575">
        <f t="shared" si="29"/>
        <v>466.93984000000012</v>
      </c>
      <c r="O99" s="575">
        <f t="shared" si="29"/>
        <v>217.88716000000008</v>
      </c>
      <c r="P99" s="575">
        <f t="shared" si="29"/>
        <v>220.316</v>
      </c>
      <c r="Q99" s="575">
        <f t="shared" si="29"/>
        <v>176.81100000000001</v>
      </c>
      <c r="R99" s="575">
        <f t="shared" si="29"/>
        <v>166.767</v>
      </c>
      <c r="S99" s="824">
        <f t="shared" si="29"/>
        <v>150.51300000000003</v>
      </c>
      <c r="T99" s="824">
        <f t="shared" si="29"/>
        <v>127.49600000000001</v>
      </c>
      <c r="U99" s="824">
        <f t="shared" si="29"/>
        <v>97.820000000000022</v>
      </c>
      <c r="V99" s="824">
        <f t="shared" si="29"/>
        <v>65.926000000000002</v>
      </c>
      <c r="W99" s="814">
        <f t="shared" si="29"/>
        <v>65.926000000000002</v>
      </c>
      <c r="X99" s="814">
        <f t="shared" si="29"/>
        <v>58.210999999999999</v>
      </c>
      <c r="Y99" s="814">
        <f t="shared" si="29"/>
        <v>58.210999999999999</v>
      </c>
      <c r="Z99" s="814">
        <f t="shared" si="29"/>
        <v>58.210999999999999</v>
      </c>
      <c r="AA99" s="814">
        <f t="shared" si="29"/>
        <v>58.210999999999999</v>
      </c>
      <c r="AB99" s="814">
        <f t="shared" si="29"/>
        <v>56.512</v>
      </c>
      <c r="AC99" s="814">
        <f t="shared" si="29"/>
        <v>56.512</v>
      </c>
      <c r="AD99" s="814">
        <f t="shared" si="29"/>
        <v>0</v>
      </c>
      <c r="AE99" s="814">
        <f t="shared" si="29"/>
        <v>0</v>
      </c>
      <c r="AF99" s="814">
        <f t="shared" si="29"/>
        <v>0</v>
      </c>
      <c r="AG99" s="814">
        <f t="shared" si="29"/>
        <v>0</v>
      </c>
    </row>
    <row r="100" spans="2:33" ht="25.75" customHeight="1" x14ac:dyDescent="0.35">
      <c r="B100" s="592" t="s">
        <v>764</v>
      </c>
      <c r="C100" s="268"/>
      <c r="D100" s="837">
        <f>D96-D97</f>
        <v>1410.9</v>
      </c>
      <c r="E100" s="575">
        <f t="shared" ref="E100:T100" si="30">E96-E97</f>
        <v>1470.7000000000003</v>
      </c>
      <c r="F100" s="575">
        <f t="shared" si="30"/>
        <v>1475.8999999999999</v>
      </c>
      <c r="G100" s="575">
        <f t="shared" si="30"/>
        <v>1482.6999999999998</v>
      </c>
      <c r="H100" s="575">
        <f t="shared" si="30"/>
        <v>1490.8</v>
      </c>
      <c r="I100" s="575">
        <f t="shared" si="30"/>
        <v>1535.7049999999999</v>
      </c>
      <c r="J100" s="575">
        <f t="shared" si="30"/>
        <v>1511.0769999999998</v>
      </c>
      <c r="K100" s="575">
        <f t="shared" si="30"/>
        <v>1641.3449999999998</v>
      </c>
      <c r="L100" s="575">
        <f t="shared" si="30"/>
        <v>1580.7369999999999</v>
      </c>
      <c r="M100" s="575">
        <f t="shared" si="30"/>
        <v>1608.2470000000003</v>
      </c>
      <c r="N100" s="575">
        <f t="shared" si="30"/>
        <v>1585.3601599999997</v>
      </c>
      <c r="O100" s="575">
        <f t="shared" si="30"/>
        <v>1588.0795066666672</v>
      </c>
      <c r="P100" s="575">
        <f t="shared" si="30"/>
        <v>1575.3506666666672</v>
      </c>
      <c r="Q100" s="575">
        <f t="shared" si="30"/>
        <v>1759.1890000000001</v>
      </c>
      <c r="R100" s="575">
        <f t="shared" si="30"/>
        <v>1767.4330000000002</v>
      </c>
      <c r="S100" s="824">
        <f t="shared" si="30"/>
        <v>1763.8870000000002</v>
      </c>
      <c r="T100" s="824">
        <f t="shared" si="30"/>
        <v>1817.6039999999998</v>
      </c>
      <c r="U100" s="824">
        <f>U96-U97</f>
        <v>1900.3800000000003</v>
      </c>
      <c r="V100" s="824">
        <f>V96-V97</f>
        <v>1919.9168571428572</v>
      </c>
      <c r="W100" s="814"/>
      <c r="X100" s="814"/>
      <c r="Y100" s="814"/>
      <c r="Z100" s="814"/>
      <c r="AA100" s="814"/>
      <c r="AB100" s="814"/>
      <c r="AC100" s="814"/>
      <c r="AD100" s="814"/>
      <c r="AE100" s="814"/>
      <c r="AF100" s="814"/>
      <c r="AG100" s="353"/>
    </row>
    <row r="101" spans="2:33" ht="20.5" customHeight="1" x14ac:dyDescent="0.35">
      <c r="B101" s="850" t="s">
        <v>765</v>
      </c>
      <c r="C101" s="851"/>
      <c r="D101" s="855">
        <f t="shared" ref="D101:I101" si="31">D12-D14-D17-D35</f>
        <v>1410.9</v>
      </c>
      <c r="E101" s="846">
        <f t="shared" si="31"/>
        <v>1470.7000000000003</v>
      </c>
      <c r="F101" s="846">
        <f t="shared" si="31"/>
        <v>1475.8999999999996</v>
      </c>
      <c r="G101" s="846">
        <f t="shared" si="31"/>
        <v>1482.6999999999998</v>
      </c>
      <c r="H101" s="846">
        <f t="shared" si="31"/>
        <v>1490.8000000000002</v>
      </c>
      <c r="I101" s="846">
        <f t="shared" si="31"/>
        <v>1542.7000000000003</v>
      </c>
      <c r="J101" s="856">
        <f>I101+($H$101-$E$101)/3</f>
        <v>1549.4000000000003</v>
      </c>
      <c r="K101" s="856">
        <f>J101+($H$101-$E$101)/3</f>
        <v>1556.1000000000004</v>
      </c>
      <c r="L101" s="856">
        <f>K101+($H$101-$E$101)/3</f>
        <v>1562.8000000000004</v>
      </c>
      <c r="M101" s="857">
        <f>L101+($H$101-$E$101)/3 +(M105-L105)</f>
        <v>1587.4940000000006</v>
      </c>
      <c r="N101" s="856">
        <f>M101+($H$101-$E$101)/3</f>
        <v>1594.1940000000006</v>
      </c>
      <c r="O101" s="856">
        <f>N101+($H$101-$E$101)/3</f>
        <v>1600.8940000000007</v>
      </c>
      <c r="P101" s="856">
        <f>O101+($H$101-$E$101)/3</f>
        <v>1607.5940000000007</v>
      </c>
      <c r="Q101" s="857">
        <f>P101+($H$101-$E$101)/3 + 0.06*Q105</f>
        <v>1686.2449200000008</v>
      </c>
      <c r="R101" s="856">
        <f>Q101+($H$101-$E$101)/3</f>
        <v>1692.9449200000008</v>
      </c>
      <c r="S101" s="856">
        <f>R101+($H$101-$E$101)/3</f>
        <v>1699.6449200000009</v>
      </c>
      <c r="T101" s="856">
        <f>S101+($H$101-$E$101)/3</f>
        <v>1706.3449200000009</v>
      </c>
      <c r="U101" s="856">
        <f>T101+U102</f>
        <v>1819.6880410000008</v>
      </c>
      <c r="V101" s="856">
        <f>U101+V102</f>
        <v>1826.3880410000008</v>
      </c>
      <c r="W101" s="852">
        <f t="shared" ref="W101:AF101" si="32">V101+W102</f>
        <v>1833.0880410000009</v>
      </c>
      <c r="X101" s="852">
        <f t="shared" si="32"/>
        <v>1839.7880410000009</v>
      </c>
      <c r="Y101" s="852">
        <f t="shared" si="32"/>
        <v>1889.111191700001</v>
      </c>
      <c r="Z101" s="852">
        <f t="shared" si="32"/>
        <v>1895.811191700001</v>
      </c>
      <c r="AA101" s="852">
        <f t="shared" si="32"/>
        <v>1902.5111917000011</v>
      </c>
      <c r="AB101" s="852">
        <f t="shared" si="32"/>
        <v>1909.2111917000011</v>
      </c>
      <c r="AC101" s="852">
        <f t="shared" si="32"/>
        <v>1945.544534176001</v>
      </c>
      <c r="AD101" s="852">
        <f t="shared" si="32"/>
        <v>1952.244534176001</v>
      </c>
      <c r="AE101" s="852">
        <f t="shared" si="32"/>
        <v>1958.9445341760011</v>
      </c>
      <c r="AF101" s="852">
        <f t="shared" si="32"/>
        <v>1965.6445341760011</v>
      </c>
      <c r="AG101" s="353"/>
    </row>
    <row r="102" spans="2:33" ht="20.5" customHeight="1" x14ac:dyDescent="0.35">
      <c r="B102" s="853" t="s">
        <v>1754</v>
      </c>
      <c r="C102" s="268"/>
      <c r="D102" s="837"/>
      <c r="E102" s="575"/>
      <c r="F102" s="575"/>
      <c r="G102" s="575"/>
      <c r="H102" s="575"/>
      <c r="I102" s="575"/>
      <c r="J102" s="848"/>
      <c r="K102" s="848"/>
      <c r="L102" s="848"/>
      <c r="M102" s="858"/>
      <c r="N102" s="848"/>
      <c r="O102" s="848"/>
      <c r="P102" s="848"/>
      <c r="Q102" s="858"/>
      <c r="R102" s="848"/>
      <c r="S102" s="848"/>
      <c r="T102" s="848"/>
      <c r="U102" s="848">
        <f>U103+U104</f>
        <v>113.34312099999995</v>
      </c>
      <c r="V102" s="848">
        <f>V103+V104</f>
        <v>6.69999999999997</v>
      </c>
      <c r="W102" s="814">
        <f t="shared" ref="W102:AF102" si="33">W103+W108*W105</f>
        <v>6.69999999999997</v>
      </c>
      <c r="X102" s="814">
        <f t="shared" si="33"/>
        <v>6.69999999999997</v>
      </c>
      <c r="Y102" s="814">
        <f t="shared" si="33"/>
        <v>49.323150699999964</v>
      </c>
      <c r="Z102" s="814">
        <f t="shared" si="33"/>
        <v>6.69999999999997</v>
      </c>
      <c r="AA102" s="814">
        <f t="shared" si="33"/>
        <v>6.69999999999997</v>
      </c>
      <c r="AB102" s="814">
        <f t="shared" si="33"/>
        <v>6.69999999999997</v>
      </c>
      <c r="AC102" s="814">
        <f t="shared" si="33"/>
        <v>36.33334247599997</v>
      </c>
      <c r="AD102" s="814">
        <f t="shared" si="33"/>
        <v>6.69999999999997</v>
      </c>
      <c r="AE102" s="814">
        <f t="shared" si="33"/>
        <v>6.69999999999997</v>
      </c>
      <c r="AF102" s="814">
        <f t="shared" si="33"/>
        <v>6.69999999999997</v>
      </c>
      <c r="AG102" s="353"/>
    </row>
    <row r="103" spans="2:33" ht="28.4" customHeight="1" x14ac:dyDescent="0.35">
      <c r="B103" s="854" t="s">
        <v>1751</v>
      </c>
      <c r="C103" s="268"/>
      <c r="D103" s="837"/>
      <c r="E103" s="575"/>
      <c r="F103" s="575"/>
      <c r="G103" s="575"/>
      <c r="H103" s="575"/>
      <c r="I103" s="575"/>
      <c r="J103" s="848"/>
      <c r="K103" s="848"/>
      <c r="L103" s="848"/>
      <c r="M103" s="858"/>
      <c r="N103" s="848"/>
      <c r="O103" s="848"/>
      <c r="P103" s="848"/>
      <c r="Q103" s="858"/>
      <c r="R103" s="848"/>
      <c r="S103" s="848"/>
      <c r="T103" s="848"/>
      <c r="U103" s="848">
        <f>($H$101-$E$101)/3</f>
        <v>6.69999999999997</v>
      </c>
      <c r="V103" s="848">
        <f>($H$101-$E$101)/3</f>
        <v>6.69999999999997</v>
      </c>
      <c r="W103" s="814">
        <f t="shared" ref="W103:AF103" si="34">V103</f>
        <v>6.69999999999997</v>
      </c>
      <c r="X103" s="814">
        <f t="shared" si="34"/>
        <v>6.69999999999997</v>
      </c>
      <c r="Y103" s="814">
        <f t="shared" si="34"/>
        <v>6.69999999999997</v>
      </c>
      <c r="Z103" s="814">
        <f t="shared" si="34"/>
        <v>6.69999999999997</v>
      </c>
      <c r="AA103" s="814">
        <f t="shared" si="34"/>
        <v>6.69999999999997</v>
      </c>
      <c r="AB103" s="814">
        <f t="shared" si="34"/>
        <v>6.69999999999997</v>
      </c>
      <c r="AC103" s="814">
        <f t="shared" si="34"/>
        <v>6.69999999999997</v>
      </c>
      <c r="AD103" s="814">
        <f t="shared" si="34"/>
        <v>6.69999999999997</v>
      </c>
      <c r="AE103" s="814">
        <f t="shared" si="34"/>
        <v>6.69999999999997</v>
      </c>
      <c r="AF103" s="814">
        <f t="shared" si="34"/>
        <v>6.69999999999997</v>
      </c>
      <c r="AG103" s="353"/>
    </row>
    <row r="104" spans="2:33" ht="30.65" customHeight="1" x14ac:dyDescent="0.35">
      <c r="B104" s="843" t="s">
        <v>1752</v>
      </c>
      <c r="C104" s="831"/>
      <c r="D104" s="832"/>
      <c r="E104" s="816"/>
      <c r="F104" s="816"/>
      <c r="G104" s="816"/>
      <c r="H104" s="816"/>
      <c r="I104" s="816"/>
      <c r="J104" s="833"/>
      <c r="K104" s="833"/>
      <c r="L104" s="833"/>
      <c r="M104" s="834"/>
      <c r="N104" s="833"/>
      <c r="O104" s="833"/>
      <c r="P104" s="833"/>
      <c r="Q104" s="834"/>
      <c r="R104" s="833"/>
      <c r="S104" s="833"/>
      <c r="T104" s="833"/>
      <c r="U104" s="833">
        <f>U108*T105</f>
        <v>106.64312099999998</v>
      </c>
      <c r="V104" s="833">
        <f>V108*U105</f>
        <v>0</v>
      </c>
      <c r="W104" s="859">
        <f t="shared" ref="W104:AF104" si="35">W108*V105</f>
        <v>0</v>
      </c>
      <c r="X104" s="859">
        <f t="shared" si="35"/>
        <v>0</v>
      </c>
      <c r="Y104" s="859">
        <f>Y108*X105</f>
        <v>41.148690000000002</v>
      </c>
      <c r="Z104" s="859">
        <f t="shared" si="35"/>
        <v>0</v>
      </c>
      <c r="AA104" s="859">
        <f t="shared" si="35"/>
        <v>0</v>
      </c>
      <c r="AB104" s="859">
        <f t="shared" si="35"/>
        <v>0</v>
      </c>
      <c r="AC104" s="859">
        <f t="shared" si="35"/>
        <v>28.895433800000003</v>
      </c>
      <c r="AD104" s="859">
        <f t="shared" si="35"/>
        <v>0</v>
      </c>
      <c r="AE104" s="859">
        <f t="shared" si="35"/>
        <v>0</v>
      </c>
      <c r="AF104" s="859">
        <f t="shared" si="35"/>
        <v>0</v>
      </c>
      <c r="AG104" s="353"/>
    </row>
    <row r="105" spans="2:33" ht="17.5" customHeight="1" x14ac:dyDescent="0.35">
      <c r="B105" s="679" t="s">
        <v>438</v>
      </c>
      <c r="C105" s="268" t="s">
        <v>439</v>
      </c>
      <c r="D105" s="837">
        <f>'Haver Pivoted'!GO88/1000</f>
        <v>983.86099999999999</v>
      </c>
      <c r="E105" s="575">
        <f>'Haver Pivoted'!GP88/1000</f>
        <v>1019.19</v>
      </c>
      <c r="F105" s="575">
        <f>'Haver Pivoted'!GQ88/1000</f>
        <v>1026.704</v>
      </c>
      <c r="G105" s="575">
        <f>'Haver Pivoted'!GR88/1000</f>
        <v>1034.4169999999999</v>
      </c>
      <c r="H105" s="575">
        <f>'Haver Pivoted'!GS88/1000</f>
        <v>1042.6610000000001</v>
      </c>
      <c r="I105" s="575">
        <f>'Haver Pivoted'!GT88/1000</f>
        <v>1068.44</v>
      </c>
      <c r="J105" s="575">
        <f>'Haver Pivoted'!GU88/1000</f>
        <v>1075.0129999999999</v>
      </c>
      <c r="K105" s="575">
        <f>'Haver Pivoted'!GV88/1000</f>
        <v>1080.2349999999999</v>
      </c>
      <c r="L105" s="575">
        <f>'Haver Pivoted'!GW88/1000</f>
        <v>1088.0239999999999</v>
      </c>
      <c r="M105" s="575">
        <f>'Haver Pivoted'!GX88/1000</f>
        <v>1106.018</v>
      </c>
      <c r="N105" s="575">
        <f>'Haver Pivoted'!GY88/1000</f>
        <v>1109.463</v>
      </c>
      <c r="O105" s="575">
        <f>'Haver Pivoted'!GZ88/1000</f>
        <v>1116.6780000000001</v>
      </c>
      <c r="P105" s="575">
        <f>'Haver Pivoted'!HA88/1000</f>
        <v>1126.241</v>
      </c>
      <c r="Q105" s="575">
        <f>'Haver Pivoted'!HB88/1000</f>
        <v>1199.182</v>
      </c>
      <c r="R105" s="575">
        <f>'Haver Pivoted'!HC88/1000</f>
        <v>1206.8019999999999</v>
      </c>
      <c r="S105" s="824">
        <f>'Haver Pivoted'!HD88/1000</f>
        <v>1214.2470000000001</v>
      </c>
      <c r="T105" s="824">
        <f>'Haver Pivoted'!HE88/1000</f>
        <v>1225.7829999999999</v>
      </c>
      <c r="U105" s="824">
        <f>'Haver Pivoted'!HF88/1000</f>
        <v>1340.874</v>
      </c>
      <c r="V105" s="824">
        <f>'Haver Pivoted'!HG88/1000</f>
        <v>1352.623</v>
      </c>
      <c r="W105" s="814">
        <f t="shared" ref="W105:AF105" si="36">V105+W106</f>
        <v>1363.623</v>
      </c>
      <c r="X105" s="814">
        <f t="shared" si="36"/>
        <v>1371.623</v>
      </c>
      <c r="Y105" s="814">
        <f t="shared" si="36"/>
        <v>1420.77169</v>
      </c>
      <c r="Z105" s="814">
        <f t="shared" si="36"/>
        <v>1428.77169</v>
      </c>
      <c r="AA105" s="814">
        <f t="shared" si="36"/>
        <v>1436.77169</v>
      </c>
      <c r="AB105" s="814">
        <f t="shared" si="36"/>
        <v>1444.77169</v>
      </c>
      <c r="AC105" s="814">
        <f t="shared" si="36"/>
        <v>1481.6671238000001</v>
      </c>
      <c r="AD105" s="814">
        <f t="shared" si="36"/>
        <v>1490.6671238000001</v>
      </c>
      <c r="AE105" s="814">
        <f t="shared" si="36"/>
        <v>1500.6671238000001</v>
      </c>
      <c r="AF105" s="814">
        <f t="shared" si="36"/>
        <v>1511.6671238000001</v>
      </c>
      <c r="AG105" s="353"/>
    </row>
    <row r="106" spans="2:33" ht="17.5" customHeight="1" x14ac:dyDescent="0.35">
      <c r="B106" s="529" t="s">
        <v>1753</v>
      </c>
      <c r="C106" s="268"/>
      <c r="D106" s="837"/>
      <c r="E106" s="575"/>
      <c r="F106" s="575"/>
      <c r="G106" s="575"/>
      <c r="H106" s="575"/>
      <c r="I106" s="575"/>
      <c r="J106" s="575"/>
      <c r="K106" s="575"/>
      <c r="L106" s="575"/>
      <c r="M106" s="575"/>
      <c r="N106" s="575"/>
      <c r="O106" s="575"/>
      <c r="P106" s="575"/>
      <c r="Q106" s="575"/>
      <c r="R106" s="575"/>
      <c r="S106" s="824"/>
      <c r="T106" s="824"/>
      <c r="U106" s="824">
        <f>U104+U107</f>
        <v>114.64312099999998</v>
      </c>
      <c r="V106" s="824">
        <f>V104+V107</f>
        <v>8</v>
      </c>
      <c r="W106" s="814">
        <f t="shared" ref="W106:AF106" si="37">W104+W107</f>
        <v>11</v>
      </c>
      <c r="X106" s="814">
        <f t="shared" si="37"/>
        <v>8</v>
      </c>
      <c r="Y106" s="814">
        <f>Y104+Y107</f>
        <v>49.148690000000002</v>
      </c>
      <c r="Z106" s="814">
        <f t="shared" si="37"/>
        <v>8</v>
      </c>
      <c r="AA106" s="814">
        <f t="shared" si="37"/>
        <v>8</v>
      </c>
      <c r="AB106" s="814">
        <f t="shared" si="37"/>
        <v>8</v>
      </c>
      <c r="AC106" s="814">
        <f t="shared" si="37"/>
        <v>36.895433800000006</v>
      </c>
      <c r="AD106" s="814">
        <f t="shared" si="37"/>
        <v>9</v>
      </c>
      <c r="AE106" s="814">
        <f t="shared" si="37"/>
        <v>10</v>
      </c>
      <c r="AF106" s="814">
        <f t="shared" si="37"/>
        <v>11</v>
      </c>
      <c r="AG106" s="353"/>
    </row>
    <row r="107" spans="2:33" ht="17.5" customHeight="1" x14ac:dyDescent="0.35">
      <c r="B107" s="521" t="s">
        <v>1756</v>
      </c>
      <c r="C107" s="268"/>
      <c r="D107" s="837"/>
      <c r="E107" s="575"/>
      <c r="F107" s="575"/>
      <c r="G107" s="575"/>
      <c r="H107" s="575"/>
      <c r="I107" s="575"/>
      <c r="J107" s="575"/>
      <c r="K107" s="575"/>
      <c r="L107" s="575"/>
      <c r="M107" s="575"/>
      <c r="N107" s="575"/>
      <c r="O107" s="575"/>
      <c r="P107" s="575"/>
      <c r="Q107" s="575"/>
      <c r="R107" s="575"/>
      <c r="S107" s="824"/>
      <c r="T107" s="824"/>
      <c r="U107" s="824">
        <v>8</v>
      </c>
      <c r="V107" s="824">
        <v>8</v>
      </c>
      <c r="W107" s="814">
        <v>11</v>
      </c>
      <c r="X107" s="814">
        <v>8</v>
      </c>
      <c r="Y107" s="814">
        <v>8</v>
      </c>
      <c r="Z107" s="814">
        <v>8</v>
      </c>
      <c r="AA107" s="814">
        <v>8</v>
      </c>
      <c r="AB107" s="814">
        <v>8</v>
      </c>
      <c r="AC107" s="814">
        <v>8</v>
      </c>
      <c r="AD107" s="814">
        <v>9</v>
      </c>
      <c r="AE107" s="814">
        <v>10</v>
      </c>
      <c r="AF107" s="814">
        <v>11</v>
      </c>
      <c r="AG107" s="353"/>
    </row>
    <row r="108" spans="2:33" ht="39" customHeight="1" x14ac:dyDescent="0.35">
      <c r="B108" s="521" t="s">
        <v>1757</v>
      </c>
      <c r="C108" s="268"/>
      <c r="D108" s="837"/>
      <c r="E108" s="575"/>
      <c r="F108" s="575"/>
      <c r="G108" s="575"/>
      <c r="H108" s="575"/>
      <c r="I108" s="816"/>
      <c r="J108" s="816"/>
      <c r="K108" s="816"/>
      <c r="L108" s="816"/>
      <c r="M108" s="816"/>
      <c r="N108" s="816"/>
      <c r="O108" s="816"/>
      <c r="P108" s="816"/>
      <c r="Q108" s="816"/>
      <c r="R108" s="816"/>
      <c r="S108" s="835"/>
      <c r="T108" s="835"/>
      <c r="U108" s="825">
        <v>8.6999999999999994E-2</v>
      </c>
      <c r="V108" s="817">
        <v>0</v>
      </c>
      <c r="W108" s="836">
        <v>0</v>
      </c>
      <c r="X108" s="836">
        <v>0</v>
      </c>
      <c r="Y108" s="836">
        <v>0.03</v>
      </c>
      <c r="Z108" s="836">
        <v>0</v>
      </c>
      <c r="AA108" s="836">
        <v>0</v>
      </c>
      <c r="AB108" s="836">
        <v>0</v>
      </c>
      <c r="AC108" s="836">
        <v>0.02</v>
      </c>
      <c r="AD108" s="836">
        <v>0</v>
      </c>
      <c r="AE108" s="836">
        <v>0</v>
      </c>
      <c r="AF108" s="836">
        <v>0</v>
      </c>
      <c r="AG108" s="353"/>
    </row>
    <row r="109" spans="2:33" ht="49.75" customHeight="1" x14ac:dyDescent="0.35">
      <c r="B109" s="592" t="s">
        <v>1382</v>
      </c>
      <c r="C109" s="268"/>
      <c r="D109" s="837">
        <f t="shared" ref="D109:T109" si="38">D100-D101</f>
        <v>0</v>
      </c>
      <c r="E109" s="575">
        <f t="shared" si="38"/>
        <v>0</v>
      </c>
      <c r="F109" s="575">
        <f t="shared" si="38"/>
        <v>0</v>
      </c>
      <c r="G109" s="575">
        <f t="shared" si="38"/>
        <v>0</v>
      </c>
      <c r="H109" s="575">
        <f t="shared" si="38"/>
        <v>0</v>
      </c>
      <c r="I109" s="575">
        <f t="shared" si="38"/>
        <v>-6.9950000000003456</v>
      </c>
      <c r="J109" s="575">
        <f t="shared" si="38"/>
        <v>-38.323000000000548</v>
      </c>
      <c r="K109" s="575">
        <f t="shared" si="38"/>
        <v>85.244999999999436</v>
      </c>
      <c r="L109" s="575">
        <f t="shared" si="38"/>
        <v>17.936999999999443</v>
      </c>
      <c r="M109" s="575">
        <f t="shared" si="38"/>
        <v>20.752999999999702</v>
      </c>
      <c r="N109" s="575">
        <f t="shared" si="38"/>
        <v>-8.8338400000009187</v>
      </c>
      <c r="O109" s="575">
        <f t="shared" si="38"/>
        <v>-12.81449333333353</v>
      </c>
      <c r="P109" s="575">
        <f t="shared" si="38"/>
        <v>-32.243333333333567</v>
      </c>
      <c r="Q109" s="575">
        <f t="shared" si="38"/>
        <v>72.944079999999303</v>
      </c>
      <c r="R109" s="575">
        <f t="shared" si="38"/>
        <v>74.4880799999994</v>
      </c>
      <c r="S109" s="824">
        <f t="shared" si="38"/>
        <v>64.242079999999305</v>
      </c>
      <c r="T109" s="824">
        <f t="shared" si="38"/>
        <v>111.2590799999989</v>
      </c>
      <c r="U109" s="824">
        <f>U100-U101</f>
        <v>80.691958999999542</v>
      </c>
      <c r="V109" s="824">
        <f>V100-V101</f>
        <v>93.528816142856385</v>
      </c>
      <c r="W109" s="814">
        <f t="shared" ref="W109:AF109" si="39">V109</f>
        <v>93.528816142856385</v>
      </c>
      <c r="X109" s="814">
        <f t="shared" si="39"/>
        <v>93.528816142856385</v>
      </c>
      <c r="Y109" s="814">
        <f t="shared" si="39"/>
        <v>93.528816142856385</v>
      </c>
      <c r="Z109" s="814">
        <f t="shared" si="39"/>
        <v>93.528816142856385</v>
      </c>
      <c r="AA109" s="814">
        <f t="shared" si="39"/>
        <v>93.528816142856385</v>
      </c>
      <c r="AB109" s="814">
        <f t="shared" si="39"/>
        <v>93.528816142856385</v>
      </c>
      <c r="AC109" s="814">
        <f t="shared" si="39"/>
        <v>93.528816142856385</v>
      </c>
      <c r="AD109" s="814">
        <f t="shared" si="39"/>
        <v>93.528816142856385</v>
      </c>
      <c r="AE109" s="814">
        <f t="shared" si="39"/>
        <v>93.528816142856385</v>
      </c>
      <c r="AF109" s="814">
        <f t="shared" si="39"/>
        <v>93.528816142856385</v>
      </c>
      <c r="AG109" s="353"/>
    </row>
    <row r="110" spans="2:33" ht="29.5" customHeight="1" x14ac:dyDescent="0.35">
      <c r="B110" s="399"/>
      <c r="C110" s="268"/>
      <c r="D110" s="360"/>
      <c r="E110" s="360"/>
      <c r="F110" s="360"/>
      <c r="G110" s="360"/>
      <c r="H110" s="360"/>
      <c r="I110" s="360"/>
      <c r="J110" s="360"/>
      <c r="K110" s="360"/>
      <c r="L110" s="360"/>
      <c r="M110" s="360"/>
      <c r="N110" s="360"/>
      <c r="O110" s="360"/>
      <c r="P110" s="360"/>
      <c r="Q110" s="360"/>
      <c r="R110" s="360"/>
      <c r="S110" s="360"/>
      <c r="T110" s="360"/>
      <c r="U110" s="360"/>
      <c r="V110" s="360"/>
      <c r="W110" s="360"/>
      <c r="X110" s="360"/>
      <c r="Y110" s="360"/>
      <c r="Z110" s="360"/>
      <c r="AA110" s="360"/>
      <c r="AB110" s="360"/>
      <c r="AC110" s="360"/>
    </row>
    <row r="111" spans="2:33" ht="16.75" customHeight="1" x14ac:dyDescent="0.35">
      <c r="B111" s="268"/>
      <c r="C111" s="268"/>
      <c r="S111" s="606"/>
      <c r="T111" s="606"/>
      <c r="U111" s="268"/>
      <c r="V111" s="268"/>
      <c r="W111" s="268"/>
      <c r="X111" s="268"/>
      <c r="Y111" s="268"/>
      <c r="Z111" s="268"/>
      <c r="AA111" s="268"/>
      <c r="AB111" s="268"/>
      <c r="AC111" s="268"/>
    </row>
    <row r="112" spans="2:33" ht="16.75" customHeight="1" x14ac:dyDescent="0.35">
      <c r="B112" s="268"/>
      <c r="C112" s="268"/>
      <c r="S112" s="360"/>
      <c r="T112" s="360"/>
      <c r="U112" s="268"/>
      <c r="V112" s="268"/>
      <c r="W112" s="268"/>
      <c r="X112" s="268"/>
      <c r="Y112" s="268"/>
      <c r="Z112" s="268"/>
      <c r="AA112" s="268"/>
      <c r="AB112" s="268"/>
      <c r="AC112" s="268"/>
    </row>
    <row r="113" spans="2:30" ht="16.75" customHeight="1" x14ac:dyDescent="0.35">
      <c r="B113" s="268"/>
      <c r="C113" s="268"/>
      <c r="S113" s="360"/>
      <c r="T113" s="360"/>
      <c r="U113" s="268"/>
      <c r="V113" s="268"/>
      <c r="W113" s="268"/>
      <c r="X113" s="268"/>
      <c r="Y113" s="268"/>
      <c r="Z113" s="268"/>
      <c r="AA113" s="268"/>
      <c r="AB113" s="268"/>
      <c r="AC113" s="268"/>
    </row>
    <row r="114" spans="2:30" ht="16.75" customHeight="1" x14ac:dyDescent="0.35">
      <c r="B114" s="268"/>
      <c r="C114" s="268"/>
      <c r="S114" s="360"/>
      <c r="T114" s="360"/>
      <c r="U114" s="575"/>
      <c r="V114" s="575"/>
      <c r="W114" s="575"/>
      <c r="X114" s="575"/>
      <c r="Y114" s="575"/>
      <c r="Z114" s="575"/>
      <c r="AA114" s="575"/>
      <c r="AB114" s="575"/>
      <c r="AC114" s="575"/>
      <c r="AD114" s="633"/>
    </row>
    <row r="115" spans="2:30" ht="16.75" customHeight="1" x14ac:dyDescent="0.35">
      <c r="B115" s="356"/>
      <c r="C115" s="268"/>
      <c r="S115" s="360"/>
      <c r="T115" s="360"/>
      <c r="U115" s="360"/>
      <c r="V115" s="360"/>
      <c r="W115" s="360"/>
      <c r="X115" s="360"/>
      <c r="Y115" s="360"/>
      <c r="Z115" s="360"/>
      <c r="AA115" s="360"/>
      <c r="AB115" s="360"/>
      <c r="AC115" s="360"/>
      <c r="AD115" s="633"/>
    </row>
    <row r="116" spans="2:30" ht="16.75" customHeight="1" x14ac:dyDescent="0.35">
      <c r="B116" s="356"/>
      <c r="C116" s="268"/>
      <c r="S116" s="360"/>
      <c r="T116" s="360"/>
      <c r="U116" s="360"/>
      <c r="V116" s="360"/>
      <c r="W116" s="360"/>
      <c r="X116" s="360"/>
      <c r="Y116" s="360"/>
      <c r="Z116" s="360"/>
      <c r="AA116" s="360"/>
      <c r="AB116" s="360"/>
      <c r="AC116" s="360"/>
      <c r="AD116" s="633"/>
    </row>
    <row r="117" spans="2:30" ht="16.75" customHeight="1" x14ac:dyDescent="0.35">
      <c r="B117" s="356"/>
      <c r="C117" s="268"/>
      <c r="S117" s="360"/>
      <c r="T117" s="360"/>
      <c r="U117" s="360"/>
      <c r="V117" s="360"/>
      <c r="W117" s="360"/>
      <c r="X117" s="360"/>
      <c r="Y117" s="360"/>
      <c r="Z117" s="360"/>
      <c r="AA117" s="360"/>
      <c r="AB117" s="360"/>
      <c r="AC117" s="360"/>
      <c r="AD117" s="633"/>
    </row>
    <row r="118" spans="2:30" ht="16.75" customHeight="1" x14ac:dyDescent="0.35">
      <c r="B118" s="268"/>
      <c r="C118" s="268"/>
      <c r="S118" s="268"/>
      <c r="T118" s="268"/>
      <c r="U118" s="575"/>
      <c r="V118" s="575"/>
      <c r="W118" s="575"/>
      <c r="X118" s="575"/>
      <c r="Y118" s="575"/>
      <c r="Z118" s="575"/>
      <c r="AA118" s="575"/>
      <c r="AB118" s="575"/>
      <c r="AC118" s="575"/>
      <c r="AD118" s="633"/>
    </row>
    <row r="119" spans="2:30" ht="16.75" customHeight="1" x14ac:dyDescent="0.35">
      <c r="B119" s="356"/>
      <c r="C119" s="268"/>
      <c r="S119" s="268"/>
      <c r="T119" s="268"/>
      <c r="U119" s="575"/>
      <c r="V119" s="575"/>
      <c r="W119" s="575"/>
      <c r="X119" s="575"/>
      <c r="Y119" s="575"/>
      <c r="Z119" s="575"/>
      <c r="AA119" s="575"/>
      <c r="AB119" s="575"/>
      <c r="AC119" s="575"/>
      <c r="AD119" s="633"/>
    </row>
    <row r="120" spans="2:30" ht="16.75" customHeight="1" x14ac:dyDescent="0.35">
      <c r="B120" s="356"/>
      <c r="C120" s="268"/>
      <c r="S120" s="268"/>
      <c r="T120" s="268"/>
      <c r="U120" s="360"/>
      <c r="V120" s="360"/>
      <c r="W120" s="360"/>
      <c r="X120" s="360"/>
      <c r="Y120" s="360"/>
      <c r="Z120" s="360"/>
      <c r="AA120" s="360"/>
      <c r="AB120" s="360"/>
      <c r="AC120" s="360"/>
      <c r="AD120" s="633"/>
    </row>
    <row r="121" spans="2:30" ht="16.75" customHeight="1" x14ac:dyDescent="0.35">
      <c r="B121" s="356"/>
      <c r="C121" s="268"/>
      <c r="S121" s="268"/>
      <c r="T121" s="268"/>
      <c r="U121" s="826"/>
      <c r="V121" s="826"/>
      <c r="W121" s="826"/>
      <c r="X121" s="826"/>
      <c r="Y121" s="826"/>
      <c r="Z121" s="826"/>
      <c r="AA121" s="826"/>
      <c r="AB121" s="826"/>
      <c r="AC121" s="826"/>
      <c r="AD121" s="633"/>
    </row>
    <row r="122" spans="2:30" ht="16.75" customHeight="1" x14ac:dyDescent="0.35">
      <c r="B122" s="268"/>
      <c r="C122" s="268"/>
      <c r="S122" s="360"/>
      <c r="T122" s="360"/>
      <c r="U122" s="360"/>
      <c r="V122" s="360"/>
      <c r="W122" s="360"/>
      <c r="X122" s="360"/>
      <c r="Y122" s="360"/>
      <c r="Z122" s="360"/>
      <c r="AA122" s="360"/>
      <c r="AB122" s="360"/>
      <c r="AC122" s="360"/>
      <c r="AD122" s="633"/>
    </row>
    <row r="123" spans="2:30" ht="22.5" customHeight="1" x14ac:dyDescent="0.35">
      <c r="B123" s="399"/>
      <c r="C123" s="268"/>
      <c r="D123" s="360"/>
      <c r="E123" s="360"/>
      <c r="F123" s="360"/>
      <c r="G123" s="360"/>
      <c r="H123" s="360"/>
      <c r="I123" s="360"/>
      <c r="J123" s="360"/>
      <c r="K123" s="360"/>
      <c r="L123" s="360"/>
      <c r="M123" s="360"/>
      <c r="N123" s="360"/>
      <c r="O123" s="360"/>
      <c r="P123" s="360"/>
      <c r="Q123" s="360"/>
      <c r="R123" s="360"/>
      <c r="S123" s="360"/>
      <c r="T123" s="360"/>
      <c r="U123" s="360"/>
      <c r="V123" s="360"/>
      <c r="W123" s="360"/>
      <c r="X123" s="360"/>
      <c r="Y123" s="360"/>
      <c r="Z123" s="360"/>
      <c r="AA123" s="360"/>
      <c r="AB123" s="360"/>
      <c r="AC123" s="360"/>
    </row>
    <row r="124" spans="2:30" ht="22.5" customHeight="1" x14ac:dyDescent="0.35">
      <c r="B124" s="399"/>
      <c r="C124" s="268"/>
      <c r="D124" s="360"/>
      <c r="E124" s="360"/>
      <c r="F124" s="360"/>
      <c r="G124" s="360"/>
      <c r="H124" s="360"/>
      <c r="I124" s="360"/>
      <c r="J124" s="360"/>
      <c r="K124" s="360"/>
      <c r="L124" s="360"/>
      <c r="M124" s="360"/>
      <c r="N124" s="360"/>
      <c r="O124" s="360"/>
      <c r="P124" s="360"/>
      <c r="Q124" s="360"/>
      <c r="R124" s="360"/>
      <c r="S124" s="360"/>
      <c r="T124" s="360"/>
      <c r="U124" s="360"/>
      <c r="V124" s="360"/>
      <c r="W124" s="360"/>
      <c r="X124" s="360"/>
      <c r="Y124" s="360"/>
      <c r="Z124" s="360"/>
      <c r="AA124" s="360"/>
      <c r="AB124" s="360"/>
      <c r="AC124" s="360"/>
    </row>
    <row r="125" spans="2:30" ht="38.5" customHeight="1" x14ac:dyDescent="0.35">
      <c r="B125" s="600"/>
      <c r="C125" s="710">
        <v>2022</v>
      </c>
      <c r="D125" s="1079">
        <v>2023</v>
      </c>
      <c r="E125" s="1079">
        <v>2024</v>
      </c>
      <c r="F125" s="1080">
        <v>2025</v>
      </c>
      <c r="G125" s="360">
        <v>2026</v>
      </c>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row>
    <row r="126" spans="2:30" ht="38.5" customHeight="1" x14ac:dyDescent="0.35">
      <c r="B126" s="639" t="s">
        <v>1750</v>
      </c>
      <c r="C126" s="388">
        <v>1212.4870000000001</v>
      </c>
      <c r="D126" s="388">
        <v>1344.7529999999999</v>
      </c>
      <c r="E126" s="388">
        <v>1456.7</v>
      </c>
      <c r="F126" s="388">
        <v>1553.5309999999999</v>
      </c>
      <c r="G126" s="388">
        <v>1643.9870000000001</v>
      </c>
      <c r="H126" s="360"/>
      <c r="I126" s="360"/>
      <c r="J126" s="360"/>
      <c r="K126" s="360"/>
      <c r="L126" s="360"/>
      <c r="M126" s="360"/>
      <c r="N126" s="360"/>
      <c r="O126" s="360"/>
      <c r="P126" s="360"/>
      <c r="Q126" s="360"/>
      <c r="R126" s="360"/>
      <c r="S126" s="360"/>
      <c r="T126" s="360"/>
      <c r="U126" s="360"/>
      <c r="V126" s="360"/>
      <c r="W126" s="360"/>
      <c r="X126" s="360"/>
      <c r="Y126" s="360"/>
      <c r="Z126" s="360"/>
      <c r="AA126" s="360"/>
      <c r="AB126" s="360"/>
      <c r="AC126" s="360"/>
    </row>
    <row r="127" spans="2:30" ht="69" customHeight="1" x14ac:dyDescent="0.35">
      <c r="B127" s="399"/>
      <c r="C127" s="268"/>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row>
    <row r="128" spans="2:30" x14ac:dyDescent="0.35">
      <c r="B128" s="83" t="s">
        <v>1381</v>
      </c>
      <c r="D128" s="268"/>
      <c r="E128" s="268"/>
      <c r="F128" s="268"/>
      <c r="G128" s="268"/>
      <c r="H128" s="268"/>
      <c r="I128" s="268"/>
      <c r="J128" s="268"/>
      <c r="K128" s="268"/>
      <c r="L128" s="268"/>
      <c r="M128" s="360"/>
      <c r="N128" s="360"/>
      <c r="O128" s="360"/>
      <c r="P128" s="268"/>
    </row>
    <row r="129" spans="2:18" x14ac:dyDescent="0.35">
      <c r="B129" s="685" t="s">
        <v>771</v>
      </c>
      <c r="C129" s="538"/>
      <c r="D129" s="1071">
        <v>2021</v>
      </c>
      <c r="E129" s="1071">
        <v>2022</v>
      </c>
      <c r="F129" s="1071">
        <v>2023</v>
      </c>
      <c r="G129" s="1072">
        <v>2024</v>
      </c>
      <c r="R129" s="633"/>
    </row>
    <row r="130" spans="2:18" x14ac:dyDescent="0.35">
      <c r="B130" s="741" t="s">
        <v>772</v>
      </c>
      <c r="C130" s="1077"/>
      <c r="D130" s="1067">
        <v>3605.8330000000001</v>
      </c>
      <c r="E130" s="1067">
        <v>2900</v>
      </c>
      <c r="F130" s="1067">
        <f>E130*1.02</f>
        <v>2958</v>
      </c>
      <c r="G130" s="1068">
        <f>F130*1.06</f>
        <v>3135.48</v>
      </c>
    </row>
    <row r="131" spans="2:18" x14ac:dyDescent="0.35">
      <c r="B131" s="741" t="s">
        <v>775</v>
      </c>
      <c r="C131" s="1069"/>
      <c r="D131" s="993">
        <f>AVERAGE(Medicare!L10:O10)</f>
        <v>871.1</v>
      </c>
      <c r="E131" s="993">
        <f>AVERAGE(Medicare!P10:S10)</f>
        <v>927.625</v>
      </c>
      <c r="F131" s="993">
        <f>AVERAGE(Medicare!T10:W10)</f>
        <v>1003.4250000000001</v>
      </c>
      <c r="G131" s="1075">
        <f>AVERAGE(Medicare!X10:AA10)</f>
        <v>1080.6999999999998</v>
      </c>
    </row>
    <row r="132" spans="2:18" ht="13.4" customHeight="1" x14ac:dyDescent="0.35">
      <c r="B132" s="741" t="s">
        <v>773</v>
      </c>
      <c r="C132" s="1069"/>
      <c r="D132" s="993">
        <f>D130-D131</f>
        <v>2734.7330000000002</v>
      </c>
      <c r="E132" s="993">
        <f t="shared" ref="E132:G132" si="40">E130-E131</f>
        <v>1972.375</v>
      </c>
      <c r="F132" s="993">
        <f t="shared" si="40"/>
        <v>1954.5749999999998</v>
      </c>
      <c r="G132" s="1075">
        <f t="shared" si="40"/>
        <v>2054.7800000000002</v>
      </c>
    </row>
    <row r="133" spans="2:18" x14ac:dyDescent="0.35">
      <c r="B133" s="741" t="s">
        <v>776</v>
      </c>
      <c r="C133" s="1069"/>
      <c r="D133" s="993">
        <f>AVERAGE(L12:O12)</f>
        <v>3643.625</v>
      </c>
      <c r="E133" s="993">
        <f>AVERAGE(P12:S12)</f>
        <v>2974.2249999999999</v>
      </c>
      <c r="F133" s="993">
        <f>AVERAGE(T12:W12)</f>
        <v>3102.7444999999998</v>
      </c>
      <c r="G133" s="1075">
        <f>AVERAGE(X12:AA12)</f>
        <v>3346.2372201678581</v>
      </c>
    </row>
    <row r="134" spans="2:18" x14ac:dyDescent="0.35">
      <c r="B134" s="741" t="s">
        <v>775</v>
      </c>
      <c r="C134" s="1069"/>
      <c r="D134" s="993">
        <f>AVERAGE(Medicare!L10:O10)</f>
        <v>871.1</v>
      </c>
      <c r="E134" s="993">
        <f>AVERAGE(Medicare!P10:S10)</f>
        <v>927.625</v>
      </c>
      <c r="F134" s="993">
        <f>AVERAGE(Medicare!T10:W10)</f>
        <v>1003.4250000000001</v>
      </c>
      <c r="G134" s="1075">
        <f>AVERAGE(Medicare!X10:AA10)</f>
        <v>1080.6999999999998</v>
      </c>
    </row>
    <row r="135" spans="2:18" x14ac:dyDescent="0.35">
      <c r="B135" s="741" t="s">
        <v>495</v>
      </c>
      <c r="C135" s="1069"/>
      <c r="D135" s="993">
        <f>AVERAGE(L39:O39)</f>
        <v>1586.3455000000004</v>
      </c>
      <c r="E135" s="993">
        <f>AVERAGE(P39:S39)</f>
        <v>1671.6071900000006</v>
      </c>
      <c r="F135" s="993">
        <f>AVERAGE(T39:W39)</f>
        <v>1796.3772607500009</v>
      </c>
      <c r="G135" s="1075">
        <f>AVERAGE(X39:AA39)</f>
        <v>1881.8054040250011</v>
      </c>
    </row>
    <row r="136" spans="2:18" ht="27.65" customHeight="1" x14ac:dyDescent="0.35">
      <c r="B136" s="1070" t="s">
        <v>774</v>
      </c>
      <c r="C136" s="678"/>
      <c r="D136" s="733"/>
      <c r="E136" s="1073">
        <v>1.157</v>
      </c>
      <c r="F136" s="1073">
        <v>1.0109999999999999</v>
      </c>
      <c r="G136" s="1076">
        <v>1.0529999999999999</v>
      </c>
    </row>
    <row r="137" spans="2:18" x14ac:dyDescent="0.35">
      <c r="B137" s="268" t="s">
        <v>777</v>
      </c>
      <c r="D137" s="1074">
        <f>D133-D130</f>
        <v>37.791999999999916</v>
      </c>
      <c r="E137" s="1074">
        <f>E133-E130</f>
        <v>74.224999999999909</v>
      </c>
      <c r="F137" s="1074">
        <f>F133-F130</f>
        <v>144.74449999999979</v>
      </c>
      <c r="G137" s="1074">
        <f t="shared" ref="G137" si="41">G133-G130</f>
        <v>210.75722016785812</v>
      </c>
    </row>
    <row r="139" spans="2:18" x14ac:dyDescent="0.35">
      <c r="B139" t="s">
        <v>772</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1805</v>
      </c>
      <c r="S1" s="83" t="s">
        <v>1806</v>
      </c>
      <c r="Z1" t="s">
        <v>1836</v>
      </c>
      <c r="AA1" t="s">
        <v>1837</v>
      </c>
    </row>
    <row r="2" spans="13:27" x14ac:dyDescent="0.35">
      <c r="M2" t="s">
        <v>1807</v>
      </c>
      <c r="Q2">
        <v>2952.3</v>
      </c>
      <c r="S2" t="s">
        <v>1807</v>
      </c>
      <c r="X2">
        <v>2952.3</v>
      </c>
      <c r="Z2">
        <v>2917.6753774795288</v>
      </c>
      <c r="AA2" s="711">
        <v>2928.3</v>
      </c>
    </row>
    <row r="3" spans="13:27" x14ac:dyDescent="0.35">
      <c r="M3" t="s">
        <v>1808</v>
      </c>
      <c r="P3" t="s">
        <v>1809</v>
      </c>
      <c r="Q3">
        <v>23.1</v>
      </c>
      <c r="S3" t="s">
        <v>1808</v>
      </c>
      <c r="W3" t="s">
        <v>1809</v>
      </c>
      <c r="X3">
        <v>23.1</v>
      </c>
      <c r="Z3">
        <v>22.62857142857143</v>
      </c>
      <c r="AA3">
        <v>22.62857142857143</v>
      </c>
    </row>
    <row r="4" spans="13:27" x14ac:dyDescent="0.35">
      <c r="M4" t="s">
        <v>46</v>
      </c>
      <c r="P4" t="s">
        <v>1809</v>
      </c>
      <c r="Q4">
        <v>967.3</v>
      </c>
      <c r="S4" t="s">
        <v>46</v>
      </c>
      <c r="W4" t="s">
        <v>1809</v>
      </c>
      <c r="X4">
        <v>967.3</v>
      </c>
      <c r="Z4">
        <v>944.50347271762462</v>
      </c>
      <c r="AA4">
        <v>946.3</v>
      </c>
    </row>
    <row r="5" spans="13:27" x14ac:dyDescent="0.35">
      <c r="M5" t="s">
        <v>47</v>
      </c>
      <c r="P5" t="s">
        <v>1809</v>
      </c>
      <c r="Q5">
        <v>0</v>
      </c>
      <c r="S5" t="s">
        <v>47</v>
      </c>
      <c r="W5" t="s">
        <v>1809</v>
      </c>
      <c r="X5">
        <v>0</v>
      </c>
      <c r="Z5">
        <v>0</v>
      </c>
      <c r="AA5">
        <v>0</v>
      </c>
    </row>
    <row r="6" spans="13:27" x14ac:dyDescent="0.35">
      <c r="M6" t="s">
        <v>1810</v>
      </c>
      <c r="P6" t="s">
        <v>1809</v>
      </c>
      <c r="Q6">
        <v>0</v>
      </c>
      <c r="S6" t="s">
        <v>1810</v>
      </c>
      <c r="W6" t="s">
        <v>1809</v>
      </c>
      <c r="X6">
        <v>0</v>
      </c>
      <c r="Z6">
        <v>0</v>
      </c>
      <c r="AA6">
        <v>0</v>
      </c>
    </row>
    <row r="7" spans="13:27" x14ac:dyDescent="0.35">
      <c r="Q7">
        <f>Q2-SUM(Q3:Q6)</f>
        <v>1961.9</v>
      </c>
      <c r="X7">
        <f>X2-SUM(X3:X6)</f>
        <v>1961.9</v>
      </c>
      <c r="Z7">
        <f>Z2-SUM(Z3:Z6)</f>
        <v>1950.5433333333328</v>
      </c>
      <c r="AA7">
        <f>AA2-SUM(AA3:AA6)</f>
        <v>1959.3714285714289</v>
      </c>
    </row>
    <row r="8" spans="13:27" x14ac:dyDescent="0.35">
      <c r="S8" t="s">
        <v>1811</v>
      </c>
      <c r="W8" t="s">
        <v>1809</v>
      </c>
      <c r="X8">
        <v>34</v>
      </c>
    </row>
    <row r="9" spans="13:27" x14ac:dyDescent="0.35">
      <c r="S9" t="s">
        <v>1811</v>
      </c>
      <c r="W9" t="s">
        <v>1812</v>
      </c>
      <c r="X9">
        <v>34</v>
      </c>
    </row>
    <row r="10" spans="13:27" x14ac:dyDescent="0.35">
      <c r="S10" t="s">
        <v>1813</v>
      </c>
      <c r="W10" t="s">
        <v>1809</v>
      </c>
      <c r="X10">
        <v>37.700000000000003</v>
      </c>
    </row>
    <row r="11" spans="13:27" x14ac:dyDescent="0.35">
      <c r="S11" t="s">
        <v>1813</v>
      </c>
      <c r="W11" t="s">
        <v>1812</v>
      </c>
      <c r="X11">
        <v>37.700000000000003</v>
      </c>
    </row>
    <row r="12" spans="13:27" x14ac:dyDescent="0.35">
      <c r="S12" t="s">
        <v>433</v>
      </c>
      <c r="W12" t="s">
        <v>1809</v>
      </c>
      <c r="X12">
        <v>0</v>
      </c>
    </row>
    <row r="13" spans="13:27" x14ac:dyDescent="0.35">
      <c r="S13" t="s">
        <v>433</v>
      </c>
      <c r="W13" t="s">
        <v>1812</v>
      </c>
      <c r="X13">
        <v>0</v>
      </c>
    </row>
    <row r="14" spans="13:27" x14ac:dyDescent="0.35">
      <c r="S14" t="s">
        <v>1815</v>
      </c>
      <c r="W14" t="s">
        <v>1809</v>
      </c>
      <c r="X14">
        <v>21.9</v>
      </c>
    </row>
    <row r="15" spans="13:27" x14ac:dyDescent="0.35">
      <c r="S15" t="s">
        <v>1815</v>
      </c>
      <c r="W15" t="s">
        <v>1812</v>
      </c>
      <c r="X15">
        <f>X8-X9+X10-X11+X12-X13+X14</f>
        <v>21.9</v>
      </c>
      <c r="Z15">
        <v>21.9</v>
      </c>
      <c r="AA15">
        <v>21.89</v>
      </c>
    </row>
    <row r="16" spans="13:27" x14ac:dyDescent="0.35">
      <c r="X16">
        <f>X7-X8+X9-X10+X11-X12+X13-X14+X15</f>
        <v>1961.9</v>
      </c>
    </row>
    <row r="17" spans="13:27" x14ac:dyDescent="0.35">
      <c r="S17" t="s">
        <v>1814</v>
      </c>
      <c r="W17" t="s">
        <v>1809</v>
      </c>
      <c r="X17">
        <v>12</v>
      </c>
      <c r="Z17">
        <v>12</v>
      </c>
      <c r="AA17">
        <v>12</v>
      </c>
    </row>
    <row r="18" spans="13:27" x14ac:dyDescent="0.35">
      <c r="S18" t="s">
        <v>206</v>
      </c>
      <c r="W18" t="s">
        <v>1809</v>
      </c>
      <c r="X18">
        <v>1.4</v>
      </c>
      <c r="Z18">
        <v>1.4</v>
      </c>
      <c r="AA18">
        <v>1.4</v>
      </c>
    </row>
    <row r="19" spans="13:27" x14ac:dyDescent="0.35">
      <c r="X19">
        <f>X16-X17-X18</f>
        <v>1948.5</v>
      </c>
      <c r="Z19">
        <f>Z7-Z17-Z18+Z15</f>
        <v>1959.0433333333328</v>
      </c>
      <c r="AA19">
        <f>AA7-AA17-AA18+AA15</f>
        <v>1967.8614285714289</v>
      </c>
    </row>
    <row r="21" spans="13:27" x14ac:dyDescent="0.35">
      <c r="M21" s="83" t="s">
        <v>1816</v>
      </c>
    </row>
    <row r="22" spans="13:27" x14ac:dyDescent="0.35">
      <c r="M22" s="286" t="s">
        <v>111</v>
      </c>
      <c r="N22" s="618"/>
      <c r="O22" s="618"/>
      <c r="P22" s="618"/>
      <c r="Q22" s="618"/>
      <c r="R22" s="618"/>
      <c r="S22" s="618"/>
      <c r="T22" s="618"/>
      <c r="U22" s="618"/>
      <c r="V22" s="618"/>
      <c r="W22" s="285"/>
    </row>
    <row r="23" spans="13:27" x14ac:dyDescent="0.35">
      <c r="M23" s="1086" t="s">
        <v>1825</v>
      </c>
      <c r="W23" s="266"/>
    </row>
    <row r="24" spans="13:27" x14ac:dyDescent="0.35">
      <c r="M24" s="1086" t="s">
        <v>1824</v>
      </c>
      <c r="N24" s="139"/>
      <c r="O24" s="139"/>
      <c r="P24" s="139"/>
      <c r="Q24" s="139"/>
      <c r="R24" s="139"/>
      <c r="S24" s="139"/>
      <c r="T24" s="139"/>
      <c r="U24" s="139"/>
      <c r="V24" s="139"/>
      <c r="W24" s="1087"/>
      <c r="X24" s="139"/>
      <c r="Y24" s="139"/>
    </row>
    <row r="25" spans="13:27" x14ac:dyDescent="0.35">
      <c r="M25" s="61" t="s">
        <v>191</v>
      </c>
      <c r="W25" s="266"/>
    </row>
    <row r="26" spans="13:27" x14ac:dyDescent="0.35">
      <c r="M26" s="61" t="s">
        <v>193</v>
      </c>
      <c r="W26" s="266"/>
    </row>
    <row r="27" spans="13:27" x14ac:dyDescent="0.35">
      <c r="M27" s="61" t="s">
        <v>47</v>
      </c>
      <c r="W27" s="266"/>
    </row>
    <row r="28" spans="13:27" x14ac:dyDescent="0.35">
      <c r="M28" s="61" t="s">
        <v>202</v>
      </c>
      <c r="W28" s="266"/>
    </row>
    <row r="29" spans="13:27" x14ac:dyDescent="0.35">
      <c r="M29" s="61" t="s">
        <v>1817</v>
      </c>
      <c r="W29" s="266"/>
    </row>
    <row r="30" spans="13:27" x14ac:dyDescent="0.35">
      <c r="M30" s="545" t="s">
        <v>1818</v>
      </c>
      <c r="N30" s="43"/>
      <c r="O30" s="43"/>
      <c r="P30" s="43"/>
      <c r="Q30" s="43"/>
      <c r="R30" s="43"/>
      <c r="S30" s="43"/>
      <c r="T30" s="43"/>
      <c r="U30" s="43"/>
      <c r="V30" s="43"/>
      <c r="W30" s="267"/>
      <c r="X30" t="s">
        <v>1819</v>
      </c>
    </row>
    <row r="31" spans="13:27" x14ac:dyDescent="0.35">
      <c r="M31" s="546" t="s">
        <v>1814</v>
      </c>
      <c r="N31" s="618"/>
      <c r="O31" s="618"/>
      <c r="P31" s="618"/>
      <c r="Q31" s="618"/>
      <c r="R31" s="618"/>
      <c r="S31" s="618"/>
      <c r="T31" s="618"/>
      <c r="U31" s="618"/>
      <c r="V31" s="618"/>
      <c r="W31" s="285"/>
    </row>
    <row r="32" spans="13:27" x14ac:dyDescent="0.35">
      <c r="M32" s="545" t="s">
        <v>206</v>
      </c>
      <c r="N32" s="43"/>
      <c r="O32" s="43"/>
      <c r="P32" s="43"/>
      <c r="Q32" s="43"/>
      <c r="R32" s="43"/>
      <c r="S32" s="43"/>
      <c r="T32" s="43"/>
      <c r="U32" s="43"/>
      <c r="V32" s="43"/>
      <c r="W32" s="267"/>
      <c r="X32" t="s">
        <v>1820</v>
      </c>
    </row>
    <row r="33" spans="13:24" x14ac:dyDescent="0.35">
      <c r="M33" s="546" t="s">
        <v>123</v>
      </c>
      <c r="N33" s="618"/>
      <c r="O33" s="618"/>
      <c r="P33" s="618"/>
      <c r="Q33" s="618"/>
      <c r="R33" s="618"/>
      <c r="S33" s="618"/>
      <c r="T33" s="618"/>
      <c r="U33" s="618"/>
      <c r="V33" s="618"/>
      <c r="W33" s="285"/>
    </row>
    <row r="34" spans="13:24" x14ac:dyDescent="0.35">
      <c r="M34" s="61" t="s">
        <v>124</v>
      </c>
      <c r="W34" s="266"/>
    </row>
    <row r="35" spans="13:24" x14ac:dyDescent="0.35">
      <c r="M35" s="61" t="s">
        <v>1821</v>
      </c>
      <c r="W35" s="266"/>
    </row>
    <row r="36" spans="13:24" x14ac:dyDescent="0.35">
      <c r="M36" s="61" t="s">
        <v>117</v>
      </c>
      <c r="W36" s="266"/>
    </row>
    <row r="37" spans="13:24" x14ac:dyDescent="0.35">
      <c r="M37" s="545" t="s">
        <v>1822</v>
      </c>
      <c r="N37" s="43"/>
      <c r="O37" s="43"/>
      <c r="P37" s="43"/>
      <c r="Q37" s="43"/>
      <c r="R37" s="43"/>
      <c r="S37" s="43"/>
      <c r="T37" s="43"/>
      <c r="U37" s="43"/>
      <c r="V37" s="43"/>
      <c r="W37" s="267"/>
      <c r="X37" t="s">
        <v>1823</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G1:AC73"/>
  <sheetViews>
    <sheetView topLeftCell="G1"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87" t="s">
        <v>282</v>
      </c>
      <c r="I1" s="1387"/>
      <c r="J1" s="1387"/>
      <c r="K1" s="1387"/>
      <c r="L1" s="1387"/>
      <c r="M1" s="1387"/>
      <c r="N1" s="1387"/>
      <c r="O1" s="1387"/>
      <c r="P1" s="1387"/>
      <c r="Q1" s="1387"/>
      <c r="R1" s="1387"/>
      <c r="S1" s="1387"/>
    </row>
    <row r="2" spans="8:22" x14ac:dyDescent="0.35">
      <c r="H2" s="1388" t="s">
        <v>283</v>
      </c>
      <c r="I2" s="1388"/>
      <c r="J2" s="1388"/>
      <c r="K2" s="1388"/>
      <c r="L2" s="1388"/>
      <c r="M2" s="1388"/>
      <c r="N2" s="1388"/>
      <c r="O2" s="1388"/>
      <c r="P2" s="1388"/>
      <c r="Q2" s="1388"/>
      <c r="R2" s="1388"/>
      <c r="S2" s="1388"/>
    </row>
    <row r="3" spans="8:22" x14ac:dyDescent="0.35">
      <c r="H3" s="1388"/>
      <c r="I3" s="1388"/>
      <c r="J3" s="1388"/>
      <c r="K3" s="1388"/>
      <c r="L3" s="1388"/>
      <c r="M3" s="1388"/>
      <c r="N3" s="1388"/>
      <c r="O3" s="1388"/>
      <c r="P3" s="1388"/>
      <c r="Q3" s="1388"/>
      <c r="R3" s="1388"/>
      <c r="S3" s="1388"/>
    </row>
    <row r="4" spans="8:22" x14ac:dyDescent="0.35">
      <c r="H4" s="1388"/>
      <c r="I4" s="1388"/>
      <c r="J4" s="1388"/>
      <c r="K4" s="1388"/>
      <c r="L4" s="1388"/>
      <c r="M4" s="1388"/>
      <c r="N4" s="1388"/>
      <c r="O4" s="1388"/>
      <c r="P4" s="1388"/>
      <c r="Q4" s="1388"/>
      <c r="R4" s="1388"/>
      <c r="S4" s="1388"/>
    </row>
    <row r="5" spans="8:22" ht="54.75" customHeight="1" x14ac:dyDescent="0.35">
      <c r="H5" s="1388"/>
      <c r="I5" s="1388"/>
      <c r="J5" s="1388"/>
      <c r="K5" s="1388"/>
      <c r="L5" s="1388"/>
      <c r="M5" s="1388"/>
      <c r="N5" s="1388"/>
      <c r="O5" s="1388"/>
      <c r="P5" s="1388"/>
      <c r="Q5" s="1388"/>
      <c r="R5" s="1388"/>
      <c r="S5" s="1388"/>
    </row>
    <row r="6" spans="8:22" x14ac:dyDescent="0.35">
      <c r="H6" s="356"/>
      <c r="I6" s="356"/>
      <c r="J6" s="356"/>
      <c r="K6" s="356"/>
      <c r="L6" s="356"/>
      <c r="M6" s="356"/>
      <c r="N6" s="356"/>
      <c r="O6" s="356"/>
      <c r="P6" s="356"/>
      <c r="Q6" s="356"/>
      <c r="R6" s="356"/>
      <c r="S6" s="356"/>
    </row>
    <row r="7" spans="8:22" x14ac:dyDescent="0.35">
      <c r="H7" s="1100" t="s">
        <v>284</v>
      </c>
    </row>
    <row r="8" spans="8:22" ht="16.399999999999999" customHeight="1" x14ac:dyDescent="0.35"/>
    <row r="9" spans="8:22" ht="15.75" customHeight="1" x14ac:dyDescent="0.35">
      <c r="L9" s="1398">
        <v>2020</v>
      </c>
      <c r="M9" s="1415"/>
      <c r="N9" s="1415"/>
      <c r="O9" s="282">
        <v>2021</v>
      </c>
      <c r="P9" s="282"/>
      <c r="Q9" s="282"/>
      <c r="R9" s="1091"/>
    </row>
    <row r="10" spans="8:22" ht="41.9" customHeight="1" x14ac:dyDescent="0.35">
      <c r="H10" s="1095" t="s">
        <v>285</v>
      </c>
      <c r="I10" s="1095" t="s">
        <v>286</v>
      </c>
      <c r="J10" s="1096" t="s">
        <v>287</v>
      </c>
      <c r="K10" s="365"/>
      <c r="L10" s="1105" t="s">
        <v>250</v>
      </c>
      <c r="M10" s="1106" t="s">
        <v>226</v>
      </c>
      <c r="N10" s="1106" t="s">
        <v>248</v>
      </c>
      <c r="O10" s="1106" t="s">
        <v>249</v>
      </c>
      <c r="P10" s="1106" t="s">
        <v>250</v>
      </c>
      <c r="Q10" s="1106" t="s">
        <v>226</v>
      </c>
      <c r="R10" s="1094" t="s">
        <v>248</v>
      </c>
      <c r="S10" s="356" t="s">
        <v>288</v>
      </c>
      <c r="T10" s="365"/>
      <c r="U10" s="365"/>
      <c r="V10" s="365"/>
    </row>
    <row r="11" spans="8:22" x14ac:dyDescent="0.35">
      <c r="H11" s="1097">
        <v>43934</v>
      </c>
      <c r="I11" s="265">
        <v>248</v>
      </c>
      <c r="J11" s="677">
        <f>I11</f>
        <v>248</v>
      </c>
      <c r="K11" s="265"/>
      <c r="L11" s="1089">
        <f>S11/26*J11</f>
        <v>95.384615384615387</v>
      </c>
      <c r="M11" s="742">
        <f>13/26*J11</f>
        <v>124</v>
      </c>
      <c r="N11" s="742">
        <f>J11-SUM(L11:M11)</f>
        <v>28.615384615384613</v>
      </c>
      <c r="O11" s="742"/>
      <c r="P11" s="742"/>
      <c r="Q11" s="742"/>
      <c r="R11" s="717"/>
      <c r="S11" s="265">
        <v>10</v>
      </c>
      <c r="T11" s="265"/>
      <c r="U11" s="1102"/>
      <c r="V11" s="265"/>
    </row>
    <row r="12" spans="8:22" x14ac:dyDescent="0.35">
      <c r="H12" s="1103">
        <v>43937</v>
      </c>
      <c r="I12" s="265">
        <v>342</v>
      </c>
      <c r="J12" s="677">
        <f>I12-I11</f>
        <v>94</v>
      </c>
      <c r="K12" s="265"/>
      <c r="L12" s="1089">
        <f t="shared" ref="L12:L20" si="0">S12/26*J12</f>
        <v>36.153846153846153</v>
      </c>
      <c r="M12" s="742">
        <f t="shared" ref="M12:M20" si="1">13/26*J12</f>
        <v>47</v>
      </c>
      <c r="N12" s="742">
        <f t="shared" ref="N12:N21" si="2">J12-SUM(L12:M12)</f>
        <v>10.84615384615384</v>
      </c>
      <c r="O12" s="742"/>
      <c r="P12" s="742"/>
      <c r="Q12" s="742"/>
      <c r="R12" s="717"/>
      <c r="S12" s="265">
        <v>10</v>
      </c>
      <c r="T12" s="265"/>
      <c r="U12" s="265"/>
      <c r="V12" s="265"/>
    </row>
    <row r="13" spans="8:22" x14ac:dyDescent="0.35">
      <c r="H13" s="1103">
        <v>43952</v>
      </c>
      <c r="I13" s="265">
        <v>518</v>
      </c>
      <c r="J13" s="677">
        <f>I13-I12</f>
        <v>176</v>
      </c>
      <c r="K13" s="265"/>
      <c r="L13" s="1089">
        <f t="shared" si="0"/>
        <v>54.15384615384616</v>
      </c>
      <c r="M13" s="742">
        <f t="shared" si="1"/>
        <v>88</v>
      </c>
      <c r="N13" s="742">
        <f t="shared" si="2"/>
        <v>33.84615384615384</v>
      </c>
      <c r="O13" s="742"/>
      <c r="P13" s="742"/>
      <c r="Q13" s="742"/>
      <c r="R13" s="717"/>
      <c r="S13" s="265">
        <v>8</v>
      </c>
      <c r="T13" s="265"/>
      <c r="U13" s="265"/>
      <c r="V13" s="265"/>
    </row>
    <row r="14" spans="8:22" x14ac:dyDescent="0.35">
      <c r="H14" s="1103">
        <v>43959</v>
      </c>
      <c r="I14" s="265">
        <v>531</v>
      </c>
      <c r="J14" s="677">
        <f t="shared" ref="J14:J45" si="3">I14-I13</f>
        <v>13</v>
      </c>
      <c r="K14" s="265"/>
      <c r="L14" s="1089">
        <f t="shared" si="0"/>
        <v>3.5</v>
      </c>
      <c r="M14" s="742">
        <f t="shared" si="1"/>
        <v>6.5</v>
      </c>
      <c r="N14" s="742">
        <f t="shared" si="2"/>
        <v>3</v>
      </c>
      <c r="O14" s="742"/>
      <c r="P14" s="742"/>
      <c r="Q14" s="742"/>
      <c r="R14" s="717"/>
      <c r="S14" s="265">
        <f t="shared" ref="S14:S20" si="4">S13-1</f>
        <v>7</v>
      </c>
      <c r="T14" s="265"/>
      <c r="U14" s="265"/>
      <c r="V14" s="265"/>
    </row>
    <row r="15" spans="8:22" x14ac:dyDescent="0.35">
      <c r="H15" s="1103">
        <v>43967</v>
      </c>
      <c r="I15" s="265">
        <v>513</v>
      </c>
      <c r="J15" s="677">
        <f t="shared" si="3"/>
        <v>-18</v>
      </c>
      <c r="K15" s="265"/>
      <c r="L15" s="1089">
        <f t="shared" ref="L15:L17" si="5">S15/26*J15</f>
        <v>-4.1538461538461542</v>
      </c>
      <c r="M15" s="742">
        <f t="shared" ref="M15:M17" si="6">13/26*J15</f>
        <v>-9</v>
      </c>
      <c r="N15" s="742">
        <f t="shared" ref="N15:N17" si="7">J15-SUM(L15:M15)</f>
        <v>-4.8461538461538467</v>
      </c>
      <c r="O15" s="742"/>
      <c r="P15" s="742"/>
      <c r="Q15" s="742"/>
      <c r="R15" s="717"/>
      <c r="S15" s="265">
        <f t="shared" si="4"/>
        <v>6</v>
      </c>
      <c r="T15" s="265"/>
      <c r="U15" s="265"/>
      <c r="V15" s="265"/>
    </row>
    <row r="16" spans="8:22" x14ac:dyDescent="0.35">
      <c r="H16" s="1103">
        <v>43974</v>
      </c>
      <c r="I16" s="265">
        <v>511</v>
      </c>
      <c r="J16" s="677">
        <f t="shared" si="3"/>
        <v>-2</v>
      </c>
      <c r="K16" s="265"/>
      <c r="L16" s="1089">
        <f t="shared" si="5"/>
        <v>-0.38461538461538464</v>
      </c>
      <c r="M16" s="742">
        <f t="shared" si="6"/>
        <v>-1</v>
      </c>
      <c r="N16" s="742">
        <f t="shared" si="7"/>
        <v>-0.61538461538461542</v>
      </c>
      <c r="O16" s="742"/>
      <c r="P16" s="742"/>
      <c r="Q16" s="742"/>
      <c r="R16" s="717"/>
      <c r="S16" s="265">
        <f t="shared" si="4"/>
        <v>5</v>
      </c>
      <c r="T16" s="265"/>
      <c r="U16" s="265"/>
      <c r="V16" s="265"/>
    </row>
    <row r="17" spans="8:22" x14ac:dyDescent="0.35">
      <c r="H17" s="1103">
        <v>43981</v>
      </c>
      <c r="I17" s="265">
        <v>510</v>
      </c>
      <c r="J17" s="677">
        <f t="shared" si="3"/>
        <v>-1</v>
      </c>
      <c r="K17" s="265"/>
      <c r="L17" s="1089">
        <f t="shared" si="5"/>
        <v>-0.15384615384615385</v>
      </c>
      <c r="M17" s="742">
        <f t="shared" si="6"/>
        <v>-0.5</v>
      </c>
      <c r="N17" s="742">
        <f t="shared" si="7"/>
        <v>-0.34615384615384615</v>
      </c>
      <c r="O17" s="742"/>
      <c r="P17" s="742"/>
      <c r="Q17" s="742"/>
      <c r="R17" s="717"/>
      <c r="S17" s="265">
        <f t="shared" si="4"/>
        <v>4</v>
      </c>
      <c r="T17" s="265"/>
      <c r="U17" s="265"/>
      <c r="V17" s="265"/>
    </row>
    <row r="18" spans="8:22" x14ac:dyDescent="0.35">
      <c r="H18" s="1103">
        <v>43988</v>
      </c>
      <c r="I18" s="265">
        <v>511</v>
      </c>
      <c r="J18" s="677">
        <f t="shared" si="3"/>
        <v>1</v>
      </c>
      <c r="K18" s="265"/>
      <c r="L18" s="1089">
        <f t="shared" si="0"/>
        <v>0.11538461538461539</v>
      </c>
      <c r="M18" s="742">
        <f t="shared" si="1"/>
        <v>0.5</v>
      </c>
      <c r="N18" s="742">
        <f t="shared" si="2"/>
        <v>0.38461538461538458</v>
      </c>
      <c r="O18" s="742"/>
      <c r="P18" s="742"/>
      <c r="Q18" s="742"/>
      <c r="R18" s="717"/>
      <c r="S18" s="265">
        <f t="shared" si="4"/>
        <v>3</v>
      </c>
      <c r="T18" s="265"/>
      <c r="U18" s="265"/>
      <c r="V18" s="265"/>
    </row>
    <row r="19" spans="8:22" x14ac:dyDescent="0.35">
      <c r="H19" s="1103">
        <v>43994</v>
      </c>
      <c r="I19" s="265">
        <v>512</v>
      </c>
      <c r="J19" s="677">
        <f t="shared" si="3"/>
        <v>1</v>
      </c>
      <c r="K19" s="265"/>
      <c r="L19" s="1089">
        <f t="shared" si="0"/>
        <v>7.6923076923076927E-2</v>
      </c>
      <c r="M19" s="742">
        <f t="shared" si="1"/>
        <v>0.5</v>
      </c>
      <c r="N19" s="742">
        <f t="shared" si="2"/>
        <v>0.42307692307692313</v>
      </c>
      <c r="O19" s="742"/>
      <c r="P19" s="742"/>
      <c r="Q19" s="742"/>
      <c r="R19" s="717"/>
      <c r="S19" s="265">
        <f t="shared" si="4"/>
        <v>2</v>
      </c>
      <c r="T19" s="265"/>
      <c r="U19" s="265"/>
      <c r="V19" s="265"/>
    </row>
    <row r="20" spans="8:22" x14ac:dyDescent="0.35">
      <c r="H20" s="1103">
        <v>44002</v>
      </c>
      <c r="I20" s="265">
        <v>515</v>
      </c>
      <c r="J20" s="677">
        <f t="shared" si="3"/>
        <v>3</v>
      </c>
      <c r="K20" s="265"/>
      <c r="L20" s="1089">
        <f t="shared" si="0"/>
        <v>0.11538461538461539</v>
      </c>
      <c r="M20" s="742">
        <f t="shared" si="1"/>
        <v>1.5</v>
      </c>
      <c r="N20" s="742">
        <f t="shared" si="2"/>
        <v>1.3846153846153846</v>
      </c>
      <c r="O20" s="742"/>
      <c r="P20" s="742"/>
      <c r="Q20" s="742"/>
      <c r="R20" s="717"/>
      <c r="S20" s="265">
        <f t="shared" si="4"/>
        <v>1</v>
      </c>
      <c r="T20" s="265"/>
      <c r="U20" s="265"/>
      <c r="V20" s="265"/>
    </row>
    <row r="21" spans="8:22" x14ac:dyDescent="0.35">
      <c r="H21" s="1103">
        <v>44009</v>
      </c>
      <c r="I21" s="265">
        <v>519</v>
      </c>
      <c r="J21" s="677">
        <f t="shared" si="3"/>
        <v>4</v>
      </c>
      <c r="K21" s="265"/>
      <c r="L21" s="1089"/>
      <c r="M21" s="742">
        <f>S21/26*J21</f>
        <v>2</v>
      </c>
      <c r="N21" s="742">
        <f t="shared" si="2"/>
        <v>2</v>
      </c>
      <c r="O21" s="742"/>
      <c r="P21" s="742"/>
      <c r="Q21" s="742"/>
      <c r="R21" s="717"/>
      <c r="S21" s="265">
        <v>13</v>
      </c>
      <c r="T21" s="265"/>
      <c r="U21" s="265"/>
      <c r="V21" s="265"/>
    </row>
    <row r="22" spans="8:22" x14ac:dyDescent="0.35">
      <c r="H22" s="1103">
        <v>44012</v>
      </c>
      <c r="I22" s="265">
        <v>521</v>
      </c>
      <c r="J22" s="677">
        <f t="shared" si="3"/>
        <v>2</v>
      </c>
      <c r="K22" s="265"/>
      <c r="L22" s="1089"/>
      <c r="M22" s="742">
        <f t="shared" ref="M22:M26" si="8">S22/26*J22</f>
        <v>1</v>
      </c>
      <c r="N22" s="742">
        <f>J22-SUM(L22:M22)</f>
        <v>1</v>
      </c>
      <c r="O22" s="742"/>
      <c r="P22" s="742"/>
      <c r="Q22" s="742"/>
      <c r="R22" s="717"/>
      <c r="S22" s="265">
        <v>13</v>
      </c>
      <c r="T22" s="265"/>
      <c r="U22" s="265"/>
      <c r="V22" s="265"/>
    </row>
    <row r="23" spans="8:22" x14ac:dyDescent="0.35">
      <c r="H23" s="1103">
        <v>44029</v>
      </c>
      <c r="I23" s="265">
        <v>518</v>
      </c>
      <c r="J23" s="677">
        <f t="shared" si="3"/>
        <v>-3</v>
      </c>
      <c r="K23" s="265"/>
      <c r="L23" s="1089"/>
      <c r="M23" s="742">
        <f t="shared" ref="M23" si="9">S23/26*J23</f>
        <v>-1.153846153846154</v>
      </c>
      <c r="N23" s="742">
        <f t="shared" ref="N23" si="10">13/26*J23</f>
        <v>-1.5</v>
      </c>
      <c r="O23" s="742">
        <f t="shared" ref="O23" si="11">J23-N23-M23</f>
        <v>-0.34615384615384603</v>
      </c>
      <c r="P23" s="742"/>
      <c r="Q23" s="742"/>
      <c r="R23" s="717"/>
      <c r="S23" s="265">
        <f>S22-3</f>
        <v>10</v>
      </c>
      <c r="T23" s="265"/>
      <c r="U23" s="265"/>
      <c r="V23" s="265"/>
    </row>
    <row r="24" spans="8:22" x14ac:dyDescent="0.35">
      <c r="H24" s="1103">
        <v>44036</v>
      </c>
      <c r="I24" s="265">
        <v>520</v>
      </c>
      <c r="J24" s="677">
        <f t="shared" si="3"/>
        <v>2</v>
      </c>
      <c r="K24" s="265"/>
      <c r="L24" s="1089"/>
      <c r="M24" s="742">
        <f t="shared" si="8"/>
        <v>0.69230769230769229</v>
      </c>
      <c r="N24" s="742">
        <f t="shared" ref="N24:N26" si="12">13/26*J24</f>
        <v>1</v>
      </c>
      <c r="O24" s="742">
        <f t="shared" ref="O24:O26" si="13">J24-N24-M24</f>
        <v>0.30769230769230771</v>
      </c>
      <c r="P24" s="742"/>
      <c r="Q24" s="742"/>
      <c r="R24" s="717"/>
      <c r="S24" s="265">
        <f>S23-1</f>
        <v>9</v>
      </c>
      <c r="T24" s="265"/>
      <c r="U24" s="265"/>
      <c r="V24" s="265"/>
    </row>
    <row r="25" spans="8:22" x14ac:dyDescent="0.35">
      <c r="H25" s="1103">
        <v>44043</v>
      </c>
      <c r="I25" s="265">
        <v>521</v>
      </c>
      <c r="J25" s="677">
        <f t="shared" si="3"/>
        <v>1</v>
      </c>
      <c r="K25" s="265"/>
      <c r="L25" s="1089"/>
      <c r="M25" s="742">
        <f t="shared" si="8"/>
        <v>0.30769230769230771</v>
      </c>
      <c r="N25" s="742">
        <f t="shared" si="12"/>
        <v>0.5</v>
      </c>
      <c r="O25" s="742">
        <f t="shared" si="13"/>
        <v>0.19230769230769229</v>
      </c>
      <c r="P25" s="742"/>
      <c r="Q25" s="742"/>
      <c r="R25" s="717"/>
      <c r="S25" s="265">
        <f>S24-1</f>
        <v>8</v>
      </c>
      <c r="T25" s="265"/>
      <c r="U25" s="265"/>
      <c r="V25" s="265"/>
    </row>
    <row r="26" spans="8:22" x14ac:dyDescent="0.35">
      <c r="H26" s="1103">
        <v>44051</v>
      </c>
      <c r="I26" s="265">
        <v>525</v>
      </c>
      <c r="J26" s="677">
        <f t="shared" si="3"/>
        <v>4</v>
      </c>
      <c r="K26" s="265"/>
      <c r="L26" s="1089"/>
      <c r="M26" s="742">
        <f t="shared" si="8"/>
        <v>1.0769230769230769</v>
      </c>
      <c r="N26" s="742">
        <f t="shared" si="12"/>
        <v>2</v>
      </c>
      <c r="O26" s="742">
        <f t="shared" si="13"/>
        <v>0.92307692307692313</v>
      </c>
      <c r="P26" s="742"/>
      <c r="Q26" s="742"/>
      <c r="R26" s="717"/>
      <c r="S26" s="265">
        <f>S25-1</f>
        <v>7</v>
      </c>
      <c r="T26" s="265"/>
      <c r="U26" s="265"/>
      <c r="V26" s="265"/>
    </row>
    <row r="27" spans="8:22" x14ac:dyDescent="0.35">
      <c r="H27" s="1103">
        <v>44220</v>
      </c>
      <c r="I27" s="265">
        <v>558</v>
      </c>
      <c r="J27" s="677">
        <f t="shared" si="3"/>
        <v>33</v>
      </c>
      <c r="K27" s="265"/>
      <c r="L27" s="1089"/>
      <c r="M27" s="742"/>
      <c r="N27" s="742"/>
      <c r="O27" s="742">
        <f>S27/26*J27</f>
        <v>12.692307692307693</v>
      </c>
      <c r="P27" s="742">
        <f>J27/2</f>
        <v>16.5</v>
      </c>
      <c r="Q27" s="742">
        <f>J27-P27-O27</f>
        <v>3.8076923076923066</v>
      </c>
      <c r="R27" s="717"/>
      <c r="S27" s="265">
        <v>10</v>
      </c>
      <c r="T27" s="265">
        <v>10</v>
      </c>
      <c r="U27" s="265"/>
      <c r="V27" s="265"/>
    </row>
    <row r="28" spans="8:22" x14ac:dyDescent="0.35">
      <c r="H28" s="1103">
        <v>44227</v>
      </c>
      <c r="I28" s="265">
        <v>596</v>
      </c>
      <c r="J28" s="677">
        <f t="shared" si="3"/>
        <v>38</v>
      </c>
      <c r="K28" s="265"/>
      <c r="L28" s="1089"/>
      <c r="M28" s="742"/>
      <c r="N28" s="742"/>
      <c r="O28" s="742">
        <f t="shared" ref="O28:O36" si="14">S28/26*J28</f>
        <v>13.153846153846153</v>
      </c>
      <c r="P28" s="742">
        <f t="shared" ref="P28:P36" si="15">J28/2</f>
        <v>19</v>
      </c>
      <c r="Q28" s="742">
        <f t="shared" ref="Q28:Q36" si="16">J28-P28-O28</f>
        <v>5.8461538461538467</v>
      </c>
      <c r="R28" s="717"/>
      <c r="S28" s="265">
        <f>S27-1</f>
        <v>9</v>
      </c>
      <c r="T28" s="265">
        <f>T27-1</f>
        <v>9</v>
      </c>
      <c r="U28" s="265"/>
      <c r="V28" s="265"/>
    </row>
    <row r="29" spans="8:22" x14ac:dyDescent="0.35">
      <c r="H29" s="1103">
        <v>44234</v>
      </c>
      <c r="I29" s="265">
        <v>623</v>
      </c>
      <c r="J29" s="677">
        <f t="shared" si="3"/>
        <v>27</v>
      </c>
      <c r="K29" s="265"/>
      <c r="L29" s="1089"/>
      <c r="M29" s="742"/>
      <c r="N29" s="742"/>
      <c r="O29" s="742">
        <f t="shared" si="14"/>
        <v>8.3076923076923084</v>
      </c>
      <c r="P29" s="742">
        <f t="shared" si="15"/>
        <v>13.5</v>
      </c>
      <c r="Q29" s="742">
        <f t="shared" si="16"/>
        <v>5.1923076923076916</v>
      </c>
      <c r="R29" s="717"/>
      <c r="S29" s="265">
        <f t="shared" ref="S29:S36" si="17">S28-1</f>
        <v>8</v>
      </c>
      <c r="T29" s="265">
        <f t="shared" ref="T29:T36" si="18">T28-1</f>
        <v>8</v>
      </c>
      <c r="U29" s="265"/>
      <c r="V29" s="265"/>
    </row>
    <row r="30" spans="8:22" x14ac:dyDescent="0.35">
      <c r="H30" s="1103">
        <v>44242</v>
      </c>
      <c r="I30" s="265">
        <v>648</v>
      </c>
      <c r="J30" s="677">
        <f t="shared" si="3"/>
        <v>25</v>
      </c>
      <c r="K30" s="265"/>
      <c r="L30" s="1089"/>
      <c r="M30" s="742"/>
      <c r="N30" s="742"/>
      <c r="O30" s="742">
        <f t="shared" si="14"/>
        <v>6.7307692307692308</v>
      </c>
      <c r="P30" s="742">
        <f t="shared" si="15"/>
        <v>12.5</v>
      </c>
      <c r="Q30" s="742">
        <f t="shared" si="16"/>
        <v>5.7692307692307692</v>
      </c>
      <c r="R30" s="717"/>
      <c r="S30" s="265">
        <f t="shared" si="17"/>
        <v>7</v>
      </c>
      <c r="T30" s="265">
        <f t="shared" si="18"/>
        <v>7</v>
      </c>
      <c r="U30" s="265"/>
      <c r="V30" s="265"/>
    </row>
    <row r="31" spans="8:22" x14ac:dyDescent="0.35">
      <c r="H31" s="1103">
        <v>44248</v>
      </c>
      <c r="I31" s="265">
        <v>663</v>
      </c>
      <c r="J31" s="677">
        <f t="shared" si="3"/>
        <v>15</v>
      </c>
      <c r="K31" s="265"/>
      <c r="L31" s="1089"/>
      <c r="M31" s="742"/>
      <c r="N31" s="742"/>
      <c r="O31" s="742">
        <f t="shared" si="14"/>
        <v>3.4615384615384617</v>
      </c>
      <c r="P31" s="742">
        <f t="shared" si="15"/>
        <v>7.5</v>
      </c>
      <c r="Q31" s="742">
        <f t="shared" si="16"/>
        <v>4.0384615384615383</v>
      </c>
      <c r="R31" s="717"/>
      <c r="S31" s="265">
        <f t="shared" si="17"/>
        <v>6</v>
      </c>
      <c r="T31" s="265">
        <f t="shared" si="18"/>
        <v>6</v>
      </c>
      <c r="U31" s="265"/>
      <c r="V31" s="265"/>
    </row>
    <row r="32" spans="8:22" x14ac:dyDescent="0.35">
      <c r="H32" s="1103">
        <v>44255</v>
      </c>
      <c r="I32" s="265">
        <v>679</v>
      </c>
      <c r="J32" s="677">
        <f t="shared" si="3"/>
        <v>16</v>
      </c>
      <c r="K32" s="265"/>
      <c r="L32" s="1089"/>
      <c r="M32" s="742"/>
      <c r="N32" s="742"/>
      <c r="O32" s="742">
        <f t="shared" si="14"/>
        <v>3.0769230769230771</v>
      </c>
      <c r="P32" s="742">
        <f t="shared" si="15"/>
        <v>8</v>
      </c>
      <c r="Q32" s="742">
        <f t="shared" si="16"/>
        <v>4.9230769230769234</v>
      </c>
      <c r="R32" s="717"/>
      <c r="S32" s="265">
        <f t="shared" si="17"/>
        <v>5</v>
      </c>
      <c r="T32" s="265">
        <f t="shared" si="18"/>
        <v>5</v>
      </c>
      <c r="U32" s="265"/>
      <c r="V32" s="265"/>
    </row>
    <row r="33" spans="8:22" x14ac:dyDescent="0.35">
      <c r="H33" s="1103">
        <v>44262</v>
      </c>
      <c r="I33" s="265">
        <v>687</v>
      </c>
      <c r="J33" s="677">
        <f t="shared" si="3"/>
        <v>8</v>
      </c>
      <c r="K33" s="265"/>
      <c r="L33" s="1089"/>
      <c r="M33" s="742"/>
      <c r="N33" s="742"/>
      <c r="O33" s="742">
        <f t="shared" si="14"/>
        <v>1.2307692307692308</v>
      </c>
      <c r="P33" s="742">
        <f t="shared" si="15"/>
        <v>4</v>
      </c>
      <c r="Q33" s="742">
        <f t="shared" si="16"/>
        <v>2.7692307692307692</v>
      </c>
      <c r="R33" s="717"/>
      <c r="S33" s="265">
        <f t="shared" si="17"/>
        <v>4</v>
      </c>
      <c r="T33" s="265">
        <f t="shared" si="18"/>
        <v>4</v>
      </c>
      <c r="U33" s="265"/>
      <c r="V33" s="265"/>
    </row>
    <row r="34" spans="8:22" x14ac:dyDescent="0.35">
      <c r="H34" s="1103">
        <v>44269</v>
      </c>
      <c r="I34" s="265">
        <v>704</v>
      </c>
      <c r="J34" s="677">
        <f t="shared" si="3"/>
        <v>17</v>
      </c>
      <c r="K34" s="265"/>
      <c r="L34" s="1089"/>
      <c r="M34" s="742"/>
      <c r="N34" s="742"/>
      <c r="O34" s="742">
        <f t="shared" si="14"/>
        <v>1.9615384615384617</v>
      </c>
      <c r="P34" s="742">
        <f t="shared" si="15"/>
        <v>8.5</v>
      </c>
      <c r="Q34" s="742">
        <f t="shared" si="16"/>
        <v>6.5384615384615383</v>
      </c>
      <c r="R34" s="717"/>
      <c r="S34" s="265">
        <f t="shared" si="17"/>
        <v>3</v>
      </c>
      <c r="T34" s="265">
        <f t="shared" si="18"/>
        <v>3</v>
      </c>
      <c r="U34" s="265"/>
      <c r="V34" s="265"/>
    </row>
    <row r="35" spans="8:22" x14ac:dyDescent="0.35">
      <c r="H35" s="1103">
        <v>44276</v>
      </c>
      <c r="I35" s="265">
        <v>718</v>
      </c>
      <c r="J35" s="677">
        <f t="shared" si="3"/>
        <v>14</v>
      </c>
      <c r="K35" s="265"/>
      <c r="L35" s="1089"/>
      <c r="M35" s="742"/>
      <c r="N35" s="742"/>
      <c r="O35" s="742">
        <f t="shared" si="14"/>
        <v>1.0769230769230771</v>
      </c>
      <c r="P35" s="742">
        <f t="shared" si="15"/>
        <v>7</v>
      </c>
      <c r="Q35" s="742">
        <f t="shared" si="16"/>
        <v>5.9230769230769234</v>
      </c>
      <c r="R35" s="717"/>
      <c r="S35" s="265">
        <f t="shared" si="17"/>
        <v>2</v>
      </c>
      <c r="T35" s="265">
        <f t="shared" si="18"/>
        <v>2</v>
      </c>
      <c r="U35" s="265"/>
      <c r="V35" s="265"/>
    </row>
    <row r="36" spans="8:22" x14ac:dyDescent="0.35">
      <c r="H36" s="1103">
        <v>44283</v>
      </c>
      <c r="I36" s="265">
        <v>734</v>
      </c>
      <c r="J36" s="677">
        <f t="shared" si="3"/>
        <v>16</v>
      </c>
      <c r="K36" s="265"/>
      <c r="L36" s="1089"/>
      <c r="M36" s="742"/>
      <c r="N36" s="742"/>
      <c r="O36" s="742">
        <f t="shared" si="14"/>
        <v>0.61538461538461542</v>
      </c>
      <c r="P36" s="742">
        <f t="shared" si="15"/>
        <v>8</v>
      </c>
      <c r="Q36" s="742">
        <f t="shared" si="16"/>
        <v>7.384615384615385</v>
      </c>
      <c r="R36" s="717"/>
      <c r="S36" s="265">
        <f t="shared" si="17"/>
        <v>1</v>
      </c>
      <c r="T36" s="265">
        <f t="shared" si="18"/>
        <v>1</v>
      </c>
      <c r="U36" s="265"/>
      <c r="V36" s="265"/>
    </row>
    <row r="37" spans="8:22" x14ac:dyDescent="0.35">
      <c r="H37" s="1103">
        <v>44290</v>
      </c>
      <c r="I37" s="265">
        <v>746</v>
      </c>
      <c r="J37" s="677">
        <f t="shared" si="3"/>
        <v>12</v>
      </c>
      <c r="K37" s="265"/>
      <c r="L37" s="1089"/>
      <c r="M37" s="742"/>
      <c r="N37" s="742"/>
      <c r="O37" s="742"/>
      <c r="P37" s="742">
        <f>T37/26*J37</f>
        <v>6</v>
      </c>
      <c r="Q37" s="742">
        <f>J37/2</f>
        <v>6</v>
      </c>
      <c r="R37" s="717">
        <f>J37-Q37-P37</f>
        <v>0</v>
      </c>
      <c r="S37" s="265">
        <v>13</v>
      </c>
      <c r="T37" s="265">
        <v>13</v>
      </c>
      <c r="U37" s="265"/>
      <c r="V37" s="265"/>
    </row>
    <row r="38" spans="8:22" x14ac:dyDescent="0.35">
      <c r="H38" s="1103">
        <v>44297</v>
      </c>
      <c r="I38" s="265">
        <v>755</v>
      </c>
      <c r="J38" s="677">
        <f t="shared" si="3"/>
        <v>9</v>
      </c>
      <c r="K38" s="265"/>
      <c r="L38" s="1089"/>
      <c r="M38" s="742"/>
      <c r="N38" s="742"/>
      <c r="O38" s="742"/>
      <c r="P38" s="742">
        <f t="shared" ref="P38:P45" si="19">T38/26*J38</f>
        <v>4.1538461538461542</v>
      </c>
      <c r="Q38" s="742">
        <f t="shared" ref="Q38:Q45" si="20">J38/2</f>
        <v>4.5</v>
      </c>
      <c r="R38" s="717">
        <f t="shared" ref="R38:R45" si="21">J38-Q38-P38</f>
        <v>0.34615384615384581</v>
      </c>
      <c r="S38" s="265">
        <f>S37-1</f>
        <v>12</v>
      </c>
      <c r="T38" s="265">
        <f>T37-1</f>
        <v>12</v>
      </c>
      <c r="U38" s="265"/>
      <c r="V38" s="265"/>
    </row>
    <row r="39" spans="8:22" x14ac:dyDescent="0.35">
      <c r="H39" s="1103">
        <v>44304</v>
      </c>
      <c r="I39" s="265">
        <v>762</v>
      </c>
      <c r="J39" s="677">
        <f t="shared" si="3"/>
        <v>7</v>
      </c>
      <c r="K39" s="265"/>
      <c r="L39" s="1089"/>
      <c r="M39" s="742"/>
      <c r="N39" s="742"/>
      <c r="O39" s="742"/>
      <c r="P39" s="742">
        <f t="shared" si="19"/>
        <v>2.9615384615384617</v>
      </c>
      <c r="Q39" s="742">
        <f t="shared" si="20"/>
        <v>3.5</v>
      </c>
      <c r="R39" s="717">
        <f t="shared" si="21"/>
        <v>0.53846153846153832</v>
      </c>
      <c r="S39" s="265">
        <f t="shared" ref="S39:S45" si="22">S38-1</f>
        <v>11</v>
      </c>
      <c r="T39" s="265">
        <f t="shared" ref="T39:T45" si="23">T38-1</f>
        <v>11</v>
      </c>
      <c r="U39" s="265"/>
      <c r="V39" s="265"/>
    </row>
    <row r="40" spans="8:22" x14ac:dyDescent="0.35">
      <c r="H40" s="1103">
        <v>44311</v>
      </c>
      <c r="I40" s="265">
        <v>771</v>
      </c>
      <c r="J40" s="677">
        <f t="shared" si="3"/>
        <v>9</v>
      </c>
      <c r="K40" s="265"/>
      <c r="L40" s="1089"/>
      <c r="M40" s="742"/>
      <c r="N40" s="742"/>
      <c r="O40" s="742"/>
      <c r="P40" s="742">
        <f t="shared" si="19"/>
        <v>3.4615384615384617</v>
      </c>
      <c r="Q40" s="742">
        <f t="shared" si="20"/>
        <v>4.5</v>
      </c>
      <c r="R40" s="717">
        <f t="shared" si="21"/>
        <v>1.0384615384615383</v>
      </c>
      <c r="S40" s="265">
        <f t="shared" si="22"/>
        <v>10</v>
      </c>
      <c r="T40" s="265">
        <f t="shared" si="23"/>
        <v>10</v>
      </c>
      <c r="U40" s="265"/>
      <c r="V40" s="265"/>
    </row>
    <row r="41" spans="8:22" x14ac:dyDescent="0.35">
      <c r="H41" s="1103">
        <v>44318</v>
      </c>
      <c r="I41" s="265">
        <v>780</v>
      </c>
      <c r="J41" s="677">
        <f t="shared" si="3"/>
        <v>9</v>
      </c>
      <c r="K41" s="265"/>
      <c r="L41" s="1089"/>
      <c r="M41" s="742"/>
      <c r="N41" s="742"/>
      <c r="O41" s="742"/>
      <c r="P41" s="742">
        <f t="shared" si="19"/>
        <v>3.1153846153846154</v>
      </c>
      <c r="Q41" s="742">
        <f t="shared" si="20"/>
        <v>4.5</v>
      </c>
      <c r="R41" s="717">
        <f t="shared" si="21"/>
        <v>1.3846153846153846</v>
      </c>
      <c r="S41" s="265">
        <f t="shared" si="22"/>
        <v>9</v>
      </c>
      <c r="T41" s="265">
        <f t="shared" si="23"/>
        <v>9</v>
      </c>
      <c r="U41" s="265"/>
      <c r="V41" s="265"/>
    </row>
    <row r="42" spans="8:22" x14ac:dyDescent="0.35">
      <c r="H42" s="1103">
        <v>44325</v>
      </c>
      <c r="I42" s="265">
        <v>782</v>
      </c>
      <c r="J42" s="677">
        <f t="shared" si="3"/>
        <v>2</v>
      </c>
      <c r="K42" s="265"/>
      <c r="L42" s="1089"/>
      <c r="M42" s="742"/>
      <c r="N42" s="742"/>
      <c r="O42" s="742"/>
      <c r="P42" s="742">
        <f t="shared" si="19"/>
        <v>0.61538461538461542</v>
      </c>
      <c r="Q42" s="742">
        <f t="shared" si="20"/>
        <v>1</v>
      </c>
      <c r="R42" s="717">
        <f t="shared" si="21"/>
        <v>0.38461538461538458</v>
      </c>
      <c r="S42" s="265">
        <f t="shared" si="22"/>
        <v>8</v>
      </c>
      <c r="T42" s="265">
        <f t="shared" si="23"/>
        <v>8</v>
      </c>
      <c r="U42" s="265"/>
      <c r="V42" s="265"/>
    </row>
    <row r="43" spans="8:22" x14ac:dyDescent="0.35">
      <c r="H43" s="1103">
        <v>44332</v>
      </c>
      <c r="I43" s="265">
        <v>788</v>
      </c>
      <c r="J43" s="677">
        <f t="shared" si="3"/>
        <v>6</v>
      </c>
      <c r="K43" s="265"/>
      <c r="L43" s="1089"/>
      <c r="M43" s="742"/>
      <c r="N43" s="742"/>
      <c r="O43" s="742"/>
      <c r="P43" s="742">
        <f t="shared" si="19"/>
        <v>1.6153846153846154</v>
      </c>
      <c r="Q43" s="742">
        <f t="shared" si="20"/>
        <v>3</v>
      </c>
      <c r="R43" s="717">
        <f t="shared" si="21"/>
        <v>1.3846153846153846</v>
      </c>
      <c r="S43" s="265">
        <f t="shared" si="22"/>
        <v>7</v>
      </c>
      <c r="T43" s="265">
        <f t="shared" si="23"/>
        <v>7</v>
      </c>
      <c r="U43" s="265"/>
      <c r="V43" s="265"/>
    </row>
    <row r="44" spans="8:22" x14ac:dyDescent="0.35">
      <c r="H44" s="1103">
        <v>44339</v>
      </c>
      <c r="I44" s="265">
        <v>796</v>
      </c>
      <c r="J44" s="677">
        <f t="shared" si="3"/>
        <v>8</v>
      </c>
      <c r="K44" s="265"/>
      <c r="L44" s="1089"/>
      <c r="M44" s="742"/>
      <c r="N44" s="742"/>
      <c r="O44" s="742"/>
      <c r="P44" s="742">
        <f t="shared" si="19"/>
        <v>1.8461538461538463</v>
      </c>
      <c r="Q44" s="742">
        <f t="shared" si="20"/>
        <v>4</v>
      </c>
      <c r="R44" s="717">
        <f t="shared" si="21"/>
        <v>2.1538461538461537</v>
      </c>
      <c r="S44" s="265">
        <f t="shared" si="22"/>
        <v>6</v>
      </c>
      <c r="T44" s="265">
        <f t="shared" si="23"/>
        <v>6</v>
      </c>
      <c r="U44" s="265"/>
      <c r="V44" s="265"/>
    </row>
    <row r="45" spans="8:22" x14ac:dyDescent="0.35">
      <c r="H45" s="1104">
        <v>44347</v>
      </c>
      <c r="I45" s="676">
        <v>800</v>
      </c>
      <c r="J45" s="688">
        <f t="shared" si="3"/>
        <v>4</v>
      </c>
      <c r="K45" s="265"/>
      <c r="L45" s="1089"/>
      <c r="M45" s="742"/>
      <c r="N45" s="742"/>
      <c r="O45" s="742"/>
      <c r="P45" s="742">
        <f t="shared" si="19"/>
        <v>0.76923076923076927</v>
      </c>
      <c r="Q45" s="742">
        <f t="shared" si="20"/>
        <v>2</v>
      </c>
      <c r="R45" s="717">
        <f t="shared" si="21"/>
        <v>1.2307692307692308</v>
      </c>
      <c r="S45" s="265">
        <f t="shared" si="22"/>
        <v>5</v>
      </c>
      <c r="T45" s="265">
        <f t="shared" si="23"/>
        <v>5</v>
      </c>
      <c r="U45" s="265"/>
      <c r="V45" s="265"/>
    </row>
    <row r="46" spans="8:22" x14ac:dyDescent="0.35">
      <c r="H46" s="265"/>
      <c r="I46" s="265"/>
      <c r="J46" s="265"/>
      <c r="K46" s="265"/>
      <c r="L46" s="1089">
        <f>SUM(L11:L45)</f>
        <v>184.80769230769229</v>
      </c>
      <c r="M46" s="742">
        <f t="shared" ref="M46:R46" si="24">SUM(M11:M45)</f>
        <v>261.42307692307696</v>
      </c>
      <c r="N46" s="742">
        <f t="shared" si="24"/>
        <v>77.692307692307693</v>
      </c>
      <c r="O46" s="742">
        <f t="shared" si="24"/>
        <v>53.384615384615394</v>
      </c>
      <c r="P46" s="742">
        <f t="shared" si="24"/>
        <v>129.03846153846155</v>
      </c>
      <c r="Q46" s="742">
        <f t="shared" si="24"/>
        <v>85.192307692307693</v>
      </c>
      <c r="R46" s="717">
        <f t="shared" si="24"/>
        <v>8.4615384615384599</v>
      </c>
      <c r="S46" s="265"/>
      <c r="T46" s="265"/>
      <c r="U46" s="265"/>
      <c r="V46" s="265"/>
    </row>
    <row r="47" spans="8:22" x14ac:dyDescent="0.35">
      <c r="H47" s="265"/>
      <c r="I47" s="265"/>
      <c r="J47" s="265"/>
      <c r="K47" s="265"/>
      <c r="L47" s="1090">
        <f>L46*4</f>
        <v>739.23076923076917</v>
      </c>
      <c r="M47" s="1017">
        <f t="shared" ref="M47:R47" si="25">M46*4</f>
        <v>1045.6923076923078</v>
      </c>
      <c r="N47" s="1017">
        <f t="shared" si="25"/>
        <v>310.76923076923077</v>
      </c>
      <c r="O47" s="1017">
        <f t="shared" si="25"/>
        <v>213.53846153846158</v>
      </c>
      <c r="P47" s="1017">
        <f t="shared" si="25"/>
        <v>516.15384615384619</v>
      </c>
      <c r="Q47" s="1017">
        <f t="shared" si="25"/>
        <v>340.76923076923077</v>
      </c>
      <c r="R47" s="890">
        <f t="shared" si="25"/>
        <v>33.84615384615384</v>
      </c>
      <c r="S47" s="265" t="s">
        <v>289</v>
      </c>
      <c r="T47" s="265"/>
      <c r="U47" s="265"/>
      <c r="V47" s="265"/>
    </row>
    <row r="48" spans="8:22" x14ac:dyDescent="0.35">
      <c r="J48" s="268" t="s">
        <v>290</v>
      </c>
      <c r="L48" s="268">
        <v>634</v>
      </c>
      <c r="M48" s="993">
        <f>K55</f>
        <v>900.7</v>
      </c>
      <c r="N48" s="993">
        <f t="shared" ref="N48:P48" si="26">L55</f>
        <v>270.7</v>
      </c>
      <c r="O48" s="993">
        <f t="shared" si="26"/>
        <v>208.7</v>
      </c>
      <c r="P48" s="993">
        <f t="shared" si="26"/>
        <v>469.7</v>
      </c>
      <c r="Q48" s="993">
        <v>279</v>
      </c>
      <c r="R48" s="993"/>
    </row>
    <row r="50" spans="8:29" x14ac:dyDescent="0.35">
      <c r="H50" s="1491" t="s">
        <v>291</v>
      </c>
      <c r="I50" s="1492"/>
      <c r="J50" s="1409" t="s">
        <v>246</v>
      </c>
      <c r="K50" s="1410"/>
      <c r="L50" s="1410"/>
      <c r="M50" s="1454"/>
      <c r="N50" s="1454"/>
      <c r="O50" s="1454"/>
      <c r="P50" s="1390"/>
      <c r="Q50" s="630"/>
      <c r="R50" s="630"/>
      <c r="S50" s="630"/>
      <c r="T50" s="630"/>
      <c r="U50" s="630"/>
      <c r="V50" s="630"/>
      <c r="W50" s="630"/>
      <c r="X50" s="630"/>
      <c r="Y50" s="630"/>
    </row>
    <row r="51" spans="8:29" x14ac:dyDescent="0.35">
      <c r="H51" s="1493"/>
      <c r="I51" s="1494"/>
      <c r="J51" s="1398">
        <v>2020</v>
      </c>
      <c r="K51" s="1415"/>
      <c r="L51" s="1415"/>
      <c r="M51" s="1398">
        <v>2021</v>
      </c>
      <c r="N51" s="1415"/>
      <c r="O51" s="1415"/>
      <c r="P51" s="1400"/>
      <c r="Q51" s="1435"/>
      <c r="R51" s="1435"/>
      <c r="S51" s="1435"/>
      <c r="T51" s="1435"/>
      <c r="U51" s="1435"/>
      <c r="V51" s="1435"/>
      <c r="W51" s="1435"/>
      <c r="X51" s="1435"/>
    </row>
    <row r="52" spans="8:29" x14ac:dyDescent="0.35">
      <c r="H52" s="1516"/>
      <c r="I52" s="1517"/>
      <c r="J52" s="244" t="s">
        <v>250</v>
      </c>
      <c r="K52" s="245" t="s">
        <v>226</v>
      </c>
      <c r="L52" s="245" t="s">
        <v>248</v>
      </c>
      <c r="M52" s="272" t="s">
        <v>249</v>
      </c>
      <c r="N52" s="273" t="s">
        <v>250</v>
      </c>
      <c r="O52" s="273" t="s">
        <v>226</v>
      </c>
      <c r="P52" s="271" t="s">
        <v>248</v>
      </c>
      <c r="Q52" s="265"/>
      <c r="S52" s="268"/>
      <c r="T52" s="268"/>
      <c r="U52" s="265"/>
      <c r="V52" s="268"/>
      <c r="W52" s="268"/>
      <c r="X52" s="268"/>
      <c r="Y52" s="268"/>
      <c r="Z52" s="268"/>
      <c r="AA52" s="268"/>
    </row>
    <row r="53" spans="8:29" ht="32.9" customHeight="1" x14ac:dyDescent="0.35">
      <c r="H53" s="592" t="s">
        <v>292</v>
      </c>
      <c r="I53" s="265" t="s">
        <v>293</v>
      </c>
      <c r="J53" s="1098">
        <f>'Haver Pivoted'!GU47</f>
        <v>57.2</v>
      </c>
      <c r="K53" s="1088">
        <f>'Haver Pivoted'!GV47</f>
        <v>81.2</v>
      </c>
      <c r="L53" s="1088">
        <f>'Haver Pivoted'!GW47</f>
        <v>24.4</v>
      </c>
      <c r="M53" s="366">
        <f>'Haver Pivoted'!GX47</f>
        <v>11.7</v>
      </c>
      <c r="N53" s="366">
        <f>'Haver Pivoted'!GY47</f>
        <v>28.5</v>
      </c>
      <c r="O53" s="473">
        <f>'Haver Pivoted'!GZ47</f>
        <v>18.8</v>
      </c>
      <c r="P53" s="473">
        <f>'Haver Pivoted'!HA47</f>
        <v>1.6</v>
      </c>
      <c r="Q53" s="366"/>
      <c r="S53" s="268"/>
      <c r="T53" s="268"/>
      <c r="U53" s="268"/>
      <c r="V53" s="268"/>
      <c r="W53" s="268"/>
      <c r="X53" s="268"/>
      <c r="Y53" s="268"/>
      <c r="Z53" s="268"/>
      <c r="AA53" s="268"/>
    </row>
    <row r="54" spans="8:29" ht="33.75" customHeight="1" x14ac:dyDescent="0.35">
      <c r="H54" s="592" t="s">
        <v>294</v>
      </c>
      <c r="I54" s="361" t="s">
        <v>295</v>
      </c>
      <c r="J54" s="1092">
        <f>'Haver Pivoted'!GU49</f>
        <v>576.9</v>
      </c>
      <c r="K54" s="366">
        <f>'Haver Pivoted'!GV49</f>
        <v>819.5</v>
      </c>
      <c r="L54" s="366">
        <f>'Haver Pivoted'!GW49</f>
        <v>246.3</v>
      </c>
      <c r="M54" s="366">
        <f>'Haver Pivoted'!GX49</f>
        <v>197</v>
      </c>
      <c r="N54" s="366">
        <f>'Haver Pivoted'!GY49</f>
        <v>441.2</v>
      </c>
      <c r="O54" s="473">
        <f>'Haver Pivoted'!GZ49</f>
        <v>276.7</v>
      </c>
      <c r="P54" s="473">
        <f>'Haver Pivoted'!HA49</f>
        <v>28.2</v>
      </c>
      <c r="Q54" s="366"/>
      <c r="R54" s="366"/>
    </row>
    <row r="55" spans="8:29" x14ac:dyDescent="0.35">
      <c r="H55" s="679" t="s">
        <v>278</v>
      </c>
      <c r="I55" s="265"/>
      <c r="J55" s="1092">
        <f>J54+J53</f>
        <v>634.1</v>
      </c>
      <c r="K55" s="366">
        <f t="shared" ref="K55:M55" si="27">K54+K53</f>
        <v>900.7</v>
      </c>
      <c r="L55" s="366">
        <f t="shared" si="27"/>
        <v>270.7</v>
      </c>
      <c r="M55" s="366">
        <f t="shared" si="27"/>
        <v>208.7</v>
      </c>
      <c r="N55" s="366">
        <f t="shared" ref="N55:P55" si="28">N54+N53</f>
        <v>469.7</v>
      </c>
      <c r="O55" s="473">
        <f t="shared" si="28"/>
        <v>295.5</v>
      </c>
      <c r="P55" s="473">
        <f t="shared" si="28"/>
        <v>29.8</v>
      </c>
      <c r="Q55" s="366"/>
      <c r="R55" s="366"/>
    </row>
    <row r="56" spans="8:29" x14ac:dyDescent="0.35">
      <c r="H56" s="678" t="s">
        <v>296</v>
      </c>
      <c r="I56" s="676"/>
      <c r="J56" s="1018">
        <f t="shared" ref="J56:P56" si="29">J53/J55</f>
        <v>9.0206592020186091E-2</v>
      </c>
      <c r="K56" s="1019">
        <f t="shared" si="29"/>
        <v>9.015210391917397E-2</v>
      </c>
      <c r="L56" s="1019">
        <f t="shared" si="29"/>
        <v>9.0136682674547469E-2</v>
      </c>
      <c r="M56" s="1019">
        <f t="shared" si="29"/>
        <v>5.6061332055582176E-2</v>
      </c>
      <c r="N56" s="1019">
        <f t="shared" si="29"/>
        <v>6.0677027890142649E-2</v>
      </c>
      <c r="O56" s="1093">
        <f t="shared" si="29"/>
        <v>6.3620981387478848E-2</v>
      </c>
      <c r="P56" s="1093">
        <f t="shared" si="29"/>
        <v>5.3691275167785234E-2</v>
      </c>
      <c r="Q56" s="1101"/>
      <c r="R56" s="1047"/>
    </row>
    <row r="58" spans="8:29" x14ac:dyDescent="0.35">
      <c r="H58" s="268" t="s">
        <v>780</v>
      </c>
    </row>
    <row r="59" spans="8:29" x14ac:dyDescent="0.35">
      <c r="H59" s="399"/>
      <c r="I59" s="265"/>
      <c r="J59" s="366"/>
      <c r="K59" s="366"/>
      <c r="L59" s="366"/>
      <c r="M59" s="366"/>
      <c r="N59" s="366"/>
      <c r="O59" s="366"/>
      <c r="P59" s="619"/>
      <c r="Q59" s="366"/>
      <c r="R59" s="366"/>
      <c r="S59" s="366"/>
      <c r="T59" s="268"/>
      <c r="U59" s="268"/>
      <c r="V59" s="268"/>
      <c r="W59" s="268"/>
      <c r="X59" s="268"/>
      <c r="Y59" s="268"/>
      <c r="Z59" s="268"/>
      <c r="AA59" s="268"/>
      <c r="AB59" s="268"/>
      <c r="AC59" s="268"/>
    </row>
    <row r="60" spans="8:29" x14ac:dyDescent="0.35">
      <c r="P60" s="366"/>
      <c r="Q60" s="268"/>
      <c r="R60" s="268"/>
      <c r="S60" s="268"/>
      <c r="T60" s="268"/>
      <c r="U60" s="268"/>
      <c r="V60" s="268"/>
      <c r="W60" s="268"/>
      <c r="X60" s="268"/>
      <c r="Y60" s="268"/>
      <c r="Z60" s="268"/>
      <c r="AA60" s="268"/>
      <c r="AB60" s="268"/>
      <c r="AC60" s="268"/>
    </row>
    <row r="61" spans="8:29" x14ac:dyDescent="0.35">
      <c r="P61" s="366"/>
      <c r="Q61" s="1099"/>
      <c r="R61" s="1099"/>
      <c r="S61" s="1099"/>
      <c r="T61" s="1099"/>
      <c r="U61" s="1099"/>
      <c r="V61" s="1099"/>
      <c r="W61" s="1099"/>
      <c r="X61" s="1099"/>
      <c r="Y61" s="1099"/>
      <c r="Z61" s="1099"/>
      <c r="AA61" s="1099"/>
      <c r="AB61" s="1099"/>
      <c r="AC61" s="268"/>
    </row>
    <row r="62" spans="8:29" x14ac:dyDescent="0.35">
      <c r="P62" s="366"/>
      <c r="Q62" s="1099"/>
      <c r="R62" s="1099"/>
      <c r="S62" s="1099"/>
      <c r="T62" s="1099"/>
      <c r="U62" s="1099"/>
      <c r="V62" s="1099"/>
      <c r="W62" s="1099"/>
      <c r="X62" s="1099"/>
      <c r="Y62" s="1099"/>
      <c r="Z62" s="1099"/>
      <c r="AA62" s="1099"/>
      <c r="AB62" s="1099"/>
      <c r="AC62" s="268"/>
    </row>
    <row r="63" spans="8:29" x14ac:dyDescent="0.35">
      <c r="I63" s="268" t="s">
        <v>249</v>
      </c>
      <c r="J63" s="268" t="s">
        <v>250</v>
      </c>
      <c r="K63" s="268" t="s">
        <v>226</v>
      </c>
      <c r="L63" s="268" t="s">
        <v>248</v>
      </c>
      <c r="P63" s="1047"/>
      <c r="Q63" s="1099"/>
      <c r="R63" s="1099"/>
      <c r="S63" s="1099"/>
      <c r="T63" s="1099"/>
      <c r="U63" s="1099"/>
      <c r="V63" s="1099"/>
      <c r="W63" s="1099"/>
      <c r="X63" s="1099"/>
      <c r="Y63" s="1099"/>
      <c r="Z63" s="1099"/>
      <c r="AA63" s="1099"/>
      <c r="AB63" s="1099"/>
      <c r="AC63" s="268"/>
    </row>
    <row r="64" spans="8:29" x14ac:dyDescent="0.35">
      <c r="H64" s="268" t="s">
        <v>781</v>
      </c>
      <c r="I64" s="268">
        <v>81.599999999999994</v>
      </c>
      <c r="J64" s="268">
        <v>188.9</v>
      </c>
      <c r="K64" s="268">
        <v>117.2</v>
      </c>
      <c r="L64" s="268" t="e">
        <f>#REF!+#REF!</f>
        <v>#REF!</v>
      </c>
      <c r="P64" s="268"/>
      <c r="Q64" s="268"/>
      <c r="R64" s="268"/>
      <c r="S64" s="268"/>
      <c r="T64" s="268"/>
      <c r="U64" s="268"/>
      <c r="V64" s="268"/>
      <c r="W64" s="268"/>
      <c r="X64" s="268"/>
      <c r="Y64" s="268"/>
      <c r="Z64" s="268"/>
      <c r="AA64" s="268"/>
      <c r="AB64" s="268"/>
      <c r="AC64" s="268"/>
    </row>
    <row r="65" spans="7:29" x14ac:dyDescent="0.35">
      <c r="H65" s="268" t="s">
        <v>433</v>
      </c>
      <c r="I65" s="993">
        <f>M53</f>
        <v>11.7</v>
      </c>
      <c r="J65" s="993">
        <f t="shared" ref="J65:K65" si="30">N53</f>
        <v>28.5</v>
      </c>
      <c r="K65" s="993">
        <f t="shared" si="30"/>
        <v>18.8</v>
      </c>
      <c r="L65" s="268" t="e">
        <f>#REF!</f>
        <v>#REF!</v>
      </c>
      <c r="P65" s="268"/>
      <c r="Q65" s="268"/>
      <c r="R65" s="268"/>
      <c r="S65" s="268"/>
      <c r="T65" s="268"/>
      <c r="U65" s="268"/>
      <c r="V65" s="268"/>
      <c r="W65" s="268"/>
      <c r="X65" s="268"/>
      <c r="Y65" s="268"/>
      <c r="Z65" s="268"/>
      <c r="AA65" s="268"/>
      <c r="AB65" s="268"/>
      <c r="AC65" s="268"/>
    </row>
    <row r="66" spans="7:29" x14ac:dyDescent="0.35">
      <c r="H66" s="268" t="s">
        <v>782</v>
      </c>
      <c r="I66" s="993">
        <f>I67-SUM(I64:I65)</f>
        <v>115.39999999999999</v>
      </c>
      <c r="J66" s="993">
        <f t="shared" ref="J66:K66" si="31">J67-SUM(J64:J65)</f>
        <v>252.29999999999998</v>
      </c>
      <c r="K66" s="993">
        <f t="shared" si="31"/>
        <v>159.5</v>
      </c>
      <c r="L66" s="993" t="e">
        <f>1.26*L64</f>
        <v>#REF!</v>
      </c>
      <c r="P66" s="268"/>
      <c r="Q66" s="268"/>
      <c r="R66" s="268"/>
      <c r="S66" s="268"/>
      <c r="T66" s="268"/>
      <c r="U66" s="268"/>
      <c r="V66" s="268"/>
      <c r="W66" s="268"/>
      <c r="X66" s="268"/>
      <c r="Y66" s="268"/>
      <c r="Z66" s="268"/>
      <c r="AA66" s="268"/>
      <c r="AB66" s="268"/>
      <c r="AC66" s="268"/>
    </row>
    <row r="67" spans="7:29" x14ac:dyDescent="0.35">
      <c r="H67" s="268" t="s">
        <v>278</v>
      </c>
      <c r="I67" s="993">
        <f>M55</f>
        <v>208.7</v>
      </c>
      <c r="J67" s="993">
        <f>N55</f>
        <v>469.7</v>
      </c>
      <c r="K67" s="993">
        <f>O55</f>
        <v>295.5</v>
      </c>
      <c r="L67" s="993" t="e">
        <f>SUM(L64:L66)</f>
        <v>#REF!</v>
      </c>
    </row>
    <row r="68" spans="7:29" x14ac:dyDescent="0.35">
      <c r="G68" s="268" t="s">
        <v>783</v>
      </c>
    </row>
    <row r="69" spans="7:29" x14ac:dyDescent="0.35">
      <c r="H69" s="268" t="s">
        <v>781</v>
      </c>
      <c r="I69" s="547">
        <f>I64/I$67</f>
        <v>0.39099185433636796</v>
      </c>
      <c r="J69" s="547">
        <f t="shared" ref="J69:L69" si="32">J64/J$67</f>
        <v>0.40217159889291038</v>
      </c>
      <c r="K69" s="547">
        <f t="shared" si="32"/>
        <v>0.3966159052453469</v>
      </c>
      <c r="L69" s="547" t="e">
        <f t="shared" si="32"/>
        <v>#REF!</v>
      </c>
    </row>
    <row r="70" spans="7:29" x14ac:dyDescent="0.35">
      <c r="H70" s="268" t="s">
        <v>433</v>
      </c>
      <c r="I70" s="547">
        <f t="shared" ref="I70:L71" si="33">I65/I$67</f>
        <v>5.6061332055582176E-2</v>
      </c>
      <c r="J70" s="547">
        <f t="shared" si="33"/>
        <v>6.0677027890142649E-2</v>
      </c>
      <c r="K70" s="547">
        <f t="shared" si="33"/>
        <v>6.3620981387478848E-2</v>
      </c>
      <c r="L70" s="547" t="e">
        <f t="shared" si="33"/>
        <v>#REF!</v>
      </c>
    </row>
    <row r="71" spans="7:29" x14ac:dyDescent="0.35">
      <c r="H71" s="268" t="s">
        <v>782</v>
      </c>
      <c r="I71" s="547">
        <f t="shared" si="33"/>
        <v>0.55294681360804987</v>
      </c>
      <c r="J71" s="547">
        <f t="shared" si="33"/>
        <v>0.53715137321694695</v>
      </c>
      <c r="K71" s="547">
        <f t="shared" si="33"/>
        <v>0.53976311336717431</v>
      </c>
      <c r="L71" s="547" t="e">
        <f t="shared" si="33"/>
        <v>#REF!</v>
      </c>
    </row>
    <row r="73" spans="7:29" x14ac:dyDescent="0.35">
      <c r="H73" s="268" t="s">
        <v>784</v>
      </c>
      <c r="I73" s="268">
        <f>I66/I64</f>
        <v>1.4142156862745099</v>
      </c>
      <c r="J73" s="268">
        <f t="shared" ref="J73:K73" si="34">J66/J64</f>
        <v>1.3356273160402328</v>
      </c>
      <c r="K73" s="26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F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64" t="s">
        <v>140</v>
      </c>
      <c r="C1" s="1364"/>
      <c r="D1" s="1364"/>
      <c r="E1" s="1364"/>
      <c r="F1" s="1364"/>
      <c r="G1" s="1364"/>
      <c r="H1" s="1364"/>
      <c r="I1" s="1364"/>
      <c r="J1" s="1364"/>
      <c r="K1" s="1364"/>
      <c r="L1" s="1364"/>
      <c r="M1" s="1364"/>
      <c r="N1" s="1364"/>
      <c r="O1" s="1364"/>
      <c r="P1" s="1364"/>
      <c r="Q1" s="1364"/>
      <c r="R1" s="1364"/>
      <c r="S1" s="1364"/>
      <c r="T1" s="1364"/>
    </row>
    <row r="2" spans="1:22" x14ac:dyDescent="0.35">
      <c r="B2" s="1518" t="s">
        <v>813</v>
      </c>
      <c r="C2" s="1518"/>
      <c r="D2" s="1518"/>
      <c r="E2" s="1518"/>
      <c r="F2" s="1518"/>
      <c r="G2" s="1518"/>
      <c r="H2" s="1518"/>
      <c r="I2" s="1518"/>
      <c r="J2" s="1518"/>
      <c r="K2" s="1518"/>
      <c r="L2" s="1518"/>
      <c r="M2" s="1518"/>
      <c r="N2" s="1518"/>
      <c r="O2" s="1518"/>
      <c r="P2" s="1518"/>
      <c r="Q2" s="1518"/>
      <c r="R2" s="1518"/>
      <c r="S2" s="1518"/>
      <c r="T2" s="1518"/>
    </row>
    <row r="3" spans="1:22" x14ac:dyDescent="0.35">
      <c r="B3" s="1518"/>
      <c r="C3" s="1518"/>
      <c r="D3" s="1518"/>
      <c r="E3" s="1518"/>
      <c r="F3" s="1518"/>
      <c r="G3" s="1518"/>
      <c r="H3" s="1518"/>
      <c r="I3" s="1518"/>
      <c r="J3" s="1518"/>
      <c r="K3" s="1518"/>
      <c r="L3" s="1518"/>
      <c r="M3" s="1518"/>
      <c r="N3" s="1518"/>
      <c r="O3" s="1518"/>
      <c r="P3" s="1518"/>
      <c r="Q3" s="1518"/>
      <c r="R3" s="1518"/>
      <c r="S3" s="1518"/>
      <c r="T3" s="1518"/>
    </row>
    <row r="4" spans="1:22" x14ac:dyDescent="0.35">
      <c r="B4" s="1518"/>
      <c r="C4" s="1518"/>
      <c r="D4" s="1518"/>
      <c r="E4" s="1518"/>
      <c r="F4" s="1518"/>
      <c r="G4" s="1518"/>
      <c r="H4" s="1518"/>
      <c r="I4" s="1518"/>
      <c r="J4" s="1518"/>
      <c r="K4" s="1518"/>
      <c r="L4" s="1518"/>
      <c r="M4" s="1518"/>
      <c r="N4" s="1518"/>
      <c r="O4" s="1518"/>
      <c r="P4" s="1518"/>
      <c r="Q4" s="1518"/>
      <c r="R4" s="1518"/>
      <c r="S4" s="1518"/>
      <c r="T4" s="1518"/>
    </row>
    <row r="5" spans="1:22" x14ac:dyDescent="0.35">
      <c r="B5" s="1518"/>
      <c r="C5" s="1518"/>
      <c r="D5" s="1518"/>
      <c r="E5" s="1518"/>
      <c r="F5" s="1518"/>
      <c r="G5" s="1518"/>
      <c r="H5" s="1518"/>
      <c r="I5" s="1518"/>
      <c r="J5" s="1518"/>
      <c r="K5" s="1518"/>
      <c r="L5" s="1518"/>
      <c r="M5" s="1518"/>
      <c r="N5" s="1518"/>
      <c r="O5" s="1518"/>
      <c r="P5" s="1518"/>
      <c r="Q5" s="1518"/>
      <c r="R5" s="1518"/>
      <c r="S5" s="1518"/>
      <c r="T5" s="1518"/>
    </row>
    <row r="6" spans="1:22" x14ac:dyDescent="0.35">
      <c r="B6" s="1518"/>
      <c r="C6" s="1518"/>
      <c r="D6" s="1518"/>
      <c r="E6" s="1518"/>
      <c r="F6" s="1518"/>
      <c r="G6" s="1518"/>
      <c r="H6" s="1518"/>
      <c r="I6" s="1518"/>
      <c r="J6" s="1518"/>
      <c r="K6" s="1518"/>
      <c r="L6" s="1518"/>
      <c r="M6" s="1518"/>
      <c r="N6" s="1518"/>
      <c r="O6" s="1518"/>
      <c r="P6" s="1518"/>
      <c r="Q6" s="1518"/>
      <c r="R6" s="1518"/>
      <c r="S6" s="1518"/>
      <c r="T6" s="1518"/>
    </row>
    <row r="7" spans="1:22" x14ac:dyDescent="0.35">
      <c r="J7" s="81"/>
      <c r="K7" s="81"/>
      <c r="M7" s="81"/>
    </row>
    <row r="9" spans="1:22" ht="14.9" customHeight="1" x14ac:dyDescent="0.35">
      <c r="A9" s="745"/>
      <c r="B9" s="1519" t="s">
        <v>270</v>
      </c>
      <c r="C9" s="1520"/>
      <c r="D9" s="1110">
        <v>2018</v>
      </c>
      <c r="E9" s="1525">
        <v>2019</v>
      </c>
      <c r="F9" s="1526"/>
      <c r="G9" s="1526"/>
      <c r="H9" s="1527"/>
      <c r="I9" s="1523">
        <v>2020</v>
      </c>
      <c r="J9" s="1524"/>
      <c r="K9" s="1524"/>
      <c r="L9" s="1524"/>
      <c r="M9" s="1528">
        <v>2021</v>
      </c>
      <c r="N9" s="1529"/>
      <c r="O9" s="1529"/>
      <c r="P9" s="1530"/>
      <c r="Q9" s="1523">
        <v>2022</v>
      </c>
      <c r="R9" s="1531"/>
      <c r="S9" s="1531"/>
      <c r="T9" s="1532"/>
    </row>
    <row r="10" spans="1:22" x14ac:dyDescent="0.35">
      <c r="B10" s="1521"/>
      <c r="C10" s="1522"/>
      <c r="D10" s="1114" t="s">
        <v>248</v>
      </c>
      <c r="E10" s="1115" t="s">
        <v>249</v>
      </c>
      <c r="F10" s="607" t="s">
        <v>250</v>
      </c>
      <c r="G10" s="607" t="s">
        <v>226</v>
      </c>
      <c r="H10" s="1116" t="s">
        <v>248</v>
      </c>
      <c r="I10" s="1115" t="s">
        <v>249</v>
      </c>
      <c r="J10" s="607" t="s">
        <v>250</v>
      </c>
      <c r="K10" s="607" t="s">
        <v>226</v>
      </c>
      <c r="L10" s="607" t="s">
        <v>248</v>
      </c>
      <c r="M10" s="244" t="s">
        <v>249</v>
      </c>
      <c r="N10" s="245" t="s">
        <v>250</v>
      </c>
      <c r="O10" s="245" t="s">
        <v>226</v>
      </c>
      <c r="P10" s="246" t="s">
        <v>248</v>
      </c>
      <c r="Q10" s="607" t="s">
        <v>249</v>
      </c>
      <c r="R10" s="607" t="s">
        <v>250</v>
      </c>
      <c r="S10" s="607" t="s">
        <v>226</v>
      </c>
      <c r="T10" s="1116" t="s">
        <v>248</v>
      </c>
    </row>
    <row r="11" spans="1:22" ht="29.15" customHeight="1" x14ac:dyDescent="0.35">
      <c r="A11" s="1108"/>
      <c r="B11" s="1118" t="s">
        <v>127</v>
      </c>
      <c r="C11" s="1113" t="s">
        <v>271</v>
      </c>
      <c r="D11" s="1127"/>
      <c r="E11" s="1128"/>
      <c r="F11" s="1128"/>
      <c r="G11" s="1128"/>
      <c r="H11" s="1128"/>
      <c r="I11" s="1128"/>
      <c r="J11" s="1120">
        <f>'Haver Pivoted'!GU48</f>
        <v>160.9</v>
      </c>
      <c r="K11" s="1120">
        <f>'Haver Pivoted'!GV48</f>
        <v>58.4</v>
      </c>
      <c r="L11" s="1120">
        <f>'Haver Pivoted'!GW48</f>
        <v>34.5</v>
      </c>
      <c r="M11" s="1120">
        <f>'Haver Pivoted'!GX48</f>
        <v>21.4</v>
      </c>
      <c r="N11" s="1120">
        <f>'Haver Pivoted'!GY48</f>
        <v>13.3</v>
      </c>
      <c r="O11" s="1120">
        <f>'Haver Pivoted'!GZ48</f>
        <v>18.7</v>
      </c>
      <c r="P11" s="1120">
        <f>'Haver Pivoted'!HA48</f>
        <v>32.200000000000003</v>
      </c>
      <c r="Q11" s="1120">
        <f>'Haver Pivoted'!HB48</f>
        <v>26.9</v>
      </c>
      <c r="R11" s="1120">
        <f>'Haver Pivoted'!HC48</f>
        <v>20</v>
      </c>
      <c r="S11" s="1126">
        <f>'Haver Pivoted'!HD48</f>
        <v>8.1</v>
      </c>
      <c r="T11" s="1121">
        <f>'Haver Pivoted'!HE48</f>
        <v>4.9000000000000004</v>
      </c>
    </row>
    <row r="12" spans="1:22" ht="29.15" customHeight="1" x14ac:dyDescent="0.35">
      <c r="A12" s="1108"/>
      <c r="B12" s="1131" t="s">
        <v>272</v>
      </c>
      <c r="C12" s="155" t="s">
        <v>273</v>
      </c>
      <c r="D12" s="1131"/>
      <c r="E12" s="155"/>
      <c r="F12" s="155"/>
      <c r="G12" s="155"/>
      <c r="H12" s="155"/>
      <c r="I12" s="155"/>
      <c r="J12" s="1122">
        <f>'Haver Pivoted'!GU58</f>
        <v>64.400000000000006</v>
      </c>
      <c r="K12" s="1122">
        <f>'Haver Pivoted'!GV58</f>
        <v>23.4</v>
      </c>
      <c r="L12" s="1122">
        <f>'Haver Pivoted'!GW58</f>
        <v>13.8</v>
      </c>
      <c r="M12" s="1122">
        <f>'Haver Pivoted'!GX58</f>
        <v>12</v>
      </c>
      <c r="N12" s="1122">
        <f>'Haver Pivoted'!GY58</f>
        <v>7.5</v>
      </c>
      <c r="O12" s="1122">
        <f>'Haver Pivoted'!GZ58</f>
        <v>10.5</v>
      </c>
      <c r="P12" s="1122">
        <f>'Haver Pivoted'!HA58</f>
        <v>18</v>
      </c>
      <c r="Q12" s="1122">
        <f>'Haver Pivoted'!HB58</f>
        <v>15</v>
      </c>
      <c r="R12" s="1122">
        <f>'Haver Pivoted'!HC58</f>
        <v>11.2</v>
      </c>
      <c r="S12" s="1125">
        <f>'Haver Pivoted'!HD58</f>
        <v>7.5</v>
      </c>
      <c r="T12" s="1129">
        <f>'Haver Pivoted'!HE58</f>
        <v>6.2</v>
      </c>
    </row>
    <row r="13" spans="1:22" ht="47.15" customHeight="1" x14ac:dyDescent="0.35">
      <c r="A13" s="1108"/>
      <c r="B13" s="1131" t="s">
        <v>274</v>
      </c>
      <c r="C13" s="155" t="s">
        <v>275</v>
      </c>
      <c r="D13" s="1131"/>
      <c r="E13" s="155"/>
      <c r="F13" s="155"/>
      <c r="G13" s="155"/>
      <c r="H13" s="155"/>
      <c r="I13" s="155"/>
      <c r="J13" s="1122">
        <f>'Haver Pivoted'!GU54</f>
        <v>96.6</v>
      </c>
      <c r="K13" s="1122">
        <f>'Haver Pivoted'!GV54</f>
        <v>35.1</v>
      </c>
      <c r="L13" s="1122">
        <f>'Haver Pivoted'!GW54</f>
        <v>20.7</v>
      </c>
      <c r="M13" s="1122">
        <f>'Haver Pivoted'!GX54</f>
        <v>15.4</v>
      </c>
      <c r="N13" s="1122">
        <f>'Haver Pivoted'!GY54</f>
        <v>9.6</v>
      </c>
      <c r="O13" s="1122">
        <f>'Haver Pivoted'!GZ54</f>
        <v>13.5</v>
      </c>
      <c r="P13" s="1122">
        <f>'Haver Pivoted'!HA54</f>
        <v>23.2</v>
      </c>
      <c r="Q13" s="1122">
        <f>'Haver Pivoted'!HB54</f>
        <v>19.3</v>
      </c>
      <c r="R13" s="1122">
        <f>'Haver Pivoted'!HC54</f>
        <v>14.4</v>
      </c>
      <c r="S13" s="1125">
        <f>'Haver Pivoted'!HD54</f>
        <v>5.9</v>
      </c>
      <c r="T13" s="1129">
        <f>'Haver Pivoted'!HE54</f>
        <v>3.6</v>
      </c>
      <c r="U13" s="1123" t="s">
        <v>276</v>
      </c>
      <c r="V13" s="1111" t="s">
        <v>277</v>
      </c>
    </row>
    <row r="14" spans="1:22" x14ac:dyDescent="0.35">
      <c r="B14" s="61" t="s">
        <v>278</v>
      </c>
      <c r="C14" s="63"/>
      <c r="D14" s="61"/>
      <c r="E14" s="63"/>
      <c r="F14" s="63"/>
      <c r="G14" s="63"/>
      <c r="H14" s="63"/>
      <c r="I14" s="63"/>
      <c r="J14" s="1122">
        <f t="shared" ref="J14:T14" si="0">J13+J12+J11</f>
        <v>321.89999999999998</v>
      </c>
      <c r="K14" s="1122">
        <f t="shared" si="0"/>
        <v>116.9</v>
      </c>
      <c r="L14" s="1122">
        <f t="shared" si="0"/>
        <v>69</v>
      </c>
      <c r="M14" s="1122">
        <f t="shared" si="0"/>
        <v>48.8</v>
      </c>
      <c r="N14" s="1122">
        <f t="shared" si="0"/>
        <v>30.400000000000002</v>
      </c>
      <c r="O14" s="1122">
        <f t="shared" si="0"/>
        <v>42.7</v>
      </c>
      <c r="P14" s="1122">
        <f t="shared" si="0"/>
        <v>73.400000000000006</v>
      </c>
      <c r="Q14" s="1122">
        <f t="shared" si="0"/>
        <v>61.199999999999996</v>
      </c>
      <c r="R14" s="1122">
        <f t="shared" si="0"/>
        <v>45.6</v>
      </c>
      <c r="S14" s="1125">
        <f t="shared" si="0"/>
        <v>21.5</v>
      </c>
      <c r="T14" s="1129">
        <f t="shared" si="0"/>
        <v>14.700000000000001</v>
      </c>
      <c r="U14" s="1124">
        <v>236</v>
      </c>
      <c r="V14" s="1117">
        <f>SUM(J14:S14)/4</f>
        <v>207.85</v>
      </c>
    </row>
    <row r="15" spans="1:22" x14ac:dyDescent="0.35">
      <c r="B15" s="1107" t="s">
        <v>279</v>
      </c>
      <c r="C15" s="65"/>
      <c r="D15" s="1107"/>
      <c r="E15" s="65"/>
      <c r="F15" s="65"/>
      <c r="G15" s="65"/>
      <c r="H15" s="65"/>
      <c r="I15" s="65"/>
      <c r="J15" s="745">
        <f t="shared" ref="J15:N17" si="1">J11/J$14</f>
        <v>0.49984467225846541</v>
      </c>
      <c r="K15" s="745">
        <f t="shared" si="1"/>
        <v>0.49957228400342168</v>
      </c>
      <c r="L15" s="745">
        <f t="shared" si="1"/>
        <v>0.5</v>
      </c>
      <c r="M15" s="745">
        <f t="shared" si="1"/>
        <v>0.43852459016393441</v>
      </c>
      <c r="N15" s="745">
        <f t="shared" si="1"/>
        <v>0.4375</v>
      </c>
      <c r="O15" s="745">
        <f>O11/O$14</f>
        <v>0.43793911007025754</v>
      </c>
      <c r="P15" s="745">
        <f t="shared" ref="P15:T15" si="2">P11/P$14</f>
        <v>0.43869209809264303</v>
      </c>
      <c r="Q15" s="745">
        <f t="shared" si="2"/>
        <v>0.43954248366013071</v>
      </c>
      <c r="R15" s="745">
        <f t="shared" si="2"/>
        <v>0.43859649122807015</v>
      </c>
      <c r="S15" s="607">
        <f t="shared" si="2"/>
        <v>0.37674418604651161</v>
      </c>
      <c r="T15" s="1116">
        <f t="shared" si="2"/>
        <v>0.33333333333333331</v>
      </c>
    </row>
    <row r="16" spans="1:22" x14ac:dyDescent="0.35">
      <c r="B16" s="1107" t="s">
        <v>280</v>
      </c>
      <c r="C16" s="65"/>
      <c r="D16" s="1107"/>
      <c r="E16" s="65"/>
      <c r="F16" s="65"/>
      <c r="G16" s="65"/>
      <c r="H16" s="65"/>
      <c r="I16" s="65"/>
      <c r="J16" s="745">
        <f t="shared" si="1"/>
        <v>0.20006213109661389</v>
      </c>
      <c r="K16" s="745">
        <f t="shared" si="1"/>
        <v>0.20017108639863129</v>
      </c>
      <c r="L16" s="745">
        <f t="shared" si="1"/>
        <v>0.2</v>
      </c>
      <c r="M16" s="745">
        <f t="shared" si="1"/>
        <v>0.24590163934426232</v>
      </c>
      <c r="N16" s="745">
        <f t="shared" si="1"/>
        <v>0.24671052631578946</v>
      </c>
      <c r="O16" s="745">
        <f t="shared" ref="O16:T16" si="3">O12/O$14</f>
        <v>0.24590163934426229</v>
      </c>
      <c r="P16" s="745">
        <f t="shared" si="3"/>
        <v>0.24523160762942778</v>
      </c>
      <c r="Q16" s="745">
        <f t="shared" si="3"/>
        <v>0.24509803921568629</v>
      </c>
      <c r="R16" s="745">
        <f t="shared" si="3"/>
        <v>0.24561403508771928</v>
      </c>
      <c r="S16" s="607">
        <f t="shared" si="3"/>
        <v>0.34883720930232559</v>
      </c>
      <c r="T16" s="1116">
        <f t="shared" si="3"/>
        <v>0.42176870748299317</v>
      </c>
      <c r="U16" s="438"/>
    </row>
    <row r="17" spans="2:21" x14ac:dyDescent="0.35">
      <c r="B17" s="1109" t="s">
        <v>281</v>
      </c>
      <c r="C17" s="1112"/>
      <c r="D17" s="1109"/>
      <c r="E17" s="1112"/>
      <c r="F17" s="1112"/>
      <c r="G17" s="1112"/>
      <c r="H17" s="1112"/>
      <c r="I17" s="1112"/>
      <c r="J17" s="766">
        <f t="shared" si="1"/>
        <v>0.30009319664492079</v>
      </c>
      <c r="K17" s="766">
        <f t="shared" si="1"/>
        <v>0.30025662959794697</v>
      </c>
      <c r="L17" s="766">
        <f t="shared" si="1"/>
        <v>0.3</v>
      </c>
      <c r="M17" s="766">
        <f t="shared" si="1"/>
        <v>0.3155737704918033</v>
      </c>
      <c r="N17" s="766">
        <f t="shared" si="1"/>
        <v>0.31578947368421051</v>
      </c>
      <c r="O17" s="766">
        <f t="shared" ref="O17:T17" si="4">O13/O$14</f>
        <v>0.31615925058548006</v>
      </c>
      <c r="P17" s="766">
        <f t="shared" si="4"/>
        <v>0.3160762942779291</v>
      </c>
      <c r="Q17" s="766">
        <f t="shared" si="4"/>
        <v>0.31535947712418305</v>
      </c>
      <c r="R17" s="766">
        <f t="shared" si="4"/>
        <v>0.31578947368421051</v>
      </c>
      <c r="S17" s="1119">
        <f t="shared" si="4"/>
        <v>0.2744186046511628</v>
      </c>
      <c r="T17" s="1130">
        <f t="shared" si="4"/>
        <v>0.24489795918367346</v>
      </c>
    </row>
    <row r="18" spans="2:21" x14ac:dyDescent="0.35">
      <c r="B18" s="65"/>
      <c r="C18" s="65"/>
      <c r="D18" s="65"/>
      <c r="E18" s="65"/>
      <c r="F18" s="65"/>
      <c r="G18" s="65"/>
      <c r="H18" s="65"/>
      <c r="I18" s="65"/>
      <c r="J18" s="745"/>
      <c r="K18" s="745"/>
      <c r="L18" s="745"/>
      <c r="M18" s="745"/>
      <c r="N18" s="745"/>
      <c r="O18" s="745"/>
    </row>
    <row r="19" spans="2:21" ht="15.75" customHeight="1" x14ac:dyDescent="0.35"/>
    <row r="21" spans="2:21" ht="30" customHeight="1" x14ac:dyDescent="0.35"/>
    <row r="22" spans="2:21" ht="27" customHeight="1" x14ac:dyDescent="0.35">
      <c r="M22" s="44"/>
      <c r="N22" s="44"/>
      <c r="O22" s="44"/>
      <c r="P22" s="24"/>
      <c r="Q22" s="24"/>
      <c r="R22" s="24"/>
      <c r="S22" s="24"/>
      <c r="T22" s="24"/>
      <c r="U22" s="44"/>
    </row>
    <row r="23" spans="2:21" ht="31.5" customHeight="1" x14ac:dyDescent="0.35">
      <c r="M23" s="44"/>
      <c r="N23" s="44"/>
      <c r="O23" s="44"/>
      <c r="P23" s="24"/>
      <c r="Q23" s="24"/>
      <c r="R23" s="24"/>
      <c r="S23" s="24"/>
      <c r="T23" s="24"/>
      <c r="U23" s="44"/>
    </row>
    <row r="24" spans="2:21" ht="24.65" customHeight="1" x14ac:dyDescent="0.35">
      <c r="M24" s="44"/>
      <c r="N24" s="44"/>
      <c r="O24" s="44"/>
      <c r="P24" s="24"/>
      <c r="Q24" s="24"/>
      <c r="R24" s="24"/>
      <c r="S24" s="24"/>
      <c r="T24" s="24"/>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87" t="s">
        <v>47</v>
      </c>
      <c r="C1" s="1387"/>
      <c r="D1" s="1387"/>
      <c r="E1" s="1387"/>
      <c r="F1" s="1387"/>
      <c r="G1" s="1387"/>
      <c r="H1" s="1387"/>
      <c r="I1" s="1387"/>
      <c r="J1" s="1387"/>
      <c r="K1" s="1387"/>
      <c r="L1" s="1387"/>
      <c r="M1" s="1387"/>
      <c r="N1" s="1387"/>
      <c r="O1" s="1387"/>
      <c r="P1" s="1387"/>
      <c r="Q1" s="1387"/>
      <c r="R1" s="1387"/>
      <c r="S1" s="1387"/>
      <c r="T1" s="1387"/>
      <c r="U1" s="1387"/>
      <c r="V1" s="1387"/>
      <c r="W1" s="1387"/>
      <c r="X1" s="1387"/>
      <c r="Y1" s="1387"/>
      <c r="Z1" s="1387"/>
      <c r="AA1" s="1387"/>
      <c r="AB1" s="1387"/>
      <c r="AC1" s="1387"/>
    </row>
    <row r="2" spans="1:29" ht="14.9" customHeight="1" x14ac:dyDescent="0.35">
      <c r="B2" s="1426" t="s">
        <v>422</v>
      </c>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6"/>
      <c r="AA2" s="1426"/>
      <c r="AB2" s="1426"/>
      <c r="AC2" s="1426"/>
    </row>
    <row r="3" spans="1:29" x14ac:dyDescent="0.35">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c r="AA3" s="1426"/>
      <c r="AB3" s="1426"/>
      <c r="AC3" s="1426"/>
    </row>
    <row r="4" spans="1:29" x14ac:dyDescent="0.35">
      <c r="B4" s="1426"/>
      <c r="C4" s="1426"/>
      <c r="D4" s="1426"/>
      <c r="E4" s="1426"/>
      <c r="F4" s="1426"/>
      <c r="G4" s="1426"/>
      <c r="H4" s="1426"/>
      <c r="I4" s="1426"/>
      <c r="J4" s="1426"/>
      <c r="K4" s="1426"/>
      <c r="L4" s="1426"/>
      <c r="M4" s="1426"/>
      <c r="N4" s="1426"/>
      <c r="O4" s="1426"/>
      <c r="P4" s="1426"/>
      <c r="Q4" s="1426"/>
      <c r="R4" s="1426"/>
      <c r="S4" s="1426"/>
      <c r="T4" s="1426"/>
      <c r="U4" s="1426"/>
      <c r="V4" s="1426"/>
      <c r="W4" s="1426"/>
      <c r="X4" s="1426"/>
      <c r="Y4" s="1426"/>
      <c r="Z4" s="1426"/>
      <c r="AA4" s="1426"/>
      <c r="AB4" s="1426"/>
      <c r="AC4" s="1426"/>
    </row>
    <row r="5" spans="1:29"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1:29" x14ac:dyDescent="0.35">
      <c r="B6" s="1389" t="s">
        <v>367</v>
      </c>
      <c r="C6" s="1390"/>
      <c r="D6" s="1428" t="s">
        <v>246</v>
      </c>
      <c r="E6" s="1429"/>
      <c r="F6" s="1429"/>
      <c r="G6" s="1429"/>
      <c r="H6" s="1429"/>
      <c r="I6" s="1429"/>
      <c r="J6" s="1429"/>
      <c r="K6" s="1429"/>
      <c r="L6" s="1429"/>
      <c r="M6" s="1429"/>
      <c r="N6" s="1429"/>
      <c r="O6" s="1429"/>
      <c r="P6" s="1429"/>
      <c r="Q6" s="1451"/>
      <c r="R6" s="1451"/>
      <c r="S6" s="1451"/>
      <c r="T6" s="1390"/>
      <c r="U6" s="1420" t="s">
        <v>247</v>
      </c>
      <c r="V6" s="1420"/>
      <c r="W6" s="1420"/>
      <c r="X6" s="1420"/>
      <c r="Y6" s="1420"/>
      <c r="Z6" s="1420"/>
      <c r="AA6" s="1420"/>
      <c r="AB6" s="1420"/>
      <c r="AC6" s="1421"/>
    </row>
    <row r="7" spans="1:29" x14ac:dyDescent="0.35">
      <c r="B7" s="1391"/>
      <c r="C7" s="1392"/>
      <c r="D7" s="249">
        <v>2018</v>
      </c>
      <c r="E7" s="1398">
        <v>2019</v>
      </c>
      <c r="F7" s="1415"/>
      <c r="G7" s="1415"/>
      <c r="H7" s="1400"/>
      <c r="I7" s="1398">
        <v>2020</v>
      </c>
      <c r="J7" s="1415"/>
      <c r="K7" s="1415"/>
      <c r="L7" s="1415"/>
      <c r="M7" s="1398">
        <v>2021</v>
      </c>
      <c r="N7" s="1415"/>
      <c r="O7" s="1415"/>
      <c r="P7" s="1415"/>
      <c r="Q7" s="1398">
        <v>2022</v>
      </c>
      <c r="R7" s="1399"/>
      <c r="S7" s="1399"/>
      <c r="T7" s="1400"/>
      <c r="U7" s="1424">
        <v>2023</v>
      </c>
      <c r="V7" s="1413"/>
      <c r="W7" s="1413"/>
      <c r="X7" s="1413"/>
      <c r="Y7" s="1412">
        <v>2024</v>
      </c>
      <c r="Z7" s="1413"/>
      <c r="AA7" s="1413"/>
      <c r="AB7" s="1414"/>
      <c r="AC7" s="408">
        <v>2025</v>
      </c>
    </row>
    <row r="8" spans="1:29" x14ac:dyDescent="0.35">
      <c r="B8" s="1393"/>
      <c r="C8" s="1394"/>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6" t="s">
        <v>248</v>
      </c>
      <c r="U8" s="247" t="s">
        <v>249</v>
      </c>
      <c r="V8" s="247" t="s">
        <v>250</v>
      </c>
      <c r="W8" s="247" t="s">
        <v>226</v>
      </c>
      <c r="X8" s="247" t="s">
        <v>248</v>
      </c>
      <c r="Y8" s="430" t="s">
        <v>249</v>
      </c>
      <c r="Z8" s="454" t="s">
        <v>250</v>
      </c>
      <c r="AA8" s="247" t="s">
        <v>226</v>
      </c>
      <c r="AB8" s="248" t="s">
        <v>248</v>
      </c>
      <c r="AC8" s="1141" t="s">
        <v>249</v>
      </c>
    </row>
    <row r="9" spans="1:29" x14ac:dyDescent="0.35">
      <c r="B9" s="685" t="s">
        <v>47</v>
      </c>
      <c r="C9" s="863" t="s">
        <v>423</v>
      </c>
      <c r="D9" s="685"/>
      <c r="E9" s="710"/>
      <c r="F9" s="710"/>
      <c r="G9" s="710"/>
      <c r="H9" s="710"/>
      <c r="I9" s="710"/>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50">
        <f>'Haver Pivoted'!HD45</f>
        <v>0</v>
      </c>
      <c r="T9" s="251">
        <f>'Haver Pivoted'!HE45</f>
        <v>0</v>
      </c>
      <c r="U9" s="257"/>
      <c r="V9" s="257"/>
      <c r="W9" s="257"/>
      <c r="X9" s="257"/>
      <c r="Y9" s="257"/>
      <c r="Z9" s="257"/>
      <c r="AA9" s="257"/>
      <c r="AB9" s="257"/>
      <c r="AC9" s="254"/>
    </row>
    <row r="10" spans="1:29" x14ac:dyDescent="0.35">
      <c r="B10" s="695" t="s">
        <v>202</v>
      </c>
      <c r="C10" s="385"/>
      <c r="D10" s="695"/>
      <c r="E10" s="385"/>
      <c r="F10" s="385"/>
      <c r="G10" s="385"/>
      <c r="H10" s="385"/>
      <c r="I10" s="385"/>
      <c r="J10" s="747"/>
      <c r="K10" s="747"/>
      <c r="L10" s="747"/>
      <c r="M10" s="747">
        <f t="shared" ref="M10:T10" si="0">M9-M11</f>
        <v>1348.1</v>
      </c>
      <c r="N10" s="747">
        <f t="shared" si="0"/>
        <v>290.10000000000002</v>
      </c>
      <c r="O10" s="747">
        <f t="shared" si="0"/>
        <v>38.9</v>
      </c>
      <c r="P10" s="747">
        <f t="shared" si="0"/>
        <v>14.2</v>
      </c>
      <c r="Q10" s="747">
        <f t="shared" si="0"/>
        <v>0</v>
      </c>
      <c r="R10" s="747">
        <f t="shared" si="0"/>
        <v>0</v>
      </c>
      <c r="S10" s="1139">
        <f t="shared" si="0"/>
        <v>0</v>
      </c>
      <c r="T10" s="1142">
        <f t="shared" si="0"/>
        <v>0</v>
      </c>
      <c r="U10" s="800"/>
      <c r="V10" s="800"/>
      <c r="W10" s="800"/>
      <c r="X10" s="800"/>
      <c r="Y10" s="800"/>
      <c r="Z10" s="800"/>
      <c r="AA10" s="800"/>
      <c r="AB10" s="800"/>
      <c r="AC10" s="1138"/>
    </row>
    <row r="11" spans="1:29" x14ac:dyDescent="0.35">
      <c r="B11" s="650" t="s">
        <v>424</v>
      </c>
      <c r="C11" s="651"/>
      <c r="D11" s="650"/>
      <c r="E11" s="651"/>
      <c r="F11" s="651"/>
      <c r="G11" s="651"/>
      <c r="H11" s="651"/>
      <c r="I11" s="651"/>
      <c r="J11" s="767">
        <f t="shared" ref="J11:L11" si="1">J9-J10</f>
        <v>1078.0999999999999</v>
      </c>
      <c r="K11" s="767">
        <f t="shared" si="1"/>
        <v>15.6</v>
      </c>
      <c r="L11" s="767">
        <f t="shared" si="1"/>
        <v>5</v>
      </c>
      <c r="M11" s="767">
        <f>SUM(C17:D17)/12*4</f>
        <v>585.6</v>
      </c>
      <c r="N11" s="767">
        <v>0</v>
      </c>
      <c r="O11" s="767">
        <v>0</v>
      </c>
      <c r="P11" s="767">
        <v>0</v>
      </c>
      <c r="Q11" s="767">
        <v>0</v>
      </c>
      <c r="R11" s="767">
        <v>0</v>
      </c>
      <c r="S11" s="767">
        <v>0</v>
      </c>
      <c r="T11" s="1140"/>
      <c r="U11" s="1144"/>
      <c r="V11" s="1144"/>
      <c r="W11" s="1144"/>
      <c r="X11" s="1144"/>
      <c r="Y11" s="1144"/>
      <c r="Z11" s="1144"/>
      <c r="AA11" s="1144"/>
      <c r="AB11" s="1144"/>
      <c r="AC11" s="1133"/>
    </row>
    <row r="12" spans="1:29" x14ac:dyDescent="0.35">
      <c r="B12" s="268"/>
      <c r="C12" s="268"/>
      <c r="D12" s="268"/>
      <c r="E12" s="268"/>
      <c r="F12" s="268"/>
      <c r="G12" s="268"/>
      <c r="H12" s="268"/>
      <c r="I12" s="268"/>
      <c r="J12" s="268"/>
      <c r="K12" s="268"/>
      <c r="L12" s="268"/>
      <c r="M12" s="268"/>
      <c r="N12" s="268"/>
      <c r="O12" s="268"/>
      <c r="P12" s="268"/>
      <c r="Q12" s="268"/>
      <c r="R12" s="268"/>
      <c r="S12" s="268"/>
      <c r="T12" s="268"/>
      <c r="U12" s="268"/>
      <c r="V12" s="268"/>
      <c r="W12" s="268"/>
      <c r="X12" s="268"/>
      <c r="Y12" s="268"/>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45"/>
      <c r="B15" s="1533" t="s">
        <v>425</v>
      </c>
      <c r="C15" s="1523">
        <v>2021</v>
      </c>
      <c r="D15" s="1524"/>
      <c r="E15" s="1524"/>
      <c r="F15" s="1524"/>
      <c r="G15" s="53"/>
      <c r="K15" s="1499"/>
      <c r="L15" s="1499"/>
      <c r="M15" s="44"/>
      <c r="N15" s="44"/>
    </row>
    <row r="16" spans="1:29" x14ac:dyDescent="0.35">
      <c r="B16" s="1534"/>
      <c r="C16" s="1135" t="s">
        <v>222</v>
      </c>
      <c r="D16" s="1119" t="s">
        <v>223</v>
      </c>
      <c r="E16" s="1119" t="s">
        <v>224</v>
      </c>
      <c r="F16" s="1119" t="s">
        <v>225</v>
      </c>
      <c r="G16" s="1143"/>
      <c r="H16" s="745"/>
      <c r="I16" s="745"/>
      <c r="J16" s="745"/>
      <c r="K16" s="745"/>
      <c r="L16" s="745"/>
      <c r="M16" s="745"/>
      <c r="N16" s="745"/>
    </row>
    <row r="17" spans="2:29" ht="16.399999999999999" customHeight="1" x14ac:dyDescent="0.35">
      <c r="B17" s="1134" t="s">
        <v>426</v>
      </c>
      <c r="C17" s="1136">
        <v>1660.9</v>
      </c>
      <c r="D17" s="1136">
        <v>95.9</v>
      </c>
      <c r="E17" s="1136">
        <v>4044.2</v>
      </c>
      <c r="F17" s="1137">
        <v>688</v>
      </c>
      <c r="G17" s="103"/>
      <c r="H17" s="103"/>
      <c r="I17" s="103"/>
      <c r="J17" s="103"/>
      <c r="K17" s="103"/>
      <c r="L17" s="103"/>
      <c r="M17" s="268"/>
      <c r="N17" s="268"/>
    </row>
    <row r="18" spans="2:29" x14ac:dyDescent="0.35">
      <c r="B18" s="1100" t="s">
        <v>427</v>
      </c>
      <c r="C18" s="268"/>
      <c r="D18" s="268"/>
      <c r="E18" s="268"/>
      <c r="F18" s="268"/>
      <c r="G18" s="268"/>
      <c r="H18" s="268"/>
      <c r="I18" s="268"/>
      <c r="J18" s="268"/>
      <c r="K18" s="268"/>
      <c r="L18" s="268"/>
      <c r="M18" s="268"/>
      <c r="N18" s="268"/>
    </row>
    <row r="19" spans="2:29" x14ac:dyDescent="0.35">
      <c r="B19" s="268"/>
      <c r="C19" s="268"/>
      <c r="D19" s="268"/>
      <c r="E19" s="268"/>
      <c r="F19" s="268"/>
      <c r="G19" s="268"/>
      <c r="H19" s="268"/>
      <c r="I19" s="268"/>
      <c r="J19" s="268"/>
      <c r="K19" s="268"/>
      <c r="L19" s="268"/>
      <c r="M19" s="268"/>
      <c r="N19" s="268"/>
    </row>
    <row r="20" spans="2:29" x14ac:dyDescent="0.35">
      <c r="B20" s="1100"/>
      <c r="C20" s="268"/>
      <c r="D20" s="268"/>
      <c r="E20" s="268"/>
      <c r="F20" s="268"/>
      <c r="G20" s="268"/>
      <c r="H20" s="268"/>
      <c r="I20" s="268"/>
      <c r="J20" s="268"/>
      <c r="K20" s="268"/>
      <c r="L20" s="268"/>
      <c r="M20" s="268"/>
      <c r="N20" s="268"/>
    </row>
    <row r="21" spans="2:29" x14ac:dyDescent="0.35">
      <c r="B21" s="268"/>
      <c r="C21" s="268"/>
      <c r="D21" s="268"/>
      <c r="E21" s="268"/>
      <c r="F21" s="268"/>
      <c r="G21" s="268"/>
      <c r="H21" s="268"/>
      <c r="I21" s="268"/>
      <c r="J21" s="268"/>
      <c r="K21" s="268"/>
      <c r="L21" s="268"/>
      <c r="M21" s="268"/>
      <c r="N21" s="268"/>
      <c r="O21" s="268"/>
      <c r="P21" s="268"/>
      <c r="Q21" s="268"/>
      <c r="R21" s="268"/>
      <c r="S21" s="268"/>
      <c r="T21" s="268"/>
      <c r="U21" s="268"/>
      <c r="V21" s="268"/>
      <c r="W21" s="268"/>
      <c r="X21" s="268"/>
      <c r="Y21" s="268"/>
      <c r="Z21" s="44"/>
      <c r="AA21" s="44"/>
      <c r="AB21" s="44"/>
      <c r="AC21" s="44"/>
    </row>
    <row r="22" spans="2:29" x14ac:dyDescent="0.35">
      <c r="B22" s="83"/>
      <c r="C22" s="83"/>
      <c r="D22" s="83"/>
      <c r="E22" s="83"/>
      <c r="F22" s="83"/>
      <c r="G22" s="83"/>
      <c r="H22" s="83"/>
      <c r="I22" s="83"/>
      <c r="J22" s="83"/>
      <c r="K22" s="83"/>
      <c r="L22" s="84"/>
      <c r="M22" s="84"/>
      <c r="N22" s="84"/>
    </row>
    <row r="23" spans="2:29" x14ac:dyDescent="0.35">
      <c r="B23" s="268"/>
      <c r="C23" s="268"/>
      <c r="D23" s="268"/>
      <c r="E23" s="268"/>
      <c r="F23" s="268"/>
      <c r="G23" s="268"/>
      <c r="H23" s="268"/>
      <c r="I23" s="268"/>
      <c r="J23" s="268"/>
      <c r="K23" s="268"/>
      <c r="L23" s="268"/>
      <c r="M23" s="268"/>
      <c r="N23" s="268"/>
      <c r="O23" s="268"/>
      <c r="P23" s="268"/>
      <c r="Q23" s="268"/>
      <c r="R23" s="268"/>
      <c r="S23" s="268"/>
      <c r="T23" s="268"/>
      <c r="U23" s="268"/>
      <c r="V23" s="268"/>
      <c r="W23" s="268"/>
      <c r="X23" s="268"/>
      <c r="Y23" s="268"/>
    </row>
    <row r="24" spans="2:29" x14ac:dyDescent="0.35">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row>
    <row r="25" spans="2:29" x14ac:dyDescent="0.35">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row>
    <row r="26" spans="2:29" x14ac:dyDescent="0.3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row>
    <row r="27" spans="2:29" x14ac:dyDescent="0.35">
      <c r="B27" s="268"/>
      <c r="C27" s="268"/>
      <c r="D27" s="268"/>
      <c r="E27" s="268"/>
      <c r="F27" s="268"/>
      <c r="G27" s="268"/>
      <c r="H27" s="268"/>
      <c r="I27" s="268"/>
      <c r="J27" s="268"/>
      <c r="K27" s="268"/>
      <c r="L27" s="268"/>
      <c r="M27" s="268"/>
      <c r="N27" s="268"/>
      <c r="O27" s="268"/>
      <c r="P27" s="268"/>
      <c r="Q27" s="268"/>
      <c r="R27" s="268"/>
      <c r="S27" s="268"/>
      <c r="T27" s="268"/>
      <c r="U27" s="268"/>
      <c r="V27" s="268"/>
      <c r="W27" s="268"/>
      <c r="X27" s="268"/>
      <c r="Y27" s="268"/>
    </row>
    <row r="28" spans="2:29" x14ac:dyDescent="0.35">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row>
    <row r="29" spans="2:29" x14ac:dyDescent="0.35">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row>
    <row r="30" spans="2:29" x14ac:dyDescent="0.35">
      <c r="B30" s="268"/>
      <c r="C30" s="268"/>
      <c r="D30" s="268"/>
      <c r="E30" s="268"/>
      <c r="F30" s="268"/>
      <c r="G30" s="268"/>
      <c r="H30" s="268"/>
      <c r="I30" s="268"/>
      <c r="J30" s="268"/>
      <c r="K30" s="268"/>
      <c r="L30" s="268"/>
      <c r="M30" s="268"/>
      <c r="N30" s="268"/>
      <c r="O30" s="268"/>
      <c r="P30" s="268"/>
      <c r="Q30" s="268"/>
      <c r="R30" s="268"/>
      <c r="S30" s="268"/>
      <c r="T30" s="268"/>
      <c r="U30" s="268"/>
      <c r="V30" s="268"/>
      <c r="W30" s="268"/>
      <c r="X30" s="268"/>
      <c r="Y30" s="268"/>
    </row>
    <row r="31" spans="2:29" x14ac:dyDescent="0.35">
      <c r="B31" s="268"/>
      <c r="C31" s="268"/>
      <c r="D31" s="268"/>
      <c r="E31" s="268"/>
      <c r="F31" s="268"/>
      <c r="G31" s="268"/>
      <c r="H31" s="268"/>
      <c r="I31" s="268"/>
      <c r="J31" s="268"/>
      <c r="K31" s="268"/>
      <c r="L31" s="268"/>
      <c r="M31" s="268"/>
      <c r="N31" s="268"/>
      <c r="O31" s="268"/>
      <c r="P31" s="268"/>
      <c r="Q31" s="268"/>
      <c r="R31" s="268"/>
      <c r="S31" s="268"/>
      <c r="T31" s="268"/>
      <c r="U31" s="268"/>
      <c r="V31" s="268"/>
      <c r="W31" s="268"/>
      <c r="X31" s="268"/>
      <c r="Y31" s="268"/>
    </row>
    <row r="32" spans="2:29" x14ac:dyDescent="0.35">
      <c r="B32" s="268"/>
      <c r="C32" s="268"/>
      <c r="D32" s="268"/>
      <c r="E32" s="268"/>
      <c r="F32" s="268"/>
      <c r="G32" s="268"/>
      <c r="H32" s="268"/>
      <c r="I32" s="268"/>
      <c r="J32" s="268"/>
      <c r="K32" s="268"/>
      <c r="L32" s="268"/>
      <c r="M32" s="268"/>
      <c r="N32" s="268"/>
      <c r="O32" s="268"/>
      <c r="P32" s="268"/>
      <c r="Q32" s="268"/>
      <c r="R32" s="268"/>
      <c r="S32" s="268"/>
      <c r="T32" s="268"/>
      <c r="U32" s="268"/>
      <c r="V32" s="268"/>
      <c r="W32" s="268"/>
      <c r="X32" s="268"/>
      <c r="Y32" s="268"/>
    </row>
    <row r="33" spans="2:25" x14ac:dyDescent="0.35">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row>
    <row r="34" spans="2:25" x14ac:dyDescent="0.35">
      <c r="B34" s="268"/>
      <c r="C34" s="268"/>
      <c r="D34" s="268"/>
      <c r="E34" s="268"/>
      <c r="F34" s="268"/>
      <c r="G34" s="268"/>
      <c r="H34" s="268"/>
      <c r="I34" s="268"/>
      <c r="J34" s="268"/>
      <c r="K34" s="268"/>
      <c r="L34" s="268"/>
      <c r="M34" s="268"/>
      <c r="N34" s="268"/>
      <c r="O34" s="268"/>
      <c r="P34" s="268"/>
      <c r="Q34" s="268"/>
      <c r="R34" s="268"/>
      <c r="S34" s="268"/>
      <c r="T34" s="268"/>
      <c r="U34" s="268"/>
      <c r="V34" s="268"/>
      <c r="W34" s="268"/>
      <c r="X34" s="268"/>
      <c r="Y34" s="268"/>
    </row>
    <row r="35" spans="2:25" x14ac:dyDescent="0.35">
      <c r="B35" s="268"/>
      <c r="C35" s="268"/>
      <c r="D35" s="268"/>
      <c r="E35" s="268"/>
      <c r="F35" s="268"/>
      <c r="G35" s="268"/>
      <c r="H35" s="268"/>
      <c r="I35" s="268"/>
      <c r="J35" s="268"/>
      <c r="K35" s="268"/>
      <c r="L35" s="268"/>
      <c r="M35" s="268"/>
      <c r="N35" s="268"/>
      <c r="O35" s="268"/>
      <c r="P35" s="268"/>
      <c r="Q35" s="268"/>
      <c r="R35" s="268"/>
      <c r="S35" s="268"/>
      <c r="T35" s="268"/>
      <c r="U35" s="268"/>
      <c r="V35" s="268"/>
      <c r="W35" s="268"/>
      <c r="X35" s="268"/>
      <c r="Y35" s="268"/>
    </row>
    <row r="36" spans="2:25" x14ac:dyDescent="0.35">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row>
    <row r="37" spans="2:25" x14ac:dyDescent="0.35">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row>
    <row r="38" spans="2:25" x14ac:dyDescent="0.35">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row>
    <row r="39" spans="2:25" x14ac:dyDescent="0.35">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row>
    <row r="40" spans="2:25" x14ac:dyDescent="0.35">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row>
    <row r="41" spans="2:25" x14ac:dyDescent="0.35">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row>
    <row r="42" spans="2:25" x14ac:dyDescent="0.35">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row>
    <row r="43" spans="2:25" x14ac:dyDescent="0.35">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row>
    <row r="44" spans="2:25" x14ac:dyDescent="0.35">
      <c r="B44" s="268"/>
      <c r="C44" s="268"/>
      <c r="D44" s="268"/>
      <c r="E44" s="268"/>
      <c r="F44" s="268"/>
      <c r="G44" s="268"/>
      <c r="H44" s="268"/>
      <c r="I44" s="268"/>
      <c r="J44" s="268"/>
      <c r="K44" s="268"/>
      <c r="L44" s="268"/>
      <c r="M44" s="268"/>
      <c r="N44" s="268"/>
      <c r="O44" s="268"/>
      <c r="P44" s="268"/>
      <c r="Q44" s="268"/>
      <c r="R44" s="268"/>
      <c r="S44" s="268"/>
      <c r="T44" s="268"/>
      <c r="U44" s="268"/>
      <c r="V44" s="268"/>
      <c r="W44" s="268"/>
      <c r="X44" s="268"/>
      <c r="Y44" s="268"/>
    </row>
    <row r="45" spans="2:25" x14ac:dyDescent="0.35">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row>
    <row r="46" spans="2:25" x14ac:dyDescent="0.35">
      <c r="B46" s="268"/>
      <c r="C46" s="268"/>
      <c r="D46" s="268"/>
      <c r="E46" s="268"/>
      <c r="F46" s="268"/>
      <c r="G46" s="268"/>
      <c r="H46" s="268"/>
      <c r="I46" s="268"/>
      <c r="J46" s="268"/>
      <c r="K46" s="268"/>
      <c r="L46" s="268"/>
      <c r="M46" s="268"/>
      <c r="N46" s="268"/>
      <c r="O46" s="268"/>
      <c r="P46" s="268"/>
      <c r="Q46" s="268"/>
      <c r="R46" s="268"/>
      <c r="S46" s="268"/>
      <c r="T46" s="268"/>
      <c r="U46" s="268"/>
      <c r="V46" s="268"/>
      <c r="W46" s="268"/>
      <c r="X46" s="268"/>
      <c r="Y46" s="268"/>
    </row>
    <row r="47" spans="2:25" x14ac:dyDescent="0.35">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row>
    <row r="48" spans="2:25" x14ac:dyDescent="0.35">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row>
    <row r="49" spans="2:25" x14ac:dyDescent="0.35">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row>
    <row r="50" spans="2:25" x14ac:dyDescent="0.35">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row>
    <row r="51" spans="2:25" x14ac:dyDescent="0.35">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row>
    <row r="52" spans="2:25" x14ac:dyDescent="0.35">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90" t="s">
        <v>484</v>
      </c>
      <c r="B3" s="268"/>
    </row>
    <row r="4" spans="1:17" x14ac:dyDescent="0.35">
      <c r="A4" s="1146" t="s">
        <v>485</v>
      </c>
      <c r="B4" s="1147"/>
      <c r="C4" s="1147"/>
    </row>
    <row r="7" spans="1:17" x14ac:dyDescent="0.35">
      <c r="A7" s="1536" t="s">
        <v>486</v>
      </c>
      <c r="B7" s="1537"/>
      <c r="C7" s="1537"/>
      <c r="D7" s="1537"/>
      <c r="E7" s="1537"/>
      <c r="F7" s="1537"/>
      <c r="G7" s="1537"/>
      <c r="H7" s="1537"/>
      <c r="I7" s="1537"/>
      <c r="J7" s="1537"/>
      <c r="K7" s="1537"/>
      <c r="L7" s="1537"/>
      <c r="M7" s="1537"/>
      <c r="N7" s="1537"/>
      <c r="O7" s="1537"/>
      <c r="P7" s="1537"/>
    </row>
    <row r="8" spans="1:17" x14ac:dyDescent="0.35">
      <c r="A8" s="468" t="s">
        <v>487</v>
      </c>
      <c r="B8" s="468"/>
      <c r="C8" s="468"/>
      <c r="D8" s="1151"/>
      <c r="E8" s="468"/>
      <c r="F8" s="468"/>
      <c r="G8" s="468"/>
      <c r="H8" s="468"/>
      <c r="I8" s="468"/>
      <c r="J8" s="468"/>
      <c r="K8" s="468"/>
      <c r="L8" s="468"/>
      <c r="M8" s="468"/>
      <c r="N8" s="468"/>
      <c r="O8" s="468"/>
      <c r="P8" s="468"/>
    </row>
    <row r="9" spans="1:17" x14ac:dyDescent="0.35">
      <c r="A9" s="268"/>
      <c r="B9" s="268"/>
      <c r="C9" s="268"/>
      <c r="D9" s="1059"/>
      <c r="E9" s="268"/>
      <c r="F9" s="268"/>
      <c r="G9" s="268"/>
      <c r="H9" s="268"/>
      <c r="I9" s="268"/>
      <c r="J9" s="268"/>
      <c r="K9" s="268"/>
      <c r="L9" s="268"/>
      <c r="M9" s="268"/>
      <c r="N9" s="268"/>
      <c r="O9" s="268"/>
      <c r="P9" s="268"/>
    </row>
    <row r="10" spans="1:17" x14ac:dyDescent="0.35">
      <c r="A10" s="268"/>
      <c r="B10" s="268"/>
      <c r="C10" s="268"/>
      <c r="D10" s="1059"/>
      <c r="E10" s="268"/>
      <c r="F10" s="268"/>
      <c r="G10" s="268"/>
      <c r="H10" s="268"/>
      <c r="I10" s="268"/>
      <c r="J10" s="268"/>
      <c r="K10" s="268"/>
      <c r="L10" s="268"/>
      <c r="M10" s="268"/>
      <c r="N10" s="268"/>
      <c r="O10" s="1538" t="s">
        <v>278</v>
      </c>
      <c r="P10" s="1538"/>
    </row>
    <row r="11" spans="1:17" x14ac:dyDescent="0.35">
      <c r="A11" s="268"/>
      <c r="B11" s="268"/>
      <c r="C11" s="993"/>
      <c r="D11" s="388"/>
      <c r="E11" s="993"/>
      <c r="F11" s="993"/>
      <c r="G11" s="993"/>
      <c r="H11" s="993"/>
      <c r="I11" s="993"/>
      <c r="J11" s="993"/>
      <c r="K11" s="993"/>
      <c r="L11" s="993"/>
      <c r="M11" s="993"/>
      <c r="N11" s="993"/>
      <c r="O11" s="1150" t="s">
        <v>488</v>
      </c>
      <c r="P11" s="1150" t="s">
        <v>488</v>
      </c>
    </row>
    <row r="12" spans="1:17" x14ac:dyDescent="0.35">
      <c r="A12" s="468"/>
      <c r="B12" s="468"/>
      <c r="C12" s="468"/>
      <c r="D12" s="1151">
        <v>2020</v>
      </c>
      <c r="E12" s="1151">
        <v>2021</v>
      </c>
      <c r="F12" s="1151">
        <v>2022</v>
      </c>
      <c r="G12" s="1151">
        <v>2023</v>
      </c>
      <c r="H12" s="1151">
        <v>2024</v>
      </c>
      <c r="I12" s="1151">
        <v>2025</v>
      </c>
      <c r="J12" s="1151">
        <v>2026</v>
      </c>
      <c r="K12" s="1151">
        <v>2027</v>
      </c>
      <c r="L12" s="1151">
        <v>2028</v>
      </c>
      <c r="M12" s="1151">
        <v>2029</v>
      </c>
      <c r="N12" s="1151">
        <v>2030</v>
      </c>
      <c r="O12" s="1010">
        <v>2025</v>
      </c>
      <c r="P12" s="1010">
        <v>2030</v>
      </c>
    </row>
    <row r="13" spans="1:17" x14ac:dyDescent="0.35">
      <c r="A13" s="993" t="s">
        <v>489</v>
      </c>
      <c r="B13" s="993"/>
      <c r="C13" s="993"/>
      <c r="D13" s="1155">
        <v>540.56299999999999</v>
      </c>
      <c r="E13" s="1155">
        <v>0</v>
      </c>
      <c r="F13" s="1155">
        <v>0</v>
      </c>
      <c r="G13" s="1155">
        <v>0</v>
      </c>
      <c r="H13" s="1155">
        <v>0</v>
      </c>
      <c r="I13" s="1155">
        <v>0</v>
      </c>
      <c r="J13" s="1155">
        <v>0</v>
      </c>
      <c r="K13" s="1155">
        <v>0</v>
      </c>
      <c r="L13" s="1155">
        <v>0</v>
      </c>
      <c r="M13" s="1155">
        <v>0</v>
      </c>
      <c r="N13" s="1155">
        <v>0</v>
      </c>
      <c r="O13" s="1155">
        <v>0</v>
      </c>
      <c r="P13" s="1155">
        <v>0</v>
      </c>
      <c r="Q13" t="s">
        <v>41</v>
      </c>
    </row>
    <row r="14" spans="1:17" x14ac:dyDescent="0.35">
      <c r="A14" s="268" t="s">
        <v>490</v>
      </c>
      <c r="B14" s="268"/>
      <c r="C14" s="268"/>
      <c r="D14" s="388"/>
      <c r="E14" s="993"/>
      <c r="F14" s="993"/>
      <c r="G14" s="993"/>
      <c r="H14" s="993"/>
      <c r="I14" s="993"/>
      <c r="J14" s="993"/>
      <c r="K14" s="993"/>
      <c r="L14" s="993"/>
      <c r="M14" s="993"/>
      <c r="N14" s="993"/>
      <c r="O14" s="993"/>
      <c r="P14" s="993"/>
      <c r="Q14" t="s">
        <v>491</v>
      </c>
    </row>
    <row r="15" spans="1:17" x14ac:dyDescent="0.35">
      <c r="A15" s="268"/>
      <c r="B15" s="268" t="s">
        <v>492</v>
      </c>
      <c r="C15" s="268"/>
      <c r="D15" s="388">
        <v>285.56</v>
      </c>
      <c r="E15" s="388">
        <v>5</v>
      </c>
      <c r="F15" s="388">
        <v>0</v>
      </c>
      <c r="G15" s="388">
        <v>0</v>
      </c>
      <c r="H15" s="388">
        <v>0</v>
      </c>
      <c r="I15" s="388">
        <v>0</v>
      </c>
      <c r="J15" s="388">
        <v>0</v>
      </c>
      <c r="K15" s="388">
        <v>0</v>
      </c>
      <c r="L15" s="388">
        <v>0</v>
      </c>
      <c r="M15" s="388">
        <v>0</v>
      </c>
      <c r="N15" s="388">
        <v>0</v>
      </c>
      <c r="O15" s="388">
        <v>5</v>
      </c>
      <c r="P15" s="388">
        <v>5</v>
      </c>
    </row>
    <row r="16" spans="1:17" x14ac:dyDescent="0.35">
      <c r="A16" s="993"/>
      <c r="B16" s="268" t="s">
        <v>493</v>
      </c>
      <c r="C16" s="993"/>
      <c r="D16" s="388">
        <v>67.209999999999994</v>
      </c>
      <c r="E16" s="388">
        <v>13.68</v>
      </c>
      <c r="F16" s="388">
        <v>0</v>
      </c>
      <c r="G16" s="388">
        <v>0</v>
      </c>
      <c r="H16" s="388">
        <v>0</v>
      </c>
      <c r="I16" s="388">
        <v>0</v>
      </c>
      <c r="J16" s="388">
        <v>0</v>
      </c>
      <c r="K16" s="388">
        <v>0</v>
      </c>
      <c r="L16" s="388">
        <v>0</v>
      </c>
      <c r="M16" s="388">
        <v>0</v>
      </c>
      <c r="N16" s="388">
        <v>0</v>
      </c>
      <c r="O16" s="388">
        <v>13.68</v>
      </c>
      <c r="P16" s="388">
        <v>13.68</v>
      </c>
    </row>
    <row r="17" spans="1:17" x14ac:dyDescent="0.35">
      <c r="A17" s="993"/>
      <c r="B17" s="268" t="s">
        <v>494</v>
      </c>
      <c r="C17" s="993"/>
      <c r="D17" s="388">
        <v>11.12</v>
      </c>
      <c r="E17" s="388">
        <v>47.8</v>
      </c>
      <c r="F17" s="388">
        <v>0</v>
      </c>
      <c r="G17" s="388">
        <v>0</v>
      </c>
      <c r="H17" s="388">
        <v>0</v>
      </c>
      <c r="I17" s="388">
        <v>0</v>
      </c>
      <c r="J17" s="388">
        <v>0</v>
      </c>
      <c r="K17" s="388">
        <v>0</v>
      </c>
      <c r="L17" s="388">
        <v>0</v>
      </c>
      <c r="M17" s="388">
        <v>0</v>
      </c>
      <c r="N17" s="388">
        <v>0</v>
      </c>
      <c r="O17" s="388">
        <v>47.8</v>
      </c>
      <c r="P17" s="388">
        <v>47.8</v>
      </c>
    </row>
    <row r="18" spans="1:17" x14ac:dyDescent="0.35">
      <c r="A18" s="993"/>
      <c r="B18" s="268" t="s">
        <v>495</v>
      </c>
      <c r="C18" s="993"/>
      <c r="D18" s="388">
        <v>6.2149999999999999</v>
      </c>
      <c r="E18" s="388">
        <v>5.0049999999999999</v>
      </c>
      <c r="F18" s="388">
        <v>0</v>
      </c>
      <c r="G18" s="388">
        <v>0</v>
      </c>
      <c r="H18" s="388">
        <v>0</v>
      </c>
      <c r="I18" s="388">
        <v>0</v>
      </c>
      <c r="J18" s="388">
        <v>0</v>
      </c>
      <c r="K18" s="388">
        <v>0</v>
      </c>
      <c r="L18" s="388">
        <v>0</v>
      </c>
      <c r="M18" s="388">
        <v>0</v>
      </c>
      <c r="N18" s="388">
        <v>0</v>
      </c>
      <c r="O18" s="388">
        <v>5.0049999999999999</v>
      </c>
      <c r="P18" s="388">
        <v>5.0049999999999999</v>
      </c>
    </row>
    <row r="19" spans="1:17" x14ac:dyDescent="0.35">
      <c r="A19" s="993"/>
      <c r="B19" s="268"/>
      <c r="C19" s="993"/>
      <c r="D19" s="388" t="s">
        <v>496</v>
      </c>
      <c r="E19" s="388" t="s">
        <v>496</v>
      </c>
      <c r="F19" s="388" t="s">
        <v>496</v>
      </c>
      <c r="G19" s="388" t="s">
        <v>496</v>
      </c>
      <c r="H19" s="388" t="s">
        <v>496</v>
      </c>
      <c r="I19" s="388" t="s">
        <v>496</v>
      </c>
      <c r="J19" s="388" t="s">
        <v>496</v>
      </c>
      <c r="K19" s="388" t="s">
        <v>496</v>
      </c>
      <c r="L19" s="388" t="s">
        <v>496</v>
      </c>
      <c r="M19" s="388" t="s">
        <v>496</v>
      </c>
      <c r="N19" s="388" t="s">
        <v>496</v>
      </c>
      <c r="O19" s="388" t="s">
        <v>496</v>
      </c>
      <c r="P19" s="388" t="s">
        <v>496</v>
      </c>
    </row>
    <row r="20" spans="1:17" x14ac:dyDescent="0.35">
      <c r="A20" s="993"/>
      <c r="B20" s="268"/>
      <c r="C20" s="993" t="s">
        <v>497</v>
      </c>
      <c r="D20" s="388">
        <v>370.10500000000002</v>
      </c>
      <c r="E20" s="388">
        <v>71.484999999999999</v>
      </c>
      <c r="F20" s="388">
        <v>0</v>
      </c>
      <c r="G20" s="388">
        <v>0</v>
      </c>
      <c r="H20" s="388">
        <v>0</v>
      </c>
      <c r="I20" s="388">
        <v>0</v>
      </c>
      <c r="J20" s="388">
        <v>0</v>
      </c>
      <c r="K20" s="388">
        <v>0</v>
      </c>
      <c r="L20" s="388">
        <v>0</v>
      </c>
      <c r="M20" s="388">
        <v>0</v>
      </c>
      <c r="N20" s="388">
        <v>0</v>
      </c>
      <c r="O20" s="388">
        <v>71.484999999999999</v>
      </c>
      <c r="P20" s="388">
        <v>71.484999999999999</v>
      </c>
    </row>
    <row r="21" spans="1:17" x14ac:dyDescent="0.35">
      <c r="A21" s="993"/>
      <c r="B21" s="268"/>
      <c r="C21" s="993"/>
      <c r="D21" s="388"/>
      <c r="E21" s="388"/>
      <c r="F21" s="388"/>
      <c r="G21" s="388"/>
      <c r="H21" s="388"/>
      <c r="I21" s="388"/>
      <c r="J21" s="388"/>
      <c r="K21" s="388"/>
      <c r="L21" s="388"/>
      <c r="M21" s="388"/>
      <c r="N21" s="388"/>
      <c r="O21" s="388"/>
      <c r="P21" s="388"/>
    </row>
    <row r="22" spans="1:17" ht="17.149999999999999" customHeight="1" x14ac:dyDescent="0.35">
      <c r="A22" s="993" t="s">
        <v>498</v>
      </c>
      <c r="B22" s="268"/>
      <c r="C22" s="993"/>
      <c r="D22" s="388">
        <v>271.98399999999998</v>
      </c>
      <c r="E22" s="388">
        <v>9.327</v>
      </c>
      <c r="F22" s="388">
        <v>0</v>
      </c>
      <c r="G22" s="388">
        <v>0</v>
      </c>
      <c r="H22" s="388">
        <v>0</v>
      </c>
      <c r="I22" s="388">
        <v>0</v>
      </c>
      <c r="J22" s="388">
        <v>0</v>
      </c>
      <c r="K22" s="388">
        <v>0</v>
      </c>
      <c r="L22" s="388">
        <v>0</v>
      </c>
      <c r="M22" s="388">
        <v>0</v>
      </c>
      <c r="N22" s="388">
        <v>0</v>
      </c>
      <c r="O22" s="388">
        <v>9.327</v>
      </c>
      <c r="P22" s="388">
        <v>9.327</v>
      </c>
      <c r="Q22" t="s">
        <v>499</v>
      </c>
    </row>
    <row r="23" spans="1:17" x14ac:dyDescent="0.35">
      <c r="A23" s="993" t="s">
        <v>137</v>
      </c>
      <c r="B23" s="268"/>
      <c r="C23" s="268"/>
      <c r="D23" s="388">
        <v>149.97300000000001</v>
      </c>
      <c r="E23" s="388">
        <v>2.5999999999999999E-2</v>
      </c>
      <c r="F23" s="388">
        <v>0</v>
      </c>
      <c r="G23" s="388">
        <v>0</v>
      </c>
      <c r="H23" s="388">
        <v>0</v>
      </c>
      <c r="I23" s="388">
        <v>0</v>
      </c>
      <c r="J23" s="388">
        <v>0</v>
      </c>
      <c r="K23" s="388">
        <v>0</v>
      </c>
      <c r="L23" s="388">
        <v>0</v>
      </c>
      <c r="M23" s="388">
        <v>0</v>
      </c>
      <c r="N23" s="388">
        <v>0</v>
      </c>
      <c r="O23" s="388">
        <v>2.5999999999999999E-2</v>
      </c>
      <c r="P23" s="388">
        <v>2.5999999999999999E-2</v>
      </c>
      <c r="Q23" t="s">
        <v>42</v>
      </c>
    </row>
    <row r="24" spans="1:17" x14ac:dyDescent="0.35">
      <c r="A24" s="993" t="s">
        <v>500</v>
      </c>
      <c r="B24" s="268"/>
      <c r="C24" s="268"/>
      <c r="D24" s="388">
        <v>135.41999999999999</v>
      </c>
      <c r="E24" s="388">
        <v>72.537999999999997</v>
      </c>
      <c r="F24" s="388">
        <v>10.331</v>
      </c>
      <c r="G24" s="388">
        <v>4.2670000000000003</v>
      </c>
      <c r="H24" s="388">
        <v>1.347</v>
      </c>
      <c r="I24" s="388">
        <v>0.67400000000000004</v>
      </c>
      <c r="J24" s="388">
        <v>0</v>
      </c>
      <c r="K24" s="388">
        <v>0</v>
      </c>
      <c r="L24" s="388">
        <v>0</v>
      </c>
      <c r="M24" s="388">
        <v>0</v>
      </c>
      <c r="N24" s="388">
        <v>0</v>
      </c>
      <c r="O24" s="388">
        <v>89.156999999999996</v>
      </c>
      <c r="P24" s="388">
        <v>89.156999999999996</v>
      </c>
      <c r="Q24" t="s">
        <v>501</v>
      </c>
    </row>
    <row r="25" spans="1:17" x14ac:dyDescent="0.35">
      <c r="A25" s="993" t="s">
        <v>502</v>
      </c>
      <c r="B25" s="268"/>
      <c r="C25" s="268"/>
      <c r="D25" s="388"/>
      <c r="E25" s="388"/>
      <c r="F25" s="388"/>
      <c r="G25" s="388"/>
      <c r="H25" s="388"/>
      <c r="I25" s="388"/>
      <c r="J25" s="388"/>
      <c r="K25" s="388"/>
      <c r="L25" s="388"/>
      <c r="M25" s="388"/>
      <c r="N25" s="388"/>
      <c r="O25" s="388"/>
      <c r="P25" s="388"/>
    </row>
    <row r="26" spans="1:17" x14ac:dyDescent="0.35">
      <c r="A26" s="993" t="s">
        <v>503</v>
      </c>
      <c r="B26" s="268"/>
      <c r="C26" s="268"/>
      <c r="D26" s="388">
        <v>40.831000000000003</v>
      </c>
      <c r="E26" s="388">
        <v>79.391999999999996</v>
      </c>
      <c r="F26" s="388">
        <v>47.442999999999998</v>
      </c>
      <c r="G26" s="388">
        <v>4.7220000000000004</v>
      </c>
      <c r="H26" s="388">
        <v>0</v>
      </c>
      <c r="I26" s="388">
        <v>0</v>
      </c>
      <c r="J26" s="388">
        <v>0</v>
      </c>
      <c r="K26" s="388">
        <v>0</v>
      </c>
      <c r="L26" s="388">
        <v>0</v>
      </c>
      <c r="M26" s="388">
        <v>0</v>
      </c>
      <c r="N26" s="388">
        <v>0</v>
      </c>
      <c r="O26" s="388">
        <v>131.55699999999999</v>
      </c>
      <c r="P26" s="388">
        <v>131.55699999999999</v>
      </c>
      <c r="Q26" t="s">
        <v>121</v>
      </c>
    </row>
    <row r="27" spans="1:17" x14ac:dyDescent="0.35">
      <c r="A27" s="993" t="s">
        <v>504</v>
      </c>
      <c r="B27" s="268"/>
      <c r="C27" s="268"/>
      <c r="D27" s="388">
        <v>58.054000000000002</v>
      </c>
      <c r="E27" s="388">
        <v>14.755000000000001</v>
      </c>
      <c r="F27" s="388">
        <v>3.4750000000000001</v>
      </c>
      <c r="G27" s="388">
        <v>3.9249999999999998</v>
      </c>
      <c r="H27" s="388">
        <v>4.375</v>
      </c>
      <c r="I27" s="388">
        <v>4.375</v>
      </c>
      <c r="J27" s="388">
        <v>4.5</v>
      </c>
      <c r="K27" s="388">
        <v>4.5</v>
      </c>
      <c r="L27" s="388">
        <v>4.5</v>
      </c>
      <c r="M27" s="388">
        <v>4.5</v>
      </c>
      <c r="N27" s="388">
        <v>4.5</v>
      </c>
      <c r="O27" s="388">
        <v>30.905000000000001</v>
      </c>
      <c r="P27" s="388">
        <v>53.405000000000001</v>
      </c>
    </row>
    <row r="28" spans="1:17" x14ac:dyDescent="0.35">
      <c r="A28" s="993" t="s">
        <v>505</v>
      </c>
      <c r="B28" s="268"/>
      <c r="C28" s="268"/>
      <c r="D28" s="388">
        <v>47.372999999999998</v>
      </c>
      <c r="E28" s="388">
        <v>-46.081000000000003</v>
      </c>
      <c r="F28" s="388">
        <v>0</v>
      </c>
      <c r="G28" s="388">
        <v>0</v>
      </c>
      <c r="H28" s="388">
        <v>0</v>
      </c>
      <c r="I28" s="388">
        <v>0</v>
      </c>
      <c r="J28" s="388">
        <v>0</v>
      </c>
      <c r="K28" s="388">
        <v>0</v>
      </c>
      <c r="L28" s="388">
        <v>0</v>
      </c>
      <c r="M28" s="388">
        <v>0</v>
      </c>
      <c r="N28" s="388">
        <v>0</v>
      </c>
      <c r="O28" s="388">
        <v>-46.081000000000003</v>
      </c>
      <c r="P28" s="388">
        <v>-46.081000000000003</v>
      </c>
      <c r="Q28" t="s">
        <v>46</v>
      </c>
    </row>
    <row r="29" spans="1:17" x14ac:dyDescent="0.35">
      <c r="A29" s="993" t="s">
        <v>506</v>
      </c>
      <c r="B29" s="268"/>
      <c r="C29" s="268"/>
      <c r="D29" s="388">
        <v>24.475000000000001</v>
      </c>
      <c r="E29" s="388">
        <v>32.784999999999997</v>
      </c>
      <c r="F29" s="388">
        <v>8.4600000000000009</v>
      </c>
      <c r="G29" s="388">
        <v>0</v>
      </c>
      <c r="H29" s="388">
        <v>0</v>
      </c>
      <c r="I29" s="388">
        <v>0</v>
      </c>
      <c r="J29" s="388">
        <v>0</v>
      </c>
      <c r="K29" s="388">
        <v>0</v>
      </c>
      <c r="L29" s="388">
        <v>0</v>
      </c>
      <c r="M29" s="388">
        <v>0</v>
      </c>
      <c r="N29" s="388">
        <v>0</v>
      </c>
      <c r="O29" s="388">
        <v>41.244999999999997</v>
      </c>
      <c r="P29" s="388">
        <v>41.244999999999997</v>
      </c>
      <c r="Q29" t="s">
        <v>507</v>
      </c>
    </row>
    <row r="30" spans="1:17" x14ac:dyDescent="0.35">
      <c r="A30" s="993" t="s">
        <v>508</v>
      </c>
      <c r="B30" s="268"/>
      <c r="C30" s="268"/>
      <c r="D30" s="388">
        <v>27.5</v>
      </c>
      <c r="E30" s="388">
        <v>0.86</v>
      </c>
      <c r="F30" s="388">
        <v>-0.22</v>
      </c>
      <c r="G30" s="388">
        <v>-0.49</v>
      </c>
      <c r="H30" s="388">
        <v>-0.56000000000000005</v>
      </c>
      <c r="I30" s="388">
        <v>-0.98</v>
      </c>
      <c r="J30" s="388">
        <v>-0.76</v>
      </c>
      <c r="K30" s="388">
        <v>-0.74</v>
      </c>
      <c r="L30" s="388">
        <v>-0.72</v>
      </c>
      <c r="M30" s="388">
        <v>-0.7</v>
      </c>
      <c r="N30" s="388">
        <v>-0.69</v>
      </c>
      <c r="O30" s="388">
        <v>-1.39</v>
      </c>
      <c r="P30" s="388">
        <v>-5</v>
      </c>
      <c r="Q30" t="s">
        <v>43</v>
      </c>
    </row>
    <row r="31" spans="1:17" x14ac:dyDescent="0.35">
      <c r="A31" s="993" t="s">
        <v>138</v>
      </c>
      <c r="B31" s="268"/>
      <c r="C31" s="268"/>
      <c r="D31" s="388">
        <v>11.407999999999999</v>
      </c>
      <c r="E31" s="388">
        <v>10.763</v>
      </c>
      <c r="F31" s="388">
        <v>5.7809999999999997</v>
      </c>
      <c r="G31" s="388">
        <v>0.92300000000000004</v>
      </c>
      <c r="H31" s="388">
        <v>0.52300000000000002</v>
      </c>
      <c r="I31" s="388">
        <v>0.43099999999999999</v>
      </c>
      <c r="J31" s="388">
        <v>0.246</v>
      </c>
      <c r="K31" s="388">
        <v>0</v>
      </c>
      <c r="L31" s="388">
        <v>0</v>
      </c>
      <c r="M31" s="388">
        <v>0</v>
      </c>
      <c r="N31" s="388">
        <v>0</v>
      </c>
      <c r="O31" s="388">
        <v>18.420999999999999</v>
      </c>
      <c r="P31" s="388">
        <v>18.667000000000002</v>
      </c>
      <c r="Q31" t="s">
        <v>509</v>
      </c>
    </row>
    <row r="32" spans="1:17" x14ac:dyDescent="0.35">
      <c r="A32" s="993" t="s">
        <v>510</v>
      </c>
      <c r="B32" s="268"/>
      <c r="C32" s="268"/>
      <c r="D32" s="388">
        <v>99.444000000000003</v>
      </c>
      <c r="E32" s="388">
        <v>61.634</v>
      </c>
      <c r="F32" s="388">
        <v>23.815000000000001</v>
      </c>
      <c r="G32" s="388">
        <v>7.35</v>
      </c>
      <c r="H32" s="388">
        <v>4.4029999999999996</v>
      </c>
      <c r="I32" s="388">
        <v>1.663</v>
      </c>
      <c r="J32" s="388">
        <v>0.74399999999999999</v>
      </c>
      <c r="K32" s="388">
        <v>0.65500000000000003</v>
      </c>
      <c r="L32" s="388">
        <v>0.68799999999999994</v>
      </c>
      <c r="M32" s="388">
        <v>10.603</v>
      </c>
      <c r="N32" s="388">
        <v>-35.328000000000003</v>
      </c>
      <c r="O32" s="388">
        <v>98.864999999999995</v>
      </c>
      <c r="P32" s="388">
        <v>76.227000000000004</v>
      </c>
      <c r="Q32" t="s">
        <v>511</v>
      </c>
    </row>
    <row r="33" spans="1:16" x14ac:dyDescent="0.35">
      <c r="A33" s="993"/>
      <c r="B33" s="268"/>
      <c r="C33" s="268"/>
      <c r="D33" s="388"/>
      <c r="E33" s="388"/>
      <c r="F33" s="388"/>
      <c r="G33" s="388"/>
      <c r="H33" s="388"/>
      <c r="I33" s="388"/>
      <c r="J33" s="388"/>
      <c r="K33" s="388"/>
      <c r="L33" s="388"/>
      <c r="M33" s="388"/>
      <c r="N33" s="388"/>
      <c r="O33" s="388"/>
      <c r="P33" s="388"/>
    </row>
    <row r="34" spans="1:16" x14ac:dyDescent="0.35">
      <c r="A34" s="1149"/>
      <c r="B34" s="1149"/>
      <c r="C34" s="1149" t="s">
        <v>278</v>
      </c>
      <c r="D34" s="1156">
        <v>1777.13</v>
      </c>
      <c r="E34" s="1156">
        <v>307.48399999999998</v>
      </c>
      <c r="F34" s="1156">
        <v>99.084999999999994</v>
      </c>
      <c r="G34" s="1156">
        <v>20.696999999999999</v>
      </c>
      <c r="H34" s="1156">
        <v>10.087999999999999</v>
      </c>
      <c r="I34" s="1156">
        <v>6.1630000000000003</v>
      </c>
      <c r="J34" s="1156">
        <v>4.7300000000000004</v>
      </c>
      <c r="K34" s="1156">
        <v>4.415</v>
      </c>
      <c r="L34" s="1156">
        <v>4.468</v>
      </c>
      <c r="M34" s="1156">
        <v>14.403</v>
      </c>
      <c r="N34" s="1156">
        <v>-31.518000000000001</v>
      </c>
      <c r="O34" s="1156">
        <v>443.517</v>
      </c>
      <c r="P34" s="1156">
        <v>440.01499999999999</v>
      </c>
    </row>
    <row r="35" spans="1:16" x14ac:dyDescent="0.35">
      <c r="A35" s="268"/>
      <c r="B35" s="268"/>
      <c r="C35" s="268"/>
      <c r="D35" s="1148"/>
      <c r="E35" s="599"/>
      <c r="F35" s="993"/>
      <c r="G35" s="993"/>
      <c r="H35" s="993"/>
      <c r="I35" s="993"/>
      <c r="J35" s="993"/>
      <c r="K35" s="993"/>
      <c r="L35" s="993"/>
      <c r="M35" s="993"/>
      <c r="N35" s="993"/>
      <c r="O35" s="993"/>
      <c r="P35" s="993"/>
    </row>
    <row r="36" spans="1:16" x14ac:dyDescent="0.35">
      <c r="A36" s="1152" t="s">
        <v>512</v>
      </c>
      <c r="B36" s="1152"/>
      <c r="C36" s="1152"/>
      <c r="D36" s="1153"/>
      <c r="E36" s="1152"/>
      <c r="F36" s="1152"/>
      <c r="G36" s="1152"/>
      <c r="H36" s="1152"/>
      <c r="I36" s="1152"/>
      <c r="J36" s="1152"/>
      <c r="K36" s="1152"/>
      <c r="L36" s="1152"/>
      <c r="M36" s="1152"/>
      <c r="N36" s="1152"/>
      <c r="O36" s="1152"/>
      <c r="P36" s="1152"/>
    </row>
    <row r="37" spans="1:16" x14ac:dyDescent="0.35">
      <c r="A37" s="1152"/>
      <c r="B37" s="1152"/>
      <c r="C37" s="1152"/>
      <c r="D37" s="1153"/>
      <c r="E37" s="1152"/>
      <c r="F37" s="1152"/>
      <c r="G37" s="1152"/>
      <c r="H37" s="1152"/>
      <c r="I37" s="1152"/>
      <c r="J37" s="1152"/>
      <c r="K37" s="1152"/>
      <c r="L37" s="1152"/>
      <c r="M37" s="1152"/>
      <c r="N37" s="1152"/>
      <c r="O37" s="1152"/>
      <c r="P37" s="1152"/>
    </row>
    <row r="38" spans="1:16" x14ac:dyDescent="0.35">
      <c r="A38" s="1541" t="s">
        <v>513</v>
      </c>
      <c r="B38" s="1541"/>
      <c r="C38" s="1541"/>
      <c r="D38" s="1541"/>
      <c r="E38" s="1541"/>
      <c r="F38" s="1541"/>
      <c r="G38" s="1541"/>
      <c r="H38" s="1541"/>
      <c r="I38" s="1541"/>
      <c r="J38" s="1541"/>
      <c r="K38" s="1541"/>
      <c r="L38" s="1541"/>
      <c r="M38" s="1541"/>
      <c r="N38" s="1541"/>
      <c r="O38" s="1541"/>
      <c r="P38" s="1541"/>
    </row>
    <row r="39" spans="1:16" x14ac:dyDescent="0.35">
      <c r="A39" s="1541"/>
      <c r="B39" s="1541"/>
      <c r="C39" s="1541"/>
      <c r="D39" s="1541"/>
      <c r="E39" s="1541"/>
      <c r="F39" s="1541"/>
      <c r="G39" s="1541"/>
      <c r="H39" s="1541"/>
      <c r="I39" s="1541"/>
      <c r="J39" s="1541"/>
      <c r="K39" s="1541"/>
      <c r="L39" s="1541"/>
      <c r="M39" s="1541"/>
      <c r="N39" s="1541"/>
      <c r="O39" s="1541"/>
      <c r="P39" s="1541"/>
    </row>
    <row r="40" spans="1:16" x14ac:dyDescent="0.35">
      <c r="A40" s="1541"/>
      <c r="B40" s="1541"/>
      <c r="C40" s="1541"/>
      <c r="D40" s="1541"/>
      <c r="E40" s="1541"/>
      <c r="F40" s="1541"/>
      <c r="G40" s="1541"/>
      <c r="H40" s="1541"/>
      <c r="I40" s="1541"/>
      <c r="J40" s="1541"/>
      <c r="K40" s="1541"/>
      <c r="L40" s="1541"/>
      <c r="M40" s="1541"/>
      <c r="N40" s="1541"/>
      <c r="O40" s="1541"/>
      <c r="P40" s="1541"/>
    </row>
    <row r="41" spans="1:16" x14ac:dyDescent="0.35">
      <c r="A41" s="1541"/>
      <c r="B41" s="1541"/>
      <c r="C41" s="1541"/>
      <c r="D41" s="1541"/>
      <c r="E41" s="1541"/>
      <c r="F41" s="1541"/>
      <c r="G41" s="1541"/>
      <c r="H41" s="1541"/>
      <c r="I41" s="1541"/>
      <c r="J41" s="1541"/>
      <c r="K41" s="1541"/>
      <c r="L41" s="1541"/>
      <c r="M41" s="1541"/>
      <c r="N41" s="1541"/>
      <c r="O41" s="1541"/>
      <c r="P41" s="1541"/>
    </row>
    <row r="42" spans="1:16" x14ac:dyDescent="0.35">
      <c r="A42" s="1541"/>
      <c r="B42" s="1541"/>
      <c r="C42" s="1541"/>
      <c r="D42" s="1541"/>
      <c r="E42" s="1541"/>
      <c r="F42" s="1541"/>
      <c r="G42" s="1541"/>
      <c r="H42" s="1541"/>
      <c r="I42" s="1541"/>
      <c r="J42" s="1541"/>
      <c r="K42" s="1541"/>
      <c r="L42" s="1541"/>
      <c r="M42" s="1541"/>
      <c r="N42" s="1541"/>
      <c r="O42" s="1541"/>
      <c r="P42" s="1541"/>
    </row>
    <row r="43" spans="1:16" x14ac:dyDescent="0.35">
      <c r="A43" s="242"/>
      <c r="B43" s="242"/>
      <c r="C43" s="242"/>
      <c r="D43" s="242"/>
      <c r="E43" s="242"/>
      <c r="F43" s="242"/>
      <c r="G43" s="242"/>
      <c r="H43" s="242"/>
      <c r="I43" s="242"/>
      <c r="J43" s="242"/>
      <c r="K43" s="242"/>
      <c r="L43" s="242"/>
      <c r="M43" s="242"/>
      <c r="N43" s="242"/>
      <c r="O43" s="242"/>
      <c r="P43" s="242"/>
    </row>
    <row r="44" spans="1:16" x14ac:dyDescent="0.35">
      <c r="A44" s="1388" t="s">
        <v>514</v>
      </c>
      <c r="B44" s="1388"/>
      <c r="C44" s="1388"/>
      <c r="D44" s="1388"/>
      <c r="E44" s="1388"/>
      <c r="F44" s="1388"/>
      <c r="G44" s="1388"/>
      <c r="H44" s="1388"/>
      <c r="I44" s="1388"/>
      <c r="J44" s="1388"/>
      <c r="K44" s="1388"/>
      <c r="L44" s="1388"/>
      <c r="M44" s="1388"/>
      <c r="N44" s="1388"/>
      <c r="O44" s="1388"/>
      <c r="P44" s="1388"/>
    </row>
    <row r="45" spans="1:16" x14ac:dyDescent="0.35">
      <c r="A45" s="1388"/>
      <c r="B45" s="1388"/>
      <c r="C45" s="1388"/>
      <c r="D45" s="1388"/>
      <c r="E45" s="1388"/>
      <c r="F45" s="1388"/>
      <c r="G45" s="1388"/>
      <c r="H45" s="1388"/>
      <c r="I45" s="1388"/>
      <c r="J45" s="1388"/>
      <c r="K45" s="1388"/>
      <c r="L45" s="1388"/>
      <c r="M45" s="1388"/>
      <c r="N45" s="1388"/>
      <c r="O45" s="1388"/>
      <c r="P45" s="1388"/>
    </row>
    <row r="46" spans="1:16" x14ac:dyDescent="0.35">
      <c r="A46" s="1388"/>
      <c r="B46" s="1388"/>
      <c r="C46" s="1388"/>
      <c r="D46" s="1388"/>
      <c r="E46" s="1388"/>
      <c r="F46" s="1388"/>
      <c r="G46" s="1388"/>
      <c r="H46" s="1388"/>
      <c r="I46" s="1388"/>
      <c r="J46" s="1388"/>
      <c r="K46" s="1388"/>
      <c r="L46" s="1388"/>
      <c r="M46" s="1388"/>
      <c r="N46" s="1388"/>
      <c r="O46" s="1388"/>
      <c r="P46" s="1388"/>
    </row>
    <row r="47" spans="1:16" x14ac:dyDescent="0.35">
      <c r="A47" s="1152"/>
      <c r="B47" s="1152"/>
      <c r="C47" s="1152"/>
      <c r="D47" s="1153"/>
      <c r="E47" s="1152"/>
      <c r="F47" s="1152"/>
      <c r="G47" s="1152"/>
      <c r="H47" s="1152"/>
      <c r="I47" s="1152"/>
      <c r="J47" s="1152"/>
      <c r="K47" s="1152"/>
      <c r="L47" s="1152"/>
      <c r="M47" s="1152"/>
      <c r="N47" s="1152"/>
      <c r="O47" s="1152"/>
      <c r="P47" s="1152"/>
    </row>
    <row r="48" spans="1:16" x14ac:dyDescent="0.35">
      <c r="A48" s="1539" t="s">
        <v>515</v>
      </c>
      <c r="B48" s="1540"/>
      <c r="C48" s="1540"/>
      <c r="D48" s="1540"/>
      <c r="E48" s="1540"/>
      <c r="F48" s="1540"/>
      <c r="G48" s="1540"/>
      <c r="H48" s="1540"/>
      <c r="I48" s="1540"/>
      <c r="J48" s="1540"/>
      <c r="K48" s="1540"/>
      <c r="L48" s="1540"/>
      <c r="M48" s="1540"/>
      <c r="N48" s="1540"/>
      <c r="O48" s="1540"/>
      <c r="P48" s="1540"/>
    </row>
    <row r="49" spans="1:16" x14ac:dyDescent="0.35">
      <c r="A49" s="1540"/>
      <c r="B49" s="1540"/>
      <c r="C49" s="1540"/>
      <c r="D49" s="1540"/>
      <c r="E49" s="1540"/>
      <c r="F49" s="1540"/>
      <c r="G49" s="1540"/>
      <c r="H49" s="1540"/>
      <c r="I49" s="1540"/>
      <c r="J49" s="1540"/>
      <c r="K49" s="1540"/>
      <c r="L49" s="1540"/>
      <c r="M49" s="1540"/>
      <c r="N49" s="1540"/>
      <c r="O49" s="1540"/>
      <c r="P49" s="1540"/>
    </row>
    <row r="50" spans="1:16" x14ac:dyDescent="0.35">
      <c r="A50" s="1152"/>
      <c r="B50" s="1152"/>
      <c r="C50" s="1152"/>
      <c r="D50" s="1153"/>
      <c r="E50" s="1152"/>
      <c r="F50" s="1152"/>
      <c r="G50" s="1152"/>
      <c r="H50" s="1152"/>
      <c r="I50" s="1152"/>
      <c r="J50" s="1152"/>
      <c r="K50" s="1152"/>
      <c r="L50" s="1152"/>
      <c r="M50" s="1152"/>
      <c r="N50" s="1152"/>
      <c r="O50" s="1152"/>
      <c r="P50" s="1152"/>
    </row>
    <row r="51" spans="1:16" x14ac:dyDescent="0.35">
      <c r="A51" s="1535" t="s">
        <v>516</v>
      </c>
      <c r="B51" s="1535"/>
      <c r="C51" s="1535"/>
      <c r="D51" s="1535"/>
      <c r="E51" s="1535"/>
      <c r="F51" s="1535"/>
      <c r="G51" s="1535"/>
      <c r="H51" s="1535"/>
      <c r="I51" s="1535"/>
      <c r="J51" s="1535"/>
      <c r="K51" s="1535"/>
      <c r="L51" s="1535"/>
      <c r="M51" s="1535"/>
      <c r="N51" s="1535"/>
      <c r="O51" s="1535"/>
      <c r="P51" s="1535"/>
    </row>
    <row r="52" spans="1:16" x14ac:dyDescent="0.35">
      <c r="A52" s="1535"/>
      <c r="B52" s="1535"/>
      <c r="C52" s="1535"/>
      <c r="D52" s="1535"/>
      <c r="E52" s="1535"/>
      <c r="F52" s="1535"/>
      <c r="G52" s="1535"/>
      <c r="H52" s="1535"/>
      <c r="I52" s="1535"/>
      <c r="J52" s="1535"/>
      <c r="K52" s="1535"/>
      <c r="L52" s="1535"/>
      <c r="M52" s="1535"/>
      <c r="N52" s="1535"/>
      <c r="O52" s="1535"/>
      <c r="P52" s="1535"/>
    </row>
    <row r="53" spans="1:16" x14ac:dyDescent="0.35">
      <c r="A53" s="1535"/>
      <c r="B53" s="1535"/>
      <c r="C53" s="1535"/>
      <c r="D53" s="1535"/>
      <c r="E53" s="1535"/>
      <c r="F53" s="1535"/>
      <c r="G53" s="1535"/>
      <c r="H53" s="1535"/>
      <c r="I53" s="1535"/>
      <c r="J53" s="1535"/>
      <c r="K53" s="1535"/>
      <c r="L53" s="1535"/>
      <c r="M53" s="1535"/>
      <c r="N53" s="1535"/>
      <c r="O53" s="1535"/>
      <c r="P53" s="1535"/>
    </row>
    <row r="54" spans="1:16" x14ac:dyDescent="0.35">
      <c r="A54" s="1154"/>
      <c r="B54" s="1154"/>
      <c r="C54" s="1154"/>
      <c r="D54" s="1145"/>
      <c r="E54" s="1154"/>
      <c r="F54" s="1154"/>
      <c r="G54" s="1154"/>
      <c r="H54" s="1154"/>
      <c r="I54" s="1154"/>
      <c r="J54" s="1154"/>
      <c r="K54" s="1154"/>
      <c r="L54" s="1154"/>
      <c r="M54" s="1154"/>
      <c r="N54" s="1154"/>
      <c r="O54" s="1154"/>
      <c r="P54" s="1154"/>
    </row>
  </sheetData>
  <mergeCells count="6">
    <mergeCell ref="A51:P53"/>
    <mergeCell ref="A7:P7"/>
    <mergeCell ref="O10:P10"/>
    <mergeCell ref="A48:P49"/>
    <mergeCell ref="A38:P42"/>
    <mergeCell ref="A44:P46"/>
  </mergeCells>
  <hyperlinks>
    <hyperlink ref="A4" r:id="rId1" xr:uid="{00000000-0004-0000-22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0" t="s">
        <v>1337</v>
      </c>
      <c r="D1" s="1235">
        <v>2022</v>
      </c>
      <c r="E1" s="1235">
        <v>2023</v>
      </c>
      <c r="F1" s="1235">
        <v>2024</v>
      </c>
      <c r="G1" s="1235">
        <v>2025</v>
      </c>
      <c r="H1" s="1235">
        <v>2026</v>
      </c>
      <c r="I1" s="1235">
        <v>2027</v>
      </c>
      <c r="J1" s="1235">
        <v>2028</v>
      </c>
      <c r="K1" s="1235">
        <v>2029</v>
      </c>
      <c r="L1" s="1235">
        <v>2030</v>
      </c>
      <c r="M1" s="1236">
        <v>2031</v>
      </c>
      <c r="N1" s="1237" t="s">
        <v>1139</v>
      </c>
      <c r="O1" s="1237" t="s">
        <v>1140</v>
      </c>
      <c r="P1" s="1222"/>
      <c r="Q1" s="1222"/>
      <c r="R1" s="1222"/>
      <c r="S1" s="1222"/>
    </row>
    <row r="2" spans="1:19" x14ac:dyDescent="0.35">
      <c r="C2" s="1542" t="s">
        <v>1338</v>
      </c>
      <c r="D2" s="1542"/>
      <c r="E2" s="1542"/>
      <c r="F2" s="1542"/>
      <c r="G2" s="1542"/>
      <c r="H2" s="1542"/>
      <c r="I2" s="1542"/>
      <c r="J2" s="1542"/>
      <c r="K2" s="1542"/>
      <c r="L2" s="1542"/>
      <c r="M2" s="1542"/>
      <c r="N2" s="1542"/>
      <c r="O2" s="1542"/>
      <c r="P2" s="1221"/>
      <c r="Q2" s="1221"/>
      <c r="R2" s="1221"/>
      <c r="S2" s="1221"/>
    </row>
    <row r="3" spans="1:19" x14ac:dyDescent="0.35">
      <c r="A3" s="44" t="s">
        <v>1148</v>
      </c>
      <c r="B3" s="44">
        <v>13601</v>
      </c>
      <c r="C3" s="44" t="s">
        <v>1339</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1161</v>
      </c>
      <c r="B4" s="44">
        <v>10301</v>
      </c>
      <c r="C4" s="44" t="s">
        <v>1339</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1163</v>
      </c>
      <c r="B5" s="44">
        <v>13802</v>
      </c>
      <c r="C5" s="44" t="s">
        <v>1339</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1165</v>
      </c>
      <c r="B6" s="44">
        <v>22005</v>
      </c>
      <c r="C6" s="44" t="s">
        <v>1339</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1151</v>
      </c>
      <c r="B7" s="44">
        <v>23001</v>
      </c>
      <c r="C7" s="44" t="s">
        <v>1339</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1167</v>
      </c>
      <c r="B8" s="44">
        <v>23005</v>
      </c>
      <c r="C8" s="44" t="s">
        <v>1339</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1220</v>
      </c>
      <c r="B9" s="44">
        <v>23003</v>
      </c>
      <c r="C9" s="44" t="s">
        <v>1207</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1248</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1250</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1252</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1248</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1255</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1340</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1257</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1259</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1261</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1273</v>
      </c>
      <c r="B26" s="44">
        <v>12001</v>
      </c>
      <c r="C26" s="44" t="s">
        <v>1341</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1275</v>
      </c>
      <c r="B27" s="44">
        <v>22003</v>
      </c>
      <c r="C27" s="44" t="s">
        <v>1341</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1277</v>
      </c>
      <c r="B28" s="44">
        <v>22004</v>
      </c>
      <c r="C28" s="44" t="s">
        <v>1341</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4" t="s">
        <v>1342</v>
      </c>
      <c r="B29" s="44">
        <v>22007</v>
      </c>
      <c r="C29" s="44" t="s">
        <v>1341</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1279</v>
      </c>
      <c r="B30" s="44">
        <v>23002</v>
      </c>
      <c r="C30" s="44" t="s">
        <v>1341</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1270</v>
      </c>
      <c r="B31" s="44">
        <v>30002</v>
      </c>
      <c r="C31" s="44" t="s">
        <v>1341</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1343</v>
      </c>
      <c r="B32" s="44">
        <v>13104</v>
      </c>
      <c r="C32" s="44" t="s">
        <v>1344</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1345</v>
      </c>
      <c r="B33" s="44">
        <v>13105</v>
      </c>
      <c r="C33" s="44" t="s">
        <v>1344</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1307</v>
      </c>
      <c r="B34" s="44">
        <v>13204</v>
      </c>
      <c r="C34" s="44" t="s">
        <v>1344</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1346</v>
      </c>
      <c r="B35" s="44">
        <v>13502</v>
      </c>
      <c r="C35" s="44" t="s">
        <v>1344</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1347</v>
      </c>
      <c r="B36" s="44">
        <v>13701</v>
      </c>
      <c r="C36" s="44" t="s">
        <v>1344</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1289</v>
      </c>
      <c r="B37" s="44">
        <v>21001</v>
      </c>
      <c r="C37" s="44" t="s">
        <v>1344</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1344</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1301</v>
      </c>
      <c r="B39" s="44">
        <v>22002</v>
      </c>
      <c r="C39" s="44" t="s">
        <v>1344</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1317</v>
      </c>
      <c r="B40" s="44">
        <v>30001</v>
      </c>
      <c r="C40" s="44" t="s">
        <v>1344</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43" t="s">
        <v>1348</v>
      </c>
      <c r="D42" s="1543"/>
      <c r="E42" s="1543"/>
      <c r="F42" s="1543"/>
      <c r="G42" s="1543"/>
      <c r="H42" s="1543"/>
      <c r="I42" s="1543"/>
      <c r="J42" s="1543"/>
      <c r="K42" s="1543"/>
      <c r="L42" s="1543"/>
      <c r="M42" s="1543"/>
      <c r="N42" s="1543"/>
      <c r="O42" s="1543"/>
      <c r="P42" s="1221"/>
      <c r="Q42" s="1221"/>
      <c r="R42" s="1221"/>
      <c r="S42" s="1221"/>
    </row>
    <row r="43" spans="1:19" x14ac:dyDescent="0.35">
      <c r="A43" s="44" t="s">
        <v>1349</v>
      </c>
      <c r="B43" s="44">
        <v>10101</v>
      </c>
      <c r="C43" s="44" t="s">
        <v>1350</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1351</v>
      </c>
      <c r="B44" s="44" t="s">
        <v>1352</v>
      </c>
      <c r="C44" s="44" t="s">
        <v>1350</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1353</v>
      </c>
      <c r="B45" s="44">
        <v>13101</v>
      </c>
      <c r="C45" s="44" t="s">
        <v>1350</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1354</v>
      </c>
      <c r="B46" s="44">
        <v>13102</v>
      </c>
      <c r="C46" s="44" t="s">
        <v>1350</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1355</v>
      </c>
      <c r="B47" s="44">
        <v>13104</v>
      </c>
      <c r="C47" s="44" t="s">
        <v>1350</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1356</v>
      </c>
      <c r="B48" s="44">
        <v>13105</v>
      </c>
      <c r="C48" s="44" t="s">
        <v>1350</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1357</v>
      </c>
      <c r="B49" s="44">
        <v>13303</v>
      </c>
      <c r="C49" s="44" t="s">
        <v>1350</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1358</v>
      </c>
      <c r="B50" s="44" t="s">
        <v>1359</v>
      </c>
      <c r="C50" s="44" t="s">
        <v>1350</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1360</v>
      </c>
      <c r="B51" s="44">
        <v>13601</v>
      </c>
      <c r="C51" s="44" t="s">
        <v>1350</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1361</v>
      </c>
      <c r="B52" s="44" t="s">
        <v>1362</v>
      </c>
      <c r="C52" s="44" t="s">
        <v>1350</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1363</v>
      </c>
      <c r="B53" s="44">
        <v>13901</v>
      </c>
      <c r="C53" s="44" t="s">
        <v>1350</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1364</v>
      </c>
      <c r="B54" s="44">
        <v>13902</v>
      </c>
      <c r="C54" s="44" t="s">
        <v>1350</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1365</v>
      </c>
      <c r="B55" s="44" t="s">
        <v>1366</v>
      </c>
      <c r="C55" s="44" t="s">
        <v>1350</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1367</v>
      </c>
      <c r="B56" s="44">
        <v>60113</v>
      </c>
      <c r="C56" s="44" t="s">
        <v>1350</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1368</v>
      </c>
      <c r="B57" s="44">
        <v>10201</v>
      </c>
      <c r="C57" s="44" t="s">
        <v>1350</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1375</v>
      </c>
      <c r="B58" s="44">
        <v>13304</v>
      </c>
      <c r="C58" s="44" t="s">
        <v>1380</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1371</v>
      </c>
      <c r="B59" s="44" t="s">
        <v>1372</v>
      </c>
      <c r="C59" s="44" t="s">
        <v>1380</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38" t="s">
        <v>1369</v>
      </c>
      <c r="B60" s="1239">
        <v>10301</v>
      </c>
      <c r="C60" s="1239" t="s">
        <v>227</v>
      </c>
      <c r="D60" s="1239">
        <v>0</v>
      </c>
      <c r="E60" s="1240">
        <v>2012</v>
      </c>
      <c r="F60" s="1240">
        <v>5106</v>
      </c>
      <c r="G60" s="1240">
        <v>11125</v>
      </c>
      <c r="H60" s="1240">
        <v>16116</v>
      </c>
      <c r="I60" s="1240">
        <v>21716</v>
      </c>
      <c r="J60" s="1240">
        <v>26314</v>
      </c>
      <c r="K60" s="1240">
        <v>31218</v>
      </c>
      <c r="L60" s="1240">
        <v>34877</v>
      </c>
      <c r="M60" s="1240">
        <v>31904</v>
      </c>
      <c r="N60" s="1240">
        <v>34359</v>
      </c>
      <c r="O60" s="1241">
        <v>180388</v>
      </c>
      <c r="P60" s="81"/>
      <c r="Q60" s="81"/>
      <c r="R60" s="81"/>
      <c r="S60" s="81"/>
    </row>
    <row r="61" spans="1:19" x14ac:dyDescent="0.35">
      <c r="A61" s="44" t="s">
        <v>1370</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1373</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1374</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1376</v>
      </c>
      <c r="B64" s="44" t="s">
        <v>1377</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42">
        <v>2022</v>
      </c>
      <c r="E67" s="1242">
        <v>2023</v>
      </c>
      <c r="F67" s="1242">
        <v>2024</v>
      </c>
      <c r="G67" s="1242">
        <v>2025</v>
      </c>
      <c r="H67" s="1242">
        <v>2026</v>
      </c>
      <c r="I67" s="1242">
        <v>2027</v>
      </c>
      <c r="J67" s="1242">
        <v>2028</v>
      </c>
      <c r="K67" s="1242">
        <v>2029</v>
      </c>
      <c r="L67" s="1242">
        <v>2030</v>
      </c>
      <c r="M67" s="1243">
        <v>2031</v>
      </c>
      <c r="N67" s="1222" t="s">
        <v>1319</v>
      </c>
      <c r="O67" s="1244" t="s">
        <v>1320</v>
      </c>
      <c r="P67" s="1222"/>
      <c r="Q67" s="1222"/>
      <c r="R67" s="1222"/>
      <c r="S67" s="1222"/>
    </row>
    <row r="68" spans="3:19" x14ac:dyDescent="0.35">
      <c r="C68" s="1544" t="s">
        <v>1378</v>
      </c>
      <c r="D68" s="1545"/>
      <c r="E68" s="1545"/>
      <c r="F68" s="1545"/>
      <c r="G68" s="1545"/>
      <c r="H68" s="1545"/>
      <c r="I68" s="1545"/>
      <c r="J68" s="1545"/>
      <c r="K68" s="1545"/>
      <c r="L68" s="1545"/>
      <c r="M68" s="1545"/>
      <c r="N68" s="1545"/>
      <c r="O68" s="1546"/>
      <c r="P68" s="1221"/>
      <c r="Q68" s="1221"/>
      <c r="R68" s="1221"/>
      <c r="S68" s="1221"/>
    </row>
    <row r="69" spans="3:19" x14ac:dyDescent="0.35">
      <c r="C69" s="53" t="s">
        <v>1339</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1207</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6">
        <f t="shared" si="3"/>
        <v>-248219</v>
      </c>
      <c r="P72" s="44"/>
      <c r="Q72" s="44"/>
      <c r="R72" s="44"/>
      <c r="S72" s="44"/>
    </row>
    <row r="73" spans="3:19" x14ac:dyDescent="0.35">
      <c r="C73" s="53" t="s">
        <v>1341</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6">
        <f t="shared" si="4"/>
        <v>46384</v>
      </c>
      <c r="P73" s="44"/>
      <c r="Q73" s="44"/>
      <c r="R73" s="44"/>
      <c r="S73" s="44"/>
    </row>
    <row r="74" spans="3:19" x14ac:dyDescent="0.35">
      <c r="C74" s="53" t="s">
        <v>1344</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80">
        <f t="shared" si="5"/>
        <v>16463</v>
      </c>
      <c r="O74" s="267">
        <f t="shared" si="5"/>
        <v>55153</v>
      </c>
      <c r="P74" s="44"/>
      <c r="Q74" s="44"/>
      <c r="R74" s="44"/>
      <c r="S74" s="44"/>
    </row>
    <row r="75" spans="3:19" x14ac:dyDescent="0.35">
      <c r="C75" s="1544" t="s">
        <v>1379</v>
      </c>
      <c r="D75" s="1545"/>
      <c r="E75" s="1545"/>
      <c r="F75" s="1545"/>
      <c r="G75" s="1545"/>
      <c r="H75" s="1545"/>
      <c r="I75" s="1545"/>
      <c r="J75" s="1545"/>
      <c r="K75" s="1545"/>
      <c r="L75" s="1545"/>
      <c r="M75" s="1545"/>
      <c r="N75" s="1545"/>
      <c r="O75" s="1546"/>
      <c r="P75" s="1221"/>
      <c r="Q75" s="1221"/>
      <c r="R75" s="1221"/>
      <c r="S75" s="1221"/>
    </row>
    <row r="76" spans="3:19" x14ac:dyDescent="0.35">
      <c r="C76" s="53" t="s">
        <v>351</v>
      </c>
      <c r="D76" s="44">
        <v>0</v>
      </c>
      <c r="E76" s="44">
        <v>596</v>
      </c>
      <c r="F76" s="44">
        <v>1406</v>
      </c>
      <c r="G76" s="44">
        <v>1885</v>
      </c>
      <c r="H76" s="44">
        <v>2113</v>
      </c>
      <c r="I76" s="44">
        <v>2058</v>
      </c>
      <c r="J76" s="44">
        <v>1745</v>
      </c>
      <c r="K76" s="44">
        <v>1369</v>
      </c>
      <c r="L76" s="44">
        <v>970</v>
      </c>
      <c r="M76" s="44">
        <v>369</v>
      </c>
      <c r="N76" s="286">
        <v>6000</v>
      </c>
      <c r="O76" s="285">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6">
        <v>24916</v>
      </c>
      <c r="P80" s="44"/>
      <c r="Q80" s="44"/>
      <c r="R80" s="44"/>
      <c r="S80" s="44"/>
    </row>
    <row r="81" spans="1:20" x14ac:dyDescent="0.35">
      <c r="C81" s="53"/>
      <c r="N81" s="280"/>
      <c r="O81" s="267"/>
      <c r="P81" s="44"/>
      <c r="Q81" s="44"/>
      <c r="R81" s="44"/>
      <c r="S81" s="44"/>
    </row>
    <row r="82" spans="1:20" x14ac:dyDescent="0.35">
      <c r="C82" s="1544" t="s">
        <v>1348</v>
      </c>
      <c r="D82" s="1545"/>
      <c r="E82" s="1545"/>
      <c r="F82" s="1545"/>
      <c r="G82" s="1545"/>
      <c r="H82" s="1545"/>
      <c r="I82" s="1545"/>
      <c r="J82" s="1545"/>
      <c r="K82" s="1545"/>
      <c r="L82" s="1545"/>
      <c r="M82" s="1545"/>
      <c r="N82" s="1545"/>
      <c r="O82" s="1546"/>
      <c r="P82" s="1221"/>
      <c r="Q82" s="1221"/>
      <c r="R82" s="1221"/>
      <c r="S82" s="1221"/>
    </row>
    <row r="83" spans="1:20" x14ac:dyDescent="0.35">
      <c r="C83" s="53" t="s">
        <v>1350</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447</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1330</v>
      </c>
    </row>
    <row r="88" spans="1:20" x14ac:dyDescent="0.35">
      <c r="A88" s="1157" t="s">
        <v>1137</v>
      </c>
      <c r="B88" s="1158" t="s">
        <v>1138</v>
      </c>
      <c r="C88" s="1159">
        <v>2022</v>
      </c>
      <c r="D88" s="1159">
        <v>2023</v>
      </c>
      <c r="E88" s="1159">
        <v>2024</v>
      </c>
      <c r="F88" s="1159">
        <v>2025</v>
      </c>
      <c r="G88" s="1159">
        <v>2026</v>
      </c>
      <c r="H88" s="1159">
        <v>2027</v>
      </c>
      <c r="I88" s="1159">
        <v>2028</v>
      </c>
      <c r="J88" s="1159">
        <v>2029</v>
      </c>
      <c r="K88" s="1159">
        <v>2030</v>
      </c>
      <c r="L88" s="1159">
        <v>2031</v>
      </c>
      <c r="M88" s="1160" t="s">
        <v>1139</v>
      </c>
      <c r="N88" s="1160" t="s">
        <v>1140</v>
      </c>
      <c r="O88" s="1161" t="s">
        <v>1141</v>
      </c>
      <c r="P88" s="1161"/>
      <c r="Q88" s="1161"/>
      <c r="R88" s="1161"/>
      <c r="S88" s="1161"/>
      <c r="T88" s="1162" t="s">
        <v>1142</v>
      </c>
    </row>
    <row r="89" spans="1:20" x14ac:dyDescent="0.35">
      <c r="A89" s="1163" t="s">
        <v>1143</v>
      </c>
      <c r="B89" s="1164" t="s">
        <v>1144</v>
      </c>
      <c r="C89" s="1165">
        <v>0</v>
      </c>
      <c r="D89" s="1165">
        <v>3</v>
      </c>
      <c r="E89" s="1165">
        <v>3</v>
      </c>
      <c r="F89" s="1165">
        <v>3</v>
      </c>
      <c r="G89" s="1165">
        <v>3</v>
      </c>
      <c r="H89" s="1165">
        <v>1</v>
      </c>
      <c r="I89" s="1165">
        <v>0</v>
      </c>
      <c r="J89" s="1165">
        <v>0</v>
      </c>
      <c r="K89" s="1165">
        <v>0</v>
      </c>
      <c r="L89" s="1165">
        <v>0</v>
      </c>
      <c r="M89" s="1165">
        <v>12</v>
      </c>
      <c r="N89" s="1165">
        <v>13</v>
      </c>
      <c r="O89" s="1166" t="s">
        <v>1145</v>
      </c>
      <c r="P89" s="1166"/>
      <c r="Q89" s="1166"/>
      <c r="R89" s="1166"/>
      <c r="S89" s="1166"/>
      <c r="T89" s="1167"/>
    </row>
    <row r="90" spans="1:20" ht="24" customHeight="1" x14ac:dyDescent="0.35">
      <c r="A90" s="1163" t="s">
        <v>1146</v>
      </c>
      <c r="B90" s="1164" t="s">
        <v>1147</v>
      </c>
      <c r="C90" s="1165">
        <v>0</v>
      </c>
      <c r="D90" s="1165">
        <v>65</v>
      </c>
      <c r="E90" s="1165">
        <v>1360</v>
      </c>
      <c r="F90" s="1165">
        <v>2430</v>
      </c>
      <c r="G90" s="1165">
        <v>2800</v>
      </c>
      <c r="H90" s="1165">
        <v>1740</v>
      </c>
      <c r="I90" s="1165">
        <v>570</v>
      </c>
      <c r="J90" s="1165">
        <v>35</v>
      </c>
      <c r="K90" s="1165">
        <v>0</v>
      </c>
      <c r="L90" s="1165">
        <v>0</v>
      </c>
      <c r="M90" s="1165">
        <v>6655</v>
      </c>
      <c r="N90" s="1165">
        <v>9000</v>
      </c>
      <c r="O90" s="1166" t="s">
        <v>1145</v>
      </c>
      <c r="P90" s="1166"/>
      <c r="Q90" s="1166"/>
      <c r="R90" s="1166"/>
      <c r="S90" s="1166"/>
      <c r="T90" s="1168"/>
    </row>
    <row r="91" spans="1:20" x14ac:dyDescent="0.35">
      <c r="A91" s="1169" t="s">
        <v>1148</v>
      </c>
      <c r="B91" s="1170" t="s">
        <v>1149</v>
      </c>
      <c r="C91" s="1171">
        <v>0</v>
      </c>
      <c r="D91" s="1171">
        <v>0</v>
      </c>
      <c r="E91" s="1171">
        <v>601</v>
      </c>
      <c r="F91" s="1172">
        <v>1038</v>
      </c>
      <c r="G91" s="1172">
        <v>1251</v>
      </c>
      <c r="H91" s="1172">
        <v>1431</v>
      </c>
      <c r="I91" s="1172">
        <v>1492</v>
      </c>
      <c r="J91" s="1172">
        <v>1530</v>
      </c>
      <c r="K91" s="1172">
        <v>1567</v>
      </c>
      <c r="L91" s="1172">
        <v>1606</v>
      </c>
      <c r="M91" s="1172">
        <v>2890</v>
      </c>
      <c r="N91" s="1172">
        <v>10516</v>
      </c>
      <c r="O91" s="1173" t="s">
        <v>1150</v>
      </c>
      <c r="P91" s="1173"/>
      <c r="Q91" s="1173"/>
      <c r="R91" s="1173"/>
      <c r="S91" s="1173"/>
      <c r="T91" s="1174"/>
    </row>
    <row r="92" spans="1:20" x14ac:dyDescent="0.35">
      <c r="A92" s="1175" t="s">
        <v>1151</v>
      </c>
      <c r="B92" s="1176" t="s">
        <v>1152</v>
      </c>
      <c r="C92" s="1242">
        <v>0</v>
      </c>
      <c r="D92" s="1242">
        <v>30</v>
      </c>
      <c r="E92" s="1242">
        <v>120</v>
      </c>
      <c r="F92" s="1242">
        <v>165</v>
      </c>
      <c r="G92" s="1242">
        <v>370</v>
      </c>
      <c r="H92" s="1242">
        <v>470</v>
      </c>
      <c r="I92" s="1242">
        <v>420</v>
      </c>
      <c r="J92" s="1242">
        <v>285</v>
      </c>
      <c r="K92" s="1242">
        <v>220</v>
      </c>
      <c r="L92" s="1243">
        <v>65</v>
      </c>
      <c r="M92" s="1242">
        <v>685</v>
      </c>
      <c r="N92" s="1177">
        <v>2145</v>
      </c>
      <c r="O92" s="1178" t="s">
        <v>1153</v>
      </c>
      <c r="P92" s="1223"/>
      <c r="Q92" s="1223"/>
      <c r="R92" s="1223"/>
      <c r="S92" s="1223"/>
      <c r="T92" s="1179" t="s">
        <v>1154</v>
      </c>
    </row>
    <row r="93" spans="1:20" x14ac:dyDescent="0.35">
      <c r="A93" s="1163" t="s">
        <v>1155</v>
      </c>
      <c r="B93" s="1164" t="s">
        <v>1156</v>
      </c>
      <c r="C93" s="1165">
        <v>0</v>
      </c>
      <c r="D93" s="1165">
        <v>2</v>
      </c>
      <c r="E93" s="1165">
        <v>10</v>
      </c>
      <c r="F93" s="1165">
        <v>25</v>
      </c>
      <c r="G93" s="1165">
        <v>28</v>
      </c>
      <c r="H93" s="1165">
        <v>17</v>
      </c>
      <c r="I93" s="1165">
        <v>11</v>
      </c>
      <c r="J93" s="1165">
        <v>4</v>
      </c>
      <c r="K93" s="1165">
        <v>2</v>
      </c>
      <c r="L93" s="1165">
        <v>1</v>
      </c>
      <c r="M93" s="1165">
        <v>65</v>
      </c>
      <c r="N93" s="1165">
        <v>100</v>
      </c>
      <c r="O93" s="1166" t="s">
        <v>1153</v>
      </c>
      <c r="P93" s="1166"/>
      <c r="Q93" s="1166"/>
      <c r="R93" s="1166"/>
      <c r="S93" s="1166"/>
      <c r="T93" s="1167" t="s">
        <v>1157</v>
      </c>
    </row>
    <row r="94" spans="1:20" ht="24" customHeight="1" x14ac:dyDescent="0.35">
      <c r="A94" s="1180" t="s">
        <v>1158</v>
      </c>
      <c r="B94" s="1181" t="s">
        <v>1159</v>
      </c>
      <c r="C94" s="1165">
        <v>0</v>
      </c>
      <c r="D94" s="1165">
        <v>36</v>
      </c>
      <c r="E94" s="1165">
        <v>30</v>
      </c>
      <c r="F94" s="1165">
        <v>14</v>
      </c>
      <c r="G94" s="1165">
        <v>7</v>
      </c>
      <c r="H94" s="1165">
        <v>0</v>
      </c>
      <c r="I94" s="1165">
        <v>0</v>
      </c>
      <c r="J94" s="1165">
        <v>0</v>
      </c>
      <c r="K94" s="1165">
        <v>0</v>
      </c>
      <c r="L94" s="1165">
        <v>0</v>
      </c>
      <c r="M94" s="1165">
        <v>87</v>
      </c>
      <c r="N94" s="1165">
        <v>87</v>
      </c>
      <c r="O94" s="1166" t="s">
        <v>1153</v>
      </c>
      <c r="P94" s="1166"/>
      <c r="Q94" s="1166"/>
      <c r="R94" s="1166"/>
      <c r="S94" s="1166"/>
      <c r="T94" s="1167" t="s">
        <v>1160</v>
      </c>
    </row>
    <row r="95" spans="1:20" x14ac:dyDescent="0.35">
      <c r="A95" s="1163" t="s">
        <v>1161</v>
      </c>
      <c r="B95" s="1164" t="s">
        <v>1162</v>
      </c>
      <c r="C95" s="1165">
        <v>0</v>
      </c>
      <c r="D95" s="1182">
        <v>5240</v>
      </c>
      <c r="E95" s="1182">
        <v>4175</v>
      </c>
      <c r="F95" s="1182">
        <v>5215</v>
      </c>
      <c r="G95" s="1182">
        <v>6493</v>
      </c>
      <c r="H95" s="1182">
        <v>7982</v>
      </c>
      <c r="I95" s="1182">
        <v>9820</v>
      </c>
      <c r="J95" s="1182">
        <v>11813</v>
      </c>
      <c r="K95" s="1182">
        <v>14269</v>
      </c>
      <c r="L95" s="1182">
        <v>14605</v>
      </c>
      <c r="M95" s="1182">
        <v>21123</v>
      </c>
      <c r="N95" s="1182">
        <v>79612</v>
      </c>
      <c r="O95" s="1183" t="s">
        <v>1153</v>
      </c>
      <c r="P95" s="1183"/>
      <c r="Q95" s="1183"/>
      <c r="R95" s="1183"/>
      <c r="S95" s="1183"/>
      <c r="T95" s="1167"/>
    </row>
    <row r="96" spans="1:20" x14ac:dyDescent="0.35">
      <c r="A96" s="1163" t="s">
        <v>1163</v>
      </c>
      <c r="B96" s="1164" t="s">
        <v>1164</v>
      </c>
      <c r="C96" s="1184">
        <v>0</v>
      </c>
      <c r="D96" s="1184">
        <v>55</v>
      </c>
      <c r="E96" s="1184">
        <v>55</v>
      </c>
      <c r="F96" s="1184">
        <v>55</v>
      </c>
      <c r="G96" s="1184">
        <v>55</v>
      </c>
      <c r="H96" s="1184">
        <v>55</v>
      </c>
      <c r="I96" s="1184">
        <v>55</v>
      </c>
      <c r="J96" s="1184">
        <v>55</v>
      </c>
      <c r="K96" s="1184">
        <v>55</v>
      </c>
      <c r="L96" s="1184">
        <v>55</v>
      </c>
      <c r="M96" s="1184">
        <v>220</v>
      </c>
      <c r="N96" s="1184">
        <v>495</v>
      </c>
      <c r="O96" s="1185" t="s">
        <v>1153</v>
      </c>
      <c r="P96" s="1185"/>
      <c r="Q96" s="1185"/>
      <c r="R96" s="1185"/>
      <c r="S96" s="1185"/>
      <c r="T96" s="1168"/>
    </row>
    <row r="97" spans="1:20" x14ac:dyDescent="0.35">
      <c r="A97" s="1163" t="s">
        <v>1165</v>
      </c>
      <c r="B97" s="1164" t="s">
        <v>1166</v>
      </c>
      <c r="C97" s="1165">
        <v>0</v>
      </c>
      <c r="D97" s="1165">
        <v>19</v>
      </c>
      <c r="E97" s="1165">
        <v>26</v>
      </c>
      <c r="F97" s="1165">
        <v>27</v>
      </c>
      <c r="G97" s="1165">
        <v>17</v>
      </c>
      <c r="H97" s="1165">
        <v>7</v>
      </c>
      <c r="I97" s="1165">
        <v>3</v>
      </c>
      <c r="J97" s="1165">
        <v>1</v>
      </c>
      <c r="K97" s="1165">
        <v>0</v>
      </c>
      <c r="L97" s="1165">
        <v>0</v>
      </c>
      <c r="M97" s="1165">
        <v>89</v>
      </c>
      <c r="N97" s="1165">
        <v>100</v>
      </c>
      <c r="O97" s="1183" t="s">
        <v>1153</v>
      </c>
      <c r="P97" s="1183"/>
      <c r="Q97" s="1183"/>
      <c r="R97" s="1183"/>
      <c r="S97" s="1183"/>
      <c r="T97" s="1168"/>
    </row>
    <row r="98" spans="1:20" x14ac:dyDescent="0.35">
      <c r="A98" s="1163" t="s">
        <v>1167</v>
      </c>
      <c r="B98" s="1164" t="s">
        <v>1168</v>
      </c>
      <c r="C98" s="1165">
        <v>0</v>
      </c>
      <c r="D98" s="1165">
        <v>15</v>
      </c>
      <c r="E98" s="1165">
        <v>15</v>
      </c>
      <c r="F98" s="1165">
        <v>15</v>
      </c>
      <c r="G98" s="1165">
        <v>10</v>
      </c>
      <c r="H98" s="1165">
        <v>10</v>
      </c>
      <c r="I98" s="1165">
        <v>10</v>
      </c>
      <c r="J98" s="1165">
        <v>10</v>
      </c>
      <c r="K98" s="1165">
        <v>10</v>
      </c>
      <c r="L98" s="1165">
        <v>5</v>
      </c>
      <c r="M98" s="1165">
        <v>55</v>
      </c>
      <c r="N98" s="1165">
        <v>100</v>
      </c>
      <c r="O98" s="1166" t="s">
        <v>1153</v>
      </c>
      <c r="P98" s="1166"/>
      <c r="Q98" s="1166"/>
      <c r="R98" s="1166"/>
      <c r="S98" s="1166"/>
      <c r="T98" s="1168"/>
    </row>
    <row r="99" spans="1:20" ht="36" customHeight="1" x14ac:dyDescent="0.35">
      <c r="A99" s="1163" t="s">
        <v>1169</v>
      </c>
      <c r="B99" s="1164" t="s">
        <v>1170</v>
      </c>
      <c r="C99" s="1186">
        <v>0</v>
      </c>
      <c r="D99" s="1186">
        <v>22</v>
      </c>
      <c r="E99" s="1186">
        <v>96</v>
      </c>
      <c r="F99" s="1186">
        <v>170</v>
      </c>
      <c r="G99" s="1186">
        <v>213</v>
      </c>
      <c r="H99" s="1186">
        <v>160</v>
      </c>
      <c r="I99" s="1186">
        <v>47</v>
      </c>
      <c r="J99" s="1186">
        <v>2</v>
      </c>
      <c r="K99" s="1186">
        <v>0</v>
      </c>
      <c r="L99" s="1186">
        <v>0</v>
      </c>
      <c r="M99" s="1186">
        <v>501</v>
      </c>
      <c r="N99" s="1186">
        <v>710</v>
      </c>
      <c r="O99" s="1165" t="s">
        <v>1153</v>
      </c>
      <c r="P99" s="1165"/>
      <c r="Q99" s="1165"/>
      <c r="R99" s="1165"/>
      <c r="S99" s="1165"/>
      <c r="T99" s="1168"/>
    </row>
    <row r="100" spans="1:20" ht="36" customHeight="1" x14ac:dyDescent="0.35">
      <c r="A100" s="1163" t="s">
        <v>1171</v>
      </c>
      <c r="B100" s="1164" t="s">
        <v>1172</v>
      </c>
      <c r="C100" s="1187"/>
      <c r="D100" s="1187">
        <v>90</v>
      </c>
      <c r="E100" s="1187">
        <v>260</v>
      </c>
      <c r="F100" s="1187">
        <v>427</v>
      </c>
      <c r="G100" s="1187">
        <v>560</v>
      </c>
      <c r="H100" s="1187">
        <v>572</v>
      </c>
      <c r="I100" s="1187">
        <v>534</v>
      </c>
      <c r="J100" s="1187">
        <v>275</v>
      </c>
      <c r="K100" s="1187">
        <v>162</v>
      </c>
      <c r="L100" s="1187">
        <v>70</v>
      </c>
      <c r="M100" s="1187">
        <v>1347</v>
      </c>
      <c r="N100" s="1187">
        <v>2960</v>
      </c>
      <c r="O100" s="1188" t="s">
        <v>1153</v>
      </c>
      <c r="P100" s="1188"/>
      <c r="Q100" s="1188"/>
      <c r="R100" s="1188"/>
      <c r="S100" s="1188"/>
      <c r="T100" s="1168"/>
    </row>
    <row r="101" spans="1:20" x14ac:dyDescent="0.35">
      <c r="A101" s="1163" t="s">
        <v>1173</v>
      </c>
      <c r="B101" s="1164" t="s">
        <v>1174</v>
      </c>
      <c r="C101" s="1165">
        <v>0</v>
      </c>
      <c r="D101" s="1165">
        <v>40</v>
      </c>
      <c r="E101" s="1165">
        <v>60</v>
      </c>
      <c r="F101" s="1165">
        <v>52</v>
      </c>
      <c r="G101" s="1165">
        <v>40</v>
      </c>
      <c r="H101" s="1165">
        <v>27</v>
      </c>
      <c r="I101" s="1165">
        <v>19</v>
      </c>
      <c r="J101" s="1165">
        <v>10</v>
      </c>
      <c r="K101" s="1165">
        <v>2</v>
      </c>
      <c r="L101" s="1165">
        <v>0</v>
      </c>
      <c r="M101" s="1165">
        <v>192</v>
      </c>
      <c r="N101" s="1165">
        <v>250</v>
      </c>
      <c r="O101" s="1166" t="s">
        <v>1153</v>
      </c>
      <c r="P101" s="1166"/>
      <c r="Q101" s="1166"/>
      <c r="R101" s="1166"/>
      <c r="S101" s="1166"/>
      <c r="T101" s="1168"/>
    </row>
    <row r="102" spans="1:20" x14ac:dyDescent="0.35">
      <c r="A102" s="1180" t="s">
        <v>1175</v>
      </c>
      <c r="B102" s="1181" t="s">
        <v>1176</v>
      </c>
      <c r="C102" s="1165">
        <v>0</v>
      </c>
      <c r="D102" s="1165">
        <v>49</v>
      </c>
      <c r="E102" s="1165">
        <v>62</v>
      </c>
      <c r="F102" s="1165">
        <v>62</v>
      </c>
      <c r="G102" s="1165">
        <v>62</v>
      </c>
      <c r="H102" s="1165">
        <v>63</v>
      </c>
      <c r="I102" s="1165">
        <v>63</v>
      </c>
      <c r="J102" s="1165">
        <v>63</v>
      </c>
      <c r="K102" s="1165">
        <v>64</v>
      </c>
      <c r="L102" s="1165">
        <v>12</v>
      </c>
      <c r="M102" s="1165">
        <v>235</v>
      </c>
      <c r="N102" s="1165">
        <v>500</v>
      </c>
      <c r="O102" s="1166" t="s">
        <v>1153</v>
      </c>
      <c r="P102" s="1166"/>
      <c r="Q102" s="1166"/>
      <c r="R102" s="1166"/>
      <c r="S102" s="1166"/>
      <c r="T102" s="1168"/>
    </row>
    <row r="103" spans="1:20" x14ac:dyDescent="0.35">
      <c r="A103" s="1163" t="s">
        <v>1177</v>
      </c>
      <c r="B103" s="1164" t="s">
        <v>1178</v>
      </c>
      <c r="C103" s="1165">
        <v>0</v>
      </c>
      <c r="D103" s="1165">
        <v>0</v>
      </c>
      <c r="E103" s="1165">
        <v>0</v>
      </c>
      <c r="F103" s="1165">
        <v>0</v>
      </c>
      <c r="G103" s="1165">
        <v>-20</v>
      </c>
      <c r="H103" s="1165">
        <v>-28</v>
      </c>
      <c r="I103" s="1165">
        <v>-28</v>
      </c>
      <c r="J103" s="1165">
        <v>-28</v>
      </c>
      <c r="K103" s="1165">
        <v>-28</v>
      </c>
      <c r="L103" s="1165">
        <v>-28</v>
      </c>
      <c r="M103" s="1165">
        <v>-20</v>
      </c>
      <c r="N103" s="1165">
        <v>-160</v>
      </c>
      <c r="O103" s="1166" t="s">
        <v>1153</v>
      </c>
      <c r="P103" s="1166"/>
      <c r="Q103" s="1166"/>
      <c r="R103" s="1166"/>
      <c r="S103" s="1166"/>
      <c r="T103" s="1168"/>
    </row>
    <row r="104" spans="1:20" ht="24" customHeight="1" x14ac:dyDescent="0.35">
      <c r="A104" s="1163" t="s">
        <v>1179</v>
      </c>
      <c r="B104" s="1164" t="s">
        <v>1180</v>
      </c>
      <c r="C104" s="1165">
        <v>0</v>
      </c>
      <c r="D104" s="1165">
        <v>-235</v>
      </c>
      <c r="E104" s="1165">
        <v>-44</v>
      </c>
      <c r="F104" s="1165">
        <v>-22</v>
      </c>
      <c r="G104" s="1165">
        <v>-26</v>
      </c>
      <c r="H104" s="1165">
        <v>-23</v>
      </c>
      <c r="I104" s="1165">
        <v>-19</v>
      </c>
      <c r="J104" s="1165">
        <v>-41</v>
      </c>
      <c r="K104" s="1165">
        <v>-35</v>
      </c>
      <c r="L104" s="1165">
        <v>-39</v>
      </c>
      <c r="M104" s="1165">
        <v>-327</v>
      </c>
      <c r="N104" s="1165">
        <v>-484</v>
      </c>
      <c r="O104" s="1166" t="s">
        <v>1153</v>
      </c>
      <c r="P104" s="1166"/>
      <c r="Q104" s="1166"/>
      <c r="R104" s="1166"/>
      <c r="S104" s="1166"/>
      <c r="T104" s="1168"/>
    </row>
    <row r="105" spans="1:20" x14ac:dyDescent="0.35">
      <c r="A105" s="1163" t="s">
        <v>1181</v>
      </c>
      <c r="B105" s="1164" t="s">
        <v>1182</v>
      </c>
      <c r="C105" s="1165">
        <v>0</v>
      </c>
      <c r="D105" s="1165">
        <v>7</v>
      </c>
      <c r="E105" s="1165">
        <v>8</v>
      </c>
      <c r="F105" s="1165">
        <v>6</v>
      </c>
      <c r="G105" s="1165">
        <v>2</v>
      </c>
      <c r="H105" s="1165">
        <v>1</v>
      </c>
      <c r="I105" s="1165">
        <v>0</v>
      </c>
      <c r="J105" s="1165">
        <v>0</v>
      </c>
      <c r="K105" s="1165">
        <v>0</v>
      </c>
      <c r="L105" s="1165">
        <v>0</v>
      </c>
      <c r="M105" s="1165">
        <v>23</v>
      </c>
      <c r="N105" s="1165">
        <v>24</v>
      </c>
      <c r="O105" s="1166" t="s">
        <v>1153</v>
      </c>
      <c r="P105" s="1166"/>
      <c r="Q105" s="1166"/>
      <c r="R105" s="1166"/>
      <c r="S105" s="1166"/>
      <c r="T105" s="1168"/>
    </row>
    <row r="106" spans="1:20" ht="36" customHeight="1" x14ac:dyDescent="0.35">
      <c r="A106" s="1163" t="s">
        <v>1183</v>
      </c>
      <c r="B106" s="1164" t="s">
        <v>1184</v>
      </c>
      <c r="C106" s="1165">
        <v>0</v>
      </c>
      <c r="D106" s="1165">
        <v>50</v>
      </c>
      <c r="E106" s="1165">
        <v>77</v>
      </c>
      <c r="F106" s="1165">
        <v>87</v>
      </c>
      <c r="G106" s="1165">
        <v>81</v>
      </c>
      <c r="H106" s="1165">
        <v>50</v>
      </c>
      <c r="I106" s="1165">
        <v>30</v>
      </c>
      <c r="J106" s="1165">
        <v>10</v>
      </c>
      <c r="K106" s="1165">
        <v>0</v>
      </c>
      <c r="L106" s="1165">
        <v>0</v>
      </c>
      <c r="M106" s="1165">
        <v>295</v>
      </c>
      <c r="N106" s="1165">
        <v>385</v>
      </c>
      <c r="O106" s="1166" t="s">
        <v>1153</v>
      </c>
      <c r="P106" s="1166"/>
      <c r="Q106" s="1166"/>
      <c r="R106" s="1166"/>
      <c r="S106" s="1166"/>
      <c r="T106" s="1168"/>
    </row>
    <row r="107" spans="1:20" x14ac:dyDescent="0.35">
      <c r="A107" s="1180" t="s">
        <v>1185</v>
      </c>
      <c r="B107" s="1181" t="s">
        <v>1186</v>
      </c>
      <c r="C107" s="1165">
        <v>0</v>
      </c>
      <c r="D107" s="1165">
        <v>3</v>
      </c>
      <c r="E107" s="1165">
        <v>2</v>
      </c>
      <c r="F107" s="1165">
        <v>0</v>
      </c>
      <c r="G107" s="1165">
        <v>0</v>
      </c>
      <c r="H107" s="1165">
        <v>0</v>
      </c>
      <c r="I107" s="1165">
        <v>0</v>
      </c>
      <c r="J107" s="1165">
        <v>0</v>
      </c>
      <c r="K107" s="1165">
        <v>0</v>
      </c>
      <c r="L107" s="1165">
        <v>0</v>
      </c>
      <c r="M107" s="1165">
        <v>5</v>
      </c>
      <c r="N107" s="1165">
        <v>5</v>
      </c>
      <c r="O107" s="1166" t="s">
        <v>1187</v>
      </c>
      <c r="P107" s="1166"/>
      <c r="Q107" s="1166"/>
      <c r="R107" s="1166"/>
      <c r="S107" s="1166"/>
      <c r="T107" s="1168"/>
    </row>
    <row r="108" spans="1:20" x14ac:dyDescent="0.35">
      <c r="A108" s="1180" t="s">
        <v>1188</v>
      </c>
      <c r="B108" s="1181" t="s">
        <v>1189</v>
      </c>
      <c r="C108" s="1165">
        <v>0</v>
      </c>
      <c r="D108" s="1165">
        <v>70</v>
      </c>
      <c r="E108" s="1165">
        <v>80</v>
      </c>
      <c r="F108" s="1165">
        <v>62</v>
      </c>
      <c r="G108" s="1165">
        <v>25</v>
      </c>
      <c r="H108" s="1165">
        <v>13</v>
      </c>
      <c r="I108" s="1165">
        <v>0</v>
      </c>
      <c r="J108" s="1165">
        <v>0</v>
      </c>
      <c r="K108" s="1165">
        <v>0</v>
      </c>
      <c r="L108" s="1165">
        <v>0</v>
      </c>
      <c r="M108" s="1165">
        <v>237</v>
      </c>
      <c r="N108" s="1165">
        <v>250</v>
      </c>
      <c r="O108" s="1166" t="s">
        <v>1187</v>
      </c>
      <c r="P108" s="1166"/>
      <c r="Q108" s="1166"/>
      <c r="R108" s="1166"/>
      <c r="S108" s="1166"/>
      <c r="T108" s="1168"/>
    </row>
    <row r="109" spans="1:20" ht="24" customHeight="1" x14ac:dyDescent="0.35">
      <c r="A109" s="1180" t="s">
        <v>1190</v>
      </c>
      <c r="B109" s="1181" t="s">
        <v>1191</v>
      </c>
      <c r="C109" s="1184">
        <v>0</v>
      </c>
      <c r="D109" s="1184">
        <v>33</v>
      </c>
      <c r="E109" s="1184">
        <v>54</v>
      </c>
      <c r="F109" s="1184">
        <v>37</v>
      </c>
      <c r="G109" s="1184">
        <v>16</v>
      </c>
      <c r="H109" s="1184">
        <v>0</v>
      </c>
      <c r="I109" s="1184">
        <v>0</v>
      </c>
      <c r="J109" s="1184">
        <v>0</v>
      </c>
      <c r="K109" s="1184">
        <v>0</v>
      </c>
      <c r="L109" s="1184">
        <v>0</v>
      </c>
      <c r="M109" s="1184">
        <v>140</v>
      </c>
      <c r="N109" s="1184">
        <v>140</v>
      </c>
      <c r="O109" s="1166" t="s">
        <v>1153</v>
      </c>
      <c r="P109" s="1166"/>
      <c r="Q109" s="1166"/>
      <c r="R109" s="1166"/>
      <c r="S109" s="1166"/>
      <c r="T109" s="1168"/>
    </row>
    <row r="110" spans="1:20" x14ac:dyDescent="0.35">
      <c r="A110" s="1163" t="s">
        <v>1192</v>
      </c>
      <c r="B110" s="1164" t="s">
        <v>1193</v>
      </c>
      <c r="C110" s="1165">
        <v>0</v>
      </c>
      <c r="D110" s="1165">
        <v>40</v>
      </c>
      <c r="E110" s="1165">
        <v>40</v>
      </c>
      <c r="F110" s="1165">
        <v>30</v>
      </c>
      <c r="G110" s="1165">
        <v>10</v>
      </c>
      <c r="H110" s="1165">
        <v>5</v>
      </c>
      <c r="I110" s="1165">
        <v>0</v>
      </c>
      <c r="J110" s="1165">
        <v>0</v>
      </c>
      <c r="K110" s="1165">
        <v>0</v>
      </c>
      <c r="L110" s="1165">
        <v>0</v>
      </c>
      <c r="M110" s="1165">
        <v>120</v>
      </c>
      <c r="N110" s="1165">
        <v>125</v>
      </c>
      <c r="O110" s="1166" t="s">
        <v>1153</v>
      </c>
      <c r="P110" s="1166"/>
      <c r="Q110" s="1166"/>
      <c r="R110" s="1166"/>
      <c r="S110" s="1166"/>
      <c r="T110" s="1168"/>
    </row>
    <row r="111" spans="1:20" x14ac:dyDescent="0.35">
      <c r="A111" s="1180" t="s">
        <v>1194</v>
      </c>
      <c r="B111" s="1164" t="s">
        <v>1195</v>
      </c>
      <c r="C111" s="1165">
        <v>0</v>
      </c>
      <c r="D111" s="1165">
        <v>5</v>
      </c>
      <c r="E111" s="1165">
        <v>8</v>
      </c>
      <c r="F111" s="1165">
        <v>8</v>
      </c>
      <c r="G111" s="1165">
        <v>8</v>
      </c>
      <c r="H111" s="1165">
        <v>4</v>
      </c>
      <c r="I111" s="1165">
        <v>0</v>
      </c>
      <c r="J111" s="1165">
        <v>0</v>
      </c>
      <c r="K111" s="1165">
        <v>0</v>
      </c>
      <c r="L111" s="1165">
        <v>0</v>
      </c>
      <c r="M111" s="1165">
        <v>29</v>
      </c>
      <c r="N111" s="1165">
        <v>33</v>
      </c>
      <c r="O111" s="1166" t="s">
        <v>1153</v>
      </c>
      <c r="P111" s="1166"/>
      <c r="Q111" s="1166"/>
      <c r="R111" s="1166"/>
      <c r="S111" s="1166"/>
      <c r="T111" s="1168"/>
    </row>
    <row r="112" spans="1:20" x14ac:dyDescent="0.35">
      <c r="A112" s="1163" t="s">
        <v>1196</v>
      </c>
      <c r="B112" s="1181" t="s">
        <v>1197</v>
      </c>
      <c r="C112" s="1165">
        <v>0</v>
      </c>
      <c r="D112" s="1165">
        <v>3</v>
      </c>
      <c r="E112" s="1165">
        <v>8</v>
      </c>
      <c r="F112" s="1165">
        <v>8</v>
      </c>
      <c r="G112" s="1165">
        <v>8</v>
      </c>
      <c r="H112" s="1165">
        <v>3</v>
      </c>
      <c r="I112" s="1165">
        <v>0</v>
      </c>
      <c r="J112" s="1165">
        <v>0</v>
      </c>
      <c r="K112" s="1165">
        <v>0</v>
      </c>
      <c r="L112" s="1165">
        <v>0</v>
      </c>
      <c r="M112" s="1165">
        <v>27</v>
      </c>
      <c r="N112" s="1165">
        <v>30</v>
      </c>
      <c r="O112" s="1166" t="s">
        <v>1153</v>
      </c>
      <c r="P112" s="1166"/>
      <c r="Q112" s="1166"/>
      <c r="R112" s="1166"/>
      <c r="S112" s="1166"/>
      <c r="T112" s="1168"/>
    </row>
    <row r="113" spans="1:20" ht="24" customHeight="1" x14ac:dyDescent="0.35">
      <c r="A113" s="1163" t="s">
        <v>1198</v>
      </c>
      <c r="B113" s="1164" t="s">
        <v>1199</v>
      </c>
      <c r="C113" s="1184">
        <v>0</v>
      </c>
      <c r="D113" s="1184">
        <v>165</v>
      </c>
      <c r="E113" s="1184">
        <v>165</v>
      </c>
      <c r="F113" s="1184">
        <v>230</v>
      </c>
      <c r="G113" s="1184">
        <v>340</v>
      </c>
      <c r="H113" s="1184">
        <v>490</v>
      </c>
      <c r="I113" s="1184">
        <v>540</v>
      </c>
      <c r="J113" s="1184">
        <v>640</v>
      </c>
      <c r="K113" s="1184">
        <v>475</v>
      </c>
      <c r="L113" s="1184">
        <v>330</v>
      </c>
      <c r="M113" s="1184">
        <v>900</v>
      </c>
      <c r="N113" s="1184">
        <v>3375</v>
      </c>
      <c r="O113" s="1183" t="s">
        <v>1153</v>
      </c>
      <c r="P113" s="1183"/>
      <c r="Q113" s="1183"/>
      <c r="R113" s="1183"/>
      <c r="S113" s="1183"/>
      <c r="T113" s="1168"/>
    </row>
    <row r="114" spans="1:20" ht="24" customHeight="1" x14ac:dyDescent="0.35">
      <c r="A114" s="1189" t="s">
        <v>1169</v>
      </c>
      <c r="B114" s="1190" t="s">
        <v>1200</v>
      </c>
      <c r="C114" s="1165">
        <v>0</v>
      </c>
      <c r="D114" s="1165">
        <v>195</v>
      </c>
      <c r="E114" s="1165">
        <v>448</v>
      </c>
      <c r="F114" s="1165">
        <v>641</v>
      </c>
      <c r="G114" s="1165">
        <v>716</v>
      </c>
      <c r="H114" s="1165">
        <v>681</v>
      </c>
      <c r="I114" s="1165">
        <v>528</v>
      </c>
      <c r="J114" s="1165">
        <v>421</v>
      </c>
      <c r="K114" s="1165">
        <v>323</v>
      </c>
      <c r="L114" s="1165">
        <v>23</v>
      </c>
      <c r="M114" s="1182">
        <v>2000</v>
      </c>
      <c r="N114" s="1182">
        <v>3976</v>
      </c>
      <c r="O114" s="1183" t="s">
        <v>1153</v>
      </c>
      <c r="P114" s="1183"/>
      <c r="Q114" s="1183"/>
      <c r="R114" s="1183"/>
      <c r="S114" s="1183"/>
      <c r="T114" s="1191"/>
    </row>
    <row r="115" spans="1:20" ht="30" customHeight="1" x14ac:dyDescent="0.35">
      <c r="A115" s="1175" t="s">
        <v>1201</v>
      </c>
      <c r="B115" s="1176" t="s">
        <v>1202</v>
      </c>
      <c r="C115" s="1192">
        <v>0</v>
      </c>
      <c r="D115" s="1192">
        <v>20</v>
      </c>
      <c r="E115" s="1192">
        <v>57</v>
      </c>
      <c r="F115" s="1192">
        <v>96</v>
      </c>
      <c r="G115" s="1192">
        <v>150</v>
      </c>
      <c r="H115" s="1192">
        <v>200</v>
      </c>
      <c r="I115" s="1192">
        <v>185</v>
      </c>
      <c r="J115" s="1192">
        <v>147</v>
      </c>
      <c r="K115" s="1192">
        <v>106</v>
      </c>
      <c r="L115" s="1192">
        <v>39</v>
      </c>
      <c r="M115" s="1192">
        <v>323</v>
      </c>
      <c r="N115" s="1193">
        <v>1000</v>
      </c>
      <c r="O115" s="1194" t="s">
        <v>1203</v>
      </c>
      <c r="P115" s="1224"/>
      <c r="Q115" s="1224"/>
      <c r="R115" s="1224"/>
      <c r="S115" s="1224"/>
      <c r="T115" s="1195" t="s">
        <v>1204</v>
      </c>
    </row>
    <row r="116" spans="1:20" x14ac:dyDescent="0.35">
      <c r="A116" s="1180" t="s">
        <v>1205</v>
      </c>
      <c r="B116" s="1164" t="s">
        <v>1206</v>
      </c>
      <c r="C116" s="1165">
        <v>0</v>
      </c>
      <c r="D116" s="1165">
        <v>15</v>
      </c>
      <c r="E116" s="1165">
        <v>53</v>
      </c>
      <c r="F116" s="1165">
        <v>57</v>
      </c>
      <c r="G116" s="1165">
        <v>48</v>
      </c>
      <c r="H116" s="1165">
        <v>43</v>
      </c>
      <c r="I116" s="1165">
        <v>17</v>
      </c>
      <c r="J116" s="1165">
        <v>2</v>
      </c>
      <c r="K116" s="1165">
        <v>0</v>
      </c>
      <c r="L116" s="1165">
        <v>0</v>
      </c>
      <c r="M116" s="1165">
        <v>173</v>
      </c>
      <c r="N116" s="1165">
        <v>235</v>
      </c>
      <c r="O116" s="1166" t="s">
        <v>1207</v>
      </c>
      <c r="P116" s="1166"/>
      <c r="Q116" s="1166"/>
      <c r="R116" s="1166"/>
      <c r="S116" s="1166"/>
      <c r="T116" s="1167" t="s">
        <v>1208</v>
      </c>
    </row>
    <row r="117" spans="1:20" x14ac:dyDescent="0.35">
      <c r="A117" s="1163" t="s">
        <v>1209</v>
      </c>
      <c r="B117" s="1164" t="s">
        <v>1210</v>
      </c>
      <c r="C117" s="1165">
        <v>0</v>
      </c>
      <c r="D117" s="1165">
        <v>15</v>
      </c>
      <c r="E117" s="1165">
        <v>53</v>
      </c>
      <c r="F117" s="1165">
        <v>57</v>
      </c>
      <c r="G117" s="1165">
        <v>48</v>
      </c>
      <c r="H117" s="1165">
        <v>43</v>
      </c>
      <c r="I117" s="1165">
        <v>17</v>
      </c>
      <c r="J117" s="1165">
        <v>2</v>
      </c>
      <c r="K117" s="1165">
        <v>0</v>
      </c>
      <c r="L117" s="1165">
        <v>0</v>
      </c>
      <c r="M117" s="1165">
        <v>173</v>
      </c>
      <c r="N117" s="1165">
        <v>235</v>
      </c>
      <c r="O117" s="1166" t="s">
        <v>1207</v>
      </c>
      <c r="P117" s="1166"/>
      <c r="Q117" s="1166"/>
      <c r="R117" s="1166"/>
      <c r="S117" s="1166"/>
      <c r="T117" s="1167" t="s">
        <v>1208</v>
      </c>
    </row>
    <row r="118" spans="1:20" x14ac:dyDescent="0.35">
      <c r="A118" s="1180" t="s">
        <v>1211</v>
      </c>
      <c r="B118" s="1181" t="s">
        <v>1212</v>
      </c>
      <c r="C118" s="1165">
        <v>0</v>
      </c>
      <c r="D118" s="1165">
        <v>42</v>
      </c>
      <c r="E118" s="1165">
        <v>18</v>
      </c>
      <c r="F118" s="1165">
        <v>0</v>
      </c>
      <c r="G118" s="1165">
        <v>0</v>
      </c>
      <c r="H118" s="1165">
        <v>0</v>
      </c>
      <c r="I118" s="1165">
        <v>0</v>
      </c>
      <c r="J118" s="1165">
        <v>0</v>
      </c>
      <c r="K118" s="1165">
        <v>0</v>
      </c>
      <c r="L118" s="1165">
        <v>0</v>
      </c>
      <c r="M118" s="1165">
        <v>60</v>
      </c>
      <c r="N118" s="1165">
        <v>60</v>
      </c>
      <c r="O118" s="1166" t="s">
        <v>1203</v>
      </c>
      <c r="P118" s="1166"/>
      <c r="Q118" s="1166"/>
      <c r="R118" s="1166"/>
      <c r="S118" s="1166"/>
      <c r="T118" s="1168" t="s">
        <v>1213</v>
      </c>
    </row>
    <row r="119" spans="1:20" x14ac:dyDescent="0.35">
      <c r="A119" s="1163" t="s">
        <v>1214</v>
      </c>
      <c r="B119" s="1164" t="s">
        <v>1215</v>
      </c>
      <c r="C119" s="1165">
        <v>0</v>
      </c>
      <c r="D119" s="1165">
        <v>2</v>
      </c>
      <c r="E119" s="1165">
        <v>13</v>
      </c>
      <c r="F119" s="1165">
        <v>26</v>
      </c>
      <c r="G119" s="1165">
        <v>30</v>
      </c>
      <c r="H119" s="1165">
        <v>24</v>
      </c>
      <c r="I119" s="1165">
        <v>0</v>
      </c>
      <c r="J119" s="1165">
        <v>0</v>
      </c>
      <c r="K119" s="1165">
        <v>0</v>
      </c>
      <c r="L119" s="1165">
        <v>0</v>
      </c>
      <c r="M119" s="1165">
        <v>71</v>
      </c>
      <c r="N119" s="1165">
        <v>95</v>
      </c>
      <c r="O119" s="1166" t="s">
        <v>1203</v>
      </c>
      <c r="P119" s="1166"/>
      <c r="Q119" s="1166"/>
      <c r="R119" s="1166"/>
      <c r="S119" s="1166"/>
      <c r="T119" s="1167" t="s">
        <v>1216</v>
      </c>
    </row>
    <row r="120" spans="1:20" ht="36" customHeight="1" x14ac:dyDescent="0.35">
      <c r="A120" s="1163" t="s">
        <v>1217</v>
      </c>
      <c r="B120" s="1164" t="s">
        <v>1218</v>
      </c>
      <c r="C120" s="1165">
        <v>0</v>
      </c>
      <c r="D120" s="1165">
        <v>3</v>
      </c>
      <c r="E120" s="1165">
        <v>19</v>
      </c>
      <c r="F120" s="1165">
        <v>67</v>
      </c>
      <c r="G120" s="1165">
        <v>86</v>
      </c>
      <c r="H120" s="1165">
        <v>59</v>
      </c>
      <c r="I120" s="1165">
        <v>35</v>
      </c>
      <c r="J120" s="1165">
        <v>19</v>
      </c>
      <c r="K120" s="1165">
        <v>6</v>
      </c>
      <c r="L120" s="1165">
        <v>0</v>
      </c>
      <c r="M120" s="1165">
        <v>175</v>
      </c>
      <c r="N120" s="1165">
        <v>294</v>
      </c>
      <c r="O120" s="1166" t="s">
        <v>1203</v>
      </c>
      <c r="P120" s="1166"/>
      <c r="Q120" s="1166"/>
      <c r="R120" s="1166"/>
      <c r="S120" s="1166"/>
      <c r="T120" s="1191" t="s">
        <v>1219</v>
      </c>
    </row>
    <row r="121" spans="1:20" x14ac:dyDescent="0.35">
      <c r="A121" s="1163" t="s">
        <v>1220</v>
      </c>
      <c r="B121" s="1164" t="s">
        <v>1221</v>
      </c>
      <c r="C121" s="1165">
        <v>0</v>
      </c>
      <c r="D121" s="1165">
        <v>65</v>
      </c>
      <c r="E121" s="1165">
        <v>150</v>
      </c>
      <c r="F121" s="1165">
        <v>290</v>
      </c>
      <c r="G121" s="1165">
        <v>290</v>
      </c>
      <c r="H121" s="1165">
        <v>290</v>
      </c>
      <c r="I121" s="1165">
        <v>285</v>
      </c>
      <c r="J121" s="1165">
        <v>250</v>
      </c>
      <c r="K121" s="1165">
        <v>220</v>
      </c>
      <c r="L121" s="1165">
        <v>160</v>
      </c>
      <c r="M121" s="1165">
        <v>795</v>
      </c>
      <c r="N121" s="1182">
        <v>2000</v>
      </c>
      <c r="O121" s="1166" t="s">
        <v>1203</v>
      </c>
      <c r="P121" s="1166"/>
      <c r="Q121" s="1166"/>
      <c r="R121" s="1166"/>
      <c r="S121" s="1166"/>
      <c r="T121" s="1168"/>
    </row>
    <row r="122" spans="1:20" x14ac:dyDescent="0.35">
      <c r="A122" s="1163" t="s">
        <v>1222</v>
      </c>
      <c r="B122" s="1164" t="s">
        <v>1223</v>
      </c>
      <c r="C122" s="1165">
        <v>0</v>
      </c>
      <c r="D122" s="1165">
        <v>5</v>
      </c>
      <c r="E122" s="1165">
        <v>20</v>
      </c>
      <c r="F122" s="1165">
        <v>65</v>
      </c>
      <c r="G122" s="1165">
        <v>105</v>
      </c>
      <c r="H122" s="1165">
        <v>140</v>
      </c>
      <c r="I122" s="1165">
        <v>175</v>
      </c>
      <c r="J122" s="1165">
        <v>210</v>
      </c>
      <c r="K122" s="1165">
        <v>150</v>
      </c>
      <c r="L122" s="1165">
        <v>35</v>
      </c>
      <c r="M122" s="1165">
        <v>195</v>
      </c>
      <c r="N122" s="1165">
        <v>905</v>
      </c>
      <c r="O122" s="1196" t="s">
        <v>1203</v>
      </c>
      <c r="P122" s="1196"/>
      <c r="Q122" s="1196"/>
      <c r="R122" s="1196"/>
      <c r="S122" s="1196"/>
      <c r="T122" s="1197"/>
    </row>
    <row r="123" spans="1:20" x14ac:dyDescent="0.35">
      <c r="A123" s="1163" t="s">
        <v>1224</v>
      </c>
      <c r="B123" s="1164" t="s">
        <v>1225</v>
      </c>
      <c r="C123" s="1165">
        <v>0</v>
      </c>
      <c r="D123" s="1165">
        <v>10</v>
      </c>
      <c r="E123" s="1165">
        <v>150</v>
      </c>
      <c r="F123" s="1165">
        <v>300</v>
      </c>
      <c r="G123" s="1165">
        <v>590</v>
      </c>
      <c r="H123" s="1165">
        <v>460</v>
      </c>
      <c r="I123" s="1165">
        <v>295</v>
      </c>
      <c r="J123" s="1165">
        <v>195</v>
      </c>
      <c r="K123" s="1165">
        <v>0</v>
      </c>
      <c r="L123" s="1165">
        <v>0</v>
      </c>
      <c r="M123" s="1182">
        <v>1050</v>
      </c>
      <c r="N123" s="1182">
        <v>2000</v>
      </c>
      <c r="O123" s="1166" t="s">
        <v>1203</v>
      </c>
      <c r="P123" s="1166"/>
      <c r="Q123" s="1166"/>
      <c r="R123" s="1166"/>
      <c r="S123" s="1166"/>
      <c r="T123" s="1168"/>
    </row>
    <row r="124" spans="1:20" x14ac:dyDescent="0.35">
      <c r="A124" s="1163" t="s">
        <v>1226</v>
      </c>
      <c r="B124" s="1164" t="s">
        <v>1227</v>
      </c>
      <c r="C124" s="1165"/>
      <c r="D124" s="1165"/>
      <c r="E124" s="1165"/>
      <c r="F124" s="1165"/>
      <c r="G124" s="1165"/>
      <c r="H124" s="1165"/>
      <c r="I124" s="1165"/>
      <c r="J124" s="1165"/>
      <c r="K124" s="1165"/>
      <c r="L124" s="1165"/>
      <c r="M124" s="1165"/>
      <c r="N124" s="1165"/>
      <c r="O124" s="1166"/>
      <c r="P124" s="1166"/>
      <c r="Q124" s="1166"/>
      <c r="R124" s="1166"/>
      <c r="S124" s="1166"/>
      <c r="T124" s="1168"/>
    </row>
    <row r="125" spans="1:20" ht="24" customHeight="1" x14ac:dyDescent="0.35">
      <c r="A125" s="1180" t="s">
        <v>1228</v>
      </c>
      <c r="B125" s="1181" t="s">
        <v>1229</v>
      </c>
      <c r="C125" s="1184">
        <v>0</v>
      </c>
      <c r="D125" s="1184">
        <v>72</v>
      </c>
      <c r="E125" s="1184">
        <v>123</v>
      </c>
      <c r="F125" s="1184">
        <v>122</v>
      </c>
      <c r="G125" s="1184">
        <v>115</v>
      </c>
      <c r="H125" s="1184">
        <v>55</v>
      </c>
      <c r="I125" s="1184">
        <v>55</v>
      </c>
      <c r="J125" s="1184">
        <v>33</v>
      </c>
      <c r="K125" s="1184">
        <v>0</v>
      </c>
      <c r="L125" s="1184">
        <v>0</v>
      </c>
      <c r="M125" s="1184">
        <v>432</v>
      </c>
      <c r="N125" s="1184">
        <v>575</v>
      </c>
      <c r="O125" s="1165" t="s">
        <v>1203</v>
      </c>
      <c r="P125" s="1165"/>
      <c r="Q125" s="1165"/>
      <c r="R125" s="1165"/>
      <c r="S125" s="1165"/>
      <c r="T125" s="1168"/>
    </row>
    <row r="126" spans="1:20" x14ac:dyDescent="0.35">
      <c r="A126" s="1163" t="s">
        <v>1230</v>
      </c>
      <c r="B126" s="1164" t="s">
        <v>1231</v>
      </c>
      <c r="C126" s="1165">
        <v>0</v>
      </c>
      <c r="D126" s="1165">
        <v>1</v>
      </c>
      <c r="E126" s="1165">
        <v>2</v>
      </c>
      <c r="F126" s="1165">
        <v>2</v>
      </c>
      <c r="G126" s="1165">
        <v>2</v>
      </c>
      <c r="H126" s="1165">
        <v>2</v>
      </c>
      <c r="I126" s="1165">
        <v>2</v>
      </c>
      <c r="J126" s="1165">
        <v>2</v>
      </c>
      <c r="K126" s="1165">
        <v>2</v>
      </c>
      <c r="L126" s="1165">
        <v>1</v>
      </c>
      <c r="M126" s="1165">
        <v>7</v>
      </c>
      <c r="N126" s="1165">
        <v>16</v>
      </c>
      <c r="O126" s="1166" t="s">
        <v>1203</v>
      </c>
      <c r="P126" s="1166"/>
      <c r="Q126" s="1166"/>
      <c r="R126" s="1166"/>
      <c r="S126" s="1166"/>
      <c r="T126" s="1168"/>
    </row>
    <row r="127" spans="1:20" x14ac:dyDescent="0.35">
      <c r="A127" s="1163" t="s">
        <v>1232</v>
      </c>
      <c r="B127" s="1164" t="s">
        <v>1233</v>
      </c>
      <c r="C127" s="1165">
        <v>0</v>
      </c>
      <c r="D127" s="1165">
        <v>49</v>
      </c>
      <c r="E127" s="1165">
        <v>190</v>
      </c>
      <c r="F127" s="1165">
        <v>379</v>
      </c>
      <c r="G127" s="1165">
        <v>531</v>
      </c>
      <c r="H127" s="1165">
        <v>619</v>
      </c>
      <c r="I127" s="1165">
        <v>580</v>
      </c>
      <c r="J127" s="1165">
        <v>387</v>
      </c>
      <c r="K127" s="1165">
        <v>196</v>
      </c>
      <c r="L127" s="1165">
        <v>69</v>
      </c>
      <c r="M127" s="1182">
        <v>1149</v>
      </c>
      <c r="N127" s="1182">
        <v>3000</v>
      </c>
      <c r="O127" s="1166" t="s">
        <v>1203</v>
      </c>
      <c r="P127" s="1166"/>
      <c r="Q127" s="1166"/>
      <c r="R127" s="1166"/>
      <c r="S127" s="1166"/>
      <c r="T127" s="1168"/>
    </row>
    <row r="128" spans="1:20" x14ac:dyDescent="0.35">
      <c r="A128" s="1180" t="s">
        <v>1234</v>
      </c>
      <c r="B128" s="1181" t="s">
        <v>1235</v>
      </c>
      <c r="C128" s="1165">
        <v>0</v>
      </c>
      <c r="D128" s="1165">
        <v>22</v>
      </c>
      <c r="E128" s="1165">
        <v>22</v>
      </c>
      <c r="F128" s="1165">
        <v>6</v>
      </c>
      <c r="G128" s="1165">
        <v>0</v>
      </c>
      <c r="H128" s="1165">
        <v>0</v>
      </c>
      <c r="I128" s="1165">
        <v>0</v>
      </c>
      <c r="J128" s="1165">
        <v>0</v>
      </c>
      <c r="K128" s="1165">
        <v>0</v>
      </c>
      <c r="L128" s="1165">
        <v>0</v>
      </c>
      <c r="M128" s="1165">
        <v>50</v>
      </c>
      <c r="N128" s="1165">
        <v>50</v>
      </c>
      <c r="O128" s="1166" t="s">
        <v>1203</v>
      </c>
      <c r="P128" s="1166"/>
      <c r="Q128" s="1166"/>
      <c r="R128" s="1166"/>
      <c r="S128" s="1166"/>
      <c r="T128" s="1167"/>
    </row>
    <row r="129" spans="1:20" x14ac:dyDescent="0.35">
      <c r="A129" s="1163" t="s">
        <v>1236</v>
      </c>
      <c r="B129" s="1164" t="s">
        <v>1237</v>
      </c>
      <c r="C129" s="1165">
        <v>0</v>
      </c>
      <c r="D129" s="1165">
        <v>30</v>
      </c>
      <c r="E129" s="1165">
        <v>30</v>
      </c>
      <c r="F129" s="1165">
        <v>40</v>
      </c>
      <c r="G129" s="1165">
        <v>15</v>
      </c>
      <c r="H129" s="1165">
        <v>5</v>
      </c>
      <c r="I129" s="1165">
        <v>5</v>
      </c>
      <c r="J129" s="1165">
        <v>0</v>
      </c>
      <c r="K129" s="1165">
        <v>0</v>
      </c>
      <c r="L129" s="1165">
        <v>0</v>
      </c>
      <c r="M129" s="1165">
        <v>115</v>
      </c>
      <c r="N129" s="1165">
        <v>125</v>
      </c>
      <c r="O129" s="1166" t="s">
        <v>1203</v>
      </c>
      <c r="P129" s="1166"/>
      <c r="Q129" s="1166"/>
      <c r="R129" s="1166"/>
      <c r="S129" s="1166"/>
      <c r="T129" s="1168"/>
    </row>
    <row r="130" spans="1:20" x14ac:dyDescent="0.35">
      <c r="A130" s="1163" t="s">
        <v>1238</v>
      </c>
      <c r="B130" s="1164" t="s">
        <v>1239</v>
      </c>
      <c r="C130" s="1165">
        <v>0</v>
      </c>
      <c r="D130" s="1165">
        <v>10</v>
      </c>
      <c r="E130" s="1165">
        <v>230</v>
      </c>
      <c r="F130" s="1165">
        <v>660</v>
      </c>
      <c r="G130" s="1165">
        <v>945</v>
      </c>
      <c r="H130" s="1165">
        <v>605</v>
      </c>
      <c r="I130" s="1165">
        <v>100</v>
      </c>
      <c r="J130" s="1165">
        <v>0</v>
      </c>
      <c r="K130" s="1165">
        <v>0</v>
      </c>
      <c r="L130" s="1165">
        <v>0</v>
      </c>
      <c r="M130" s="1182">
        <v>1845</v>
      </c>
      <c r="N130" s="1182">
        <v>2550</v>
      </c>
      <c r="O130" s="1166" t="s">
        <v>1203</v>
      </c>
      <c r="P130" s="1166"/>
      <c r="Q130" s="1166"/>
      <c r="R130" s="1166"/>
      <c r="S130" s="1166"/>
      <c r="T130" s="1168"/>
    </row>
    <row r="131" spans="1:20" x14ac:dyDescent="0.35">
      <c r="A131" s="1163" t="s">
        <v>1240</v>
      </c>
      <c r="B131" s="1164" t="s">
        <v>1241</v>
      </c>
      <c r="C131" s="1165">
        <v>0</v>
      </c>
      <c r="D131" s="1165">
        <v>10</v>
      </c>
      <c r="E131" s="1165">
        <v>45</v>
      </c>
      <c r="F131" s="1165">
        <v>70</v>
      </c>
      <c r="G131" s="1165">
        <v>100</v>
      </c>
      <c r="H131" s="1165">
        <v>100</v>
      </c>
      <c r="I131" s="1165">
        <v>100</v>
      </c>
      <c r="J131" s="1165">
        <v>100</v>
      </c>
      <c r="K131" s="1165">
        <v>100</v>
      </c>
      <c r="L131" s="1165">
        <v>100</v>
      </c>
      <c r="M131" s="1165">
        <v>225</v>
      </c>
      <c r="N131" s="1165">
        <v>725</v>
      </c>
      <c r="O131" s="1166" t="s">
        <v>1203</v>
      </c>
      <c r="P131" s="1166"/>
      <c r="Q131" s="1166"/>
      <c r="R131" s="1166"/>
      <c r="S131" s="1166"/>
      <c r="T131" s="1168"/>
    </row>
    <row r="132" spans="1:20" x14ac:dyDescent="0.35">
      <c r="A132" s="1180" t="s">
        <v>1242</v>
      </c>
      <c r="B132" s="1181" t="s">
        <v>1243</v>
      </c>
      <c r="C132" s="1165">
        <v>0</v>
      </c>
      <c r="D132" s="1165">
        <v>14</v>
      </c>
      <c r="E132" s="1165">
        <v>11</v>
      </c>
      <c r="F132" s="1165">
        <v>0</v>
      </c>
      <c r="G132" s="1165">
        <v>0</v>
      </c>
      <c r="H132" s="1165">
        <v>0</v>
      </c>
      <c r="I132" s="1165">
        <v>0</v>
      </c>
      <c r="J132" s="1165">
        <v>0</v>
      </c>
      <c r="K132" s="1165">
        <v>0</v>
      </c>
      <c r="L132" s="1165">
        <v>0</v>
      </c>
      <c r="M132" s="1165">
        <v>25</v>
      </c>
      <c r="N132" s="1165">
        <v>25</v>
      </c>
      <c r="O132" s="1166" t="s">
        <v>1207</v>
      </c>
      <c r="P132" s="1166"/>
      <c r="Q132" s="1166"/>
      <c r="R132" s="1166"/>
      <c r="S132" s="1166"/>
      <c r="T132" s="1167"/>
    </row>
    <row r="133" spans="1:20" x14ac:dyDescent="0.35">
      <c r="A133" s="1180" t="s">
        <v>1244</v>
      </c>
      <c r="B133" s="1181" t="s">
        <v>1245</v>
      </c>
      <c r="C133" s="1165">
        <v>0</v>
      </c>
      <c r="D133" s="1165">
        <v>84</v>
      </c>
      <c r="E133" s="1165">
        <v>320</v>
      </c>
      <c r="F133" s="1165">
        <v>638</v>
      </c>
      <c r="G133" s="1165">
        <v>928</v>
      </c>
      <c r="H133" s="1165">
        <v>940</v>
      </c>
      <c r="I133" s="1165">
        <v>720</v>
      </c>
      <c r="J133" s="1165">
        <v>300</v>
      </c>
      <c r="K133" s="1165">
        <v>120</v>
      </c>
      <c r="L133" s="1165">
        <v>0</v>
      </c>
      <c r="M133" s="1182">
        <v>1970</v>
      </c>
      <c r="N133" s="1182">
        <v>4050</v>
      </c>
      <c r="O133" s="1166" t="s">
        <v>1207</v>
      </c>
      <c r="P133" s="1166"/>
      <c r="Q133" s="1166"/>
      <c r="R133" s="1166"/>
      <c r="S133" s="1166"/>
      <c r="T133" s="1168"/>
    </row>
    <row r="134" spans="1:20" x14ac:dyDescent="0.35">
      <c r="A134" s="1163" t="s">
        <v>1246</v>
      </c>
      <c r="B134" s="1164" t="s">
        <v>1247</v>
      </c>
      <c r="C134" s="1165">
        <v>0</v>
      </c>
      <c r="D134" s="1165">
        <v>40</v>
      </c>
      <c r="E134" s="1165">
        <v>200</v>
      </c>
      <c r="F134" s="1165">
        <v>400</v>
      </c>
      <c r="G134" s="1165">
        <v>660</v>
      </c>
      <c r="H134" s="1165">
        <v>640</v>
      </c>
      <c r="I134" s="1165">
        <v>515</v>
      </c>
      <c r="J134" s="1165">
        <v>240</v>
      </c>
      <c r="K134" s="1165">
        <v>105</v>
      </c>
      <c r="L134" s="1165">
        <v>0</v>
      </c>
      <c r="M134" s="1182">
        <v>1300</v>
      </c>
      <c r="N134" s="1182">
        <v>2800</v>
      </c>
      <c r="O134" s="1166" t="s">
        <v>1207</v>
      </c>
      <c r="P134" s="1166"/>
      <c r="Q134" s="1166"/>
      <c r="R134" s="1166"/>
      <c r="S134" s="1166"/>
      <c r="T134" s="1168"/>
    </row>
    <row r="135" spans="1:20" x14ac:dyDescent="0.35">
      <c r="A135" s="1163" t="s">
        <v>1248</v>
      </c>
      <c r="B135" s="1164" t="s">
        <v>1249</v>
      </c>
      <c r="C135" s="1198">
        <v>0</v>
      </c>
      <c r="D135" s="1198">
        <v>138</v>
      </c>
      <c r="E135" s="1198">
        <v>566</v>
      </c>
      <c r="F135" s="1198">
        <v>994</v>
      </c>
      <c r="G135" s="1199">
        <v>1328</v>
      </c>
      <c r="H135" s="1199">
        <v>1791</v>
      </c>
      <c r="I135" s="1199">
        <v>2350</v>
      </c>
      <c r="J135" s="1199">
        <v>2928</v>
      </c>
      <c r="K135" s="1199">
        <v>3548</v>
      </c>
      <c r="L135" s="1199">
        <v>4162</v>
      </c>
      <c r="M135" s="1199">
        <v>3026</v>
      </c>
      <c r="N135" s="1199">
        <v>17805</v>
      </c>
      <c r="O135" s="1200" t="s">
        <v>45</v>
      </c>
      <c r="P135" s="1200"/>
      <c r="Q135" s="1200"/>
      <c r="R135" s="1200"/>
      <c r="S135" s="1200"/>
      <c r="T135" s="1201"/>
    </row>
    <row r="136" spans="1:20" x14ac:dyDescent="0.35">
      <c r="A136" s="1163" t="s">
        <v>1250</v>
      </c>
      <c r="B136" s="1164" t="s">
        <v>1251</v>
      </c>
      <c r="C136" s="1198">
        <v>0</v>
      </c>
      <c r="D136" s="1198">
        <v>0</v>
      </c>
      <c r="E136" s="1198">
        <v>235</v>
      </c>
      <c r="F136" s="1198">
        <v>317</v>
      </c>
      <c r="G136" s="1198">
        <v>304</v>
      </c>
      <c r="H136" s="1198">
        <v>314</v>
      </c>
      <c r="I136" s="1198">
        <v>324</v>
      </c>
      <c r="J136" s="1198">
        <v>335</v>
      </c>
      <c r="K136" s="1198">
        <v>346</v>
      </c>
      <c r="L136" s="1198">
        <v>359</v>
      </c>
      <c r="M136" s="1198">
        <v>856</v>
      </c>
      <c r="N136" s="1199">
        <v>2534</v>
      </c>
      <c r="O136" s="1200" t="s">
        <v>45</v>
      </c>
      <c r="P136" s="1200"/>
      <c r="Q136" s="1200"/>
      <c r="R136" s="1200"/>
      <c r="S136" s="1200"/>
      <c r="T136" s="1168"/>
    </row>
    <row r="137" spans="1:20" ht="24" customHeight="1" x14ac:dyDescent="0.35">
      <c r="A137" s="1163" t="s">
        <v>1252</v>
      </c>
      <c r="B137" s="1164" t="s">
        <v>1253</v>
      </c>
      <c r="C137" s="1202"/>
      <c r="D137" s="1202">
        <v>333</v>
      </c>
      <c r="E137" s="1202">
        <v>314</v>
      </c>
      <c r="F137" s="1202">
        <v>314</v>
      </c>
      <c r="G137" s="1202">
        <v>-4530</v>
      </c>
      <c r="H137" s="1202">
        <v>-9118</v>
      </c>
      <c r="I137" s="1202">
        <v>-18184</v>
      </c>
      <c r="J137" s="1202">
        <v>-20493</v>
      </c>
      <c r="K137" s="1202">
        <v>-23289</v>
      </c>
      <c r="L137" s="1202">
        <v>-24298</v>
      </c>
      <c r="M137" s="1202">
        <v>-569</v>
      </c>
      <c r="N137" s="1202">
        <v>-95951</v>
      </c>
      <c r="O137" s="1203" t="s">
        <v>46</v>
      </c>
      <c r="P137" s="1203"/>
      <c r="Q137" s="1203"/>
      <c r="R137" s="1203"/>
      <c r="S137" s="1203"/>
      <c r="T137" s="1204"/>
    </row>
    <row r="138" spans="1:20" ht="36" customHeight="1" x14ac:dyDescent="0.35">
      <c r="A138" s="1163" t="s">
        <v>1248</v>
      </c>
      <c r="B138" s="1164" t="s">
        <v>1254</v>
      </c>
      <c r="C138" s="1205">
        <v>0</v>
      </c>
      <c r="D138" s="1205">
        <v>-2447</v>
      </c>
      <c r="E138" s="1205">
        <v>-3716</v>
      </c>
      <c r="F138" s="1205">
        <v>-19171</v>
      </c>
      <c r="G138" s="1205">
        <v>-7014</v>
      </c>
      <c r="H138" s="1205">
        <v>-7706</v>
      </c>
      <c r="I138" s="1205">
        <v>-8497</v>
      </c>
      <c r="J138" s="1205">
        <v>-9360</v>
      </c>
      <c r="K138" s="1205">
        <v>-10602</v>
      </c>
      <c r="L138" s="1205">
        <v>-11603</v>
      </c>
      <c r="M138" s="1205">
        <v>-32348</v>
      </c>
      <c r="N138" s="1205">
        <v>-80116</v>
      </c>
      <c r="O138" s="1203" t="s">
        <v>46</v>
      </c>
      <c r="P138" s="1203"/>
      <c r="Q138" s="1203"/>
      <c r="R138" s="1203"/>
      <c r="S138" s="1203"/>
      <c r="T138" s="1168"/>
    </row>
    <row r="139" spans="1:20" x14ac:dyDescent="0.35">
      <c r="A139" s="1163" t="s">
        <v>1255</v>
      </c>
      <c r="B139" s="1164" t="s">
        <v>1256</v>
      </c>
      <c r="C139" s="1202">
        <v>0</v>
      </c>
      <c r="D139" s="1202">
        <v>53</v>
      </c>
      <c r="E139" s="1202">
        <v>1991</v>
      </c>
      <c r="F139" s="1202">
        <v>3308</v>
      </c>
      <c r="G139" s="1202">
        <v>3545</v>
      </c>
      <c r="H139" s="1202">
        <v>4537</v>
      </c>
      <c r="I139" s="1202">
        <v>4476</v>
      </c>
      <c r="J139" s="1202">
        <v>3947</v>
      </c>
      <c r="K139" s="1202">
        <v>1781</v>
      </c>
      <c r="L139" s="1202">
        <v>1462</v>
      </c>
      <c r="M139" s="1202">
        <v>8897</v>
      </c>
      <c r="N139" s="1202">
        <v>25100</v>
      </c>
      <c r="O139" s="1203" t="s">
        <v>46</v>
      </c>
      <c r="P139" s="1203"/>
      <c r="Q139" s="1203"/>
      <c r="R139" s="1203"/>
      <c r="S139" s="1203"/>
      <c r="T139" s="1168"/>
    </row>
    <row r="140" spans="1:20" x14ac:dyDescent="0.35">
      <c r="A140" s="1163" t="s">
        <v>1257</v>
      </c>
      <c r="B140" s="1164" t="s">
        <v>1258</v>
      </c>
      <c r="C140" s="1206">
        <v>0</v>
      </c>
      <c r="D140" s="1206">
        <v>0</v>
      </c>
      <c r="E140" s="1206">
        <v>0</v>
      </c>
      <c r="F140" s="1206">
        <v>0</v>
      </c>
      <c r="G140" s="1206">
        <v>0</v>
      </c>
      <c r="H140" s="1207">
        <v>-16290</v>
      </c>
      <c r="I140" s="1207">
        <v>-25656</v>
      </c>
      <c r="J140" s="1207">
        <v>-23394</v>
      </c>
      <c r="K140" s="1207">
        <v>-27561</v>
      </c>
      <c r="L140" s="1207">
        <v>-29250</v>
      </c>
      <c r="M140" s="1206">
        <v>0</v>
      </c>
      <c r="N140" s="1207">
        <v>-122151</v>
      </c>
      <c r="O140" s="1203" t="s">
        <v>46</v>
      </c>
      <c r="P140" s="1203"/>
      <c r="Q140" s="1203"/>
      <c r="R140" s="1203"/>
      <c r="S140" s="1203"/>
      <c r="T140" s="1168"/>
    </row>
    <row r="141" spans="1:20" ht="36" customHeight="1" x14ac:dyDescent="0.35">
      <c r="A141" s="1163" t="s">
        <v>1259</v>
      </c>
      <c r="B141" s="1164" t="s">
        <v>1260</v>
      </c>
      <c r="C141" s="1202">
        <v>0</v>
      </c>
      <c r="D141" s="1202">
        <v>-70</v>
      </c>
      <c r="E141" s="1202">
        <v>300</v>
      </c>
      <c r="F141" s="1202">
        <v>862</v>
      </c>
      <c r="G141" s="1202">
        <v>577</v>
      </c>
      <c r="H141" s="1202">
        <v>464</v>
      </c>
      <c r="I141" s="1202">
        <v>549</v>
      </c>
      <c r="J141" s="1202">
        <v>501</v>
      </c>
      <c r="K141" s="1202">
        <v>591</v>
      </c>
      <c r="L141" s="1202">
        <v>630</v>
      </c>
      <c r="M141" s="1202">
        <v>1669</v>
      </c>
      <c r="N141" s="1202">
        <v>4404</v>
      </c>
      <c r="O141" s="1203" t="s">
        <v>46</v>
      </c>
      <c r="P141" s="1203"/>
      <c r="Q141" s="1203"/>
      <c r="R141" s="1203"/>
      <c r="S141" s="1203"/>
      <c r="T141" s="1168"/>
    </row>
    <row r="142" spans="1:20" x14ac:dyDescent="0.35">
      <c r="A142" s="1163" t="s">
        <v>1261</v>
      </c>
      <c r="B142" s="1164" t="s">
        <v>1262</v>
      </c>
      <c r="C142" s="1206">
        <v>0</v>
      </c>
      <c r="D142" s="1206">
        <v>0</v>
      </c>
      <c r="E142" s="1206">
        <v>195</v>
      </c>
      <c r="F142" s="1206">
        <v>230</v>
      </c>
      <c r="G142" s="1206">
        <v>248</v>
      </c>
      <c r="H142" s="1206">
        <v>266</v>
      </c>
      <c r="I142" s="1206">
        <v>311</v>
      </c>
      <c r="J142" s="1206">
        <v>281</v>
      </c>
      <c r="K142" s="1206">
        <v>327</v>
      </c>
      <c r="L142" s="1206">
        <v>347</v>
      </c>
      <c r="M142" s="1206">
        <v>673</v>
      </c>
      <c r="N142" s="1207">
        <v>2205</v>
      </c>
      <c r="O142" s="1203" t="s">
        <v>46</v>
      </c>
      <c r="P142" s="1203"/>
      <c r="Q142" s="1203"/>
      <c r="R142" s="1203"/>
      <c r="S142" s="1203"/>
      <c r="T142" s="1168"/>
    </row>
    <row r="143" spans="1:20" x14ac:dyDescent="0.35">
      <c r="A143" s="1180" t="s">
        <v>1263</v>
      </c>
      <c r="B143" s="1181" t="s">
        <v>1264</v>
      </c>
      <c r="C143" s="1208">
        <v>0</v>
      </c>
      <c r="D143" s="1208">
        <v>70</v>
      </c>
      <c r="E143" s="1208">
        <v>132</v>
      </c>
      <c r="F143" s="1208">
        <v>51</v>
      </c>
      <c r="G143" s="1208">
        <v>20</v>
      </c>
      <c r="H143" s="1208">
        <v>8</v>
      </c>
      <c r="I143" s="1208">
        <v>0</v>
      </c>
      <c r="J143" s="1208">
        <v>0</v>
      </c>
      <c r="K143" s="1208">
        <v>0</v>
      </c>
      <c r="L143" s="1208">
        <v>0</v>
      </c>
      <c r="M143" s="1208">
        <v>273</v>
      </c>
      <c r="N143" s="1208">
        <v>281</v>
      </c>
      <c r="O143" s="1209" t="s">
        <v>1265</v>
      </c>
      <c r="P143" s="1209"/>
      <c r="Q143" s="1209"/>
      <c r="R143" s="1209"/>
      <c r="S143" s="1209"/>
      <c r="T143" s="1168" t="s">
        <v>1266</v>
      </c>
    </row>
    <row r="144" spans="1:20" x14ac:dyDescent="0.35">
      <c r="A144" s="1180" t="s">
        <v>1267</v>
      </c>
      <c r="B144" s="1181" t="s">
        <v>1268</v>
      </c>
      <c r="C144" s="1208">
        <v>0</v>
      </c>
      <c r="D144" s="1208">
        <v>465</v>
      </c>
      <c r="E144" s="1210">
        <v>2420</v>
      </c>
      <c r="F144" s="1210">
        <v>4755</v>
      </c>
      <c r="G144" s="1210">
        <v>5980</v>
      </c>
      <c r="H144" s="1210">
        <v>4694</v>
      </c>
      <c r="I144" s="1210">
        <v>1573</v>
      </c>
      <c r="J144" s="1208">
        <v>93</v>
      </c>
      <c r="K144" s="1208">
        <v>0</v>
      </c>
      <c r="L144" s="1208">
        <v>0</v>
      </c>
      <c r="M144" s="1210">
        <v>13620</v>
      </c>
      <c r="N144" s="1210">
        <v>19980</v>
      </c>
      <c r="O144" s="1209" t="s">
        <v>1265</v>
      </c>
      <c r="P144" s="1209"/>
      <c r="Q144" s="1209"/>
      <c r="R144" s="1209"/>
      <c r="S144" s="1209"/>
      <c r="T144" s="1168" t="s">
        <v>1269</v>
      </c>
    </row>
    <row r="145" spans="1:20" x14ac:dyDescent="0.35">
      <c r="A145" s="1163" t="s">
        <v>1270</v>
      </c>
      <c r="B145" s="1164" t="s">
        <v>1271</v>
      </c>
      <c r="C145" s="1208">
        <v>0</v>
      </c>
      <c r="D145" s="1208">
        <v>20</v>
      </c>
      <c r="E145" s="1208">
        <v>65</v>
      </c>
      <c r="F145" s="1208">
        <v>110</v>
      </c>
      <c r="G145" s="1208">
        <v>135</v>
      </c>
      <c r="H145" s="1208">
        <v>180</v>
      </c>
      <c r="I145" s="1208">
        <v>230</v>
      </c>
      <c r="J145" s="1208">
        <v>180</v>
      </c>
      <c r="K145" s="1208">
        <v>60</v>
      </c>
      <c r="L145" s="1208">
        <v>10</v>
      </c>
      <c r="M145" s="1208">
        <v>330</v>
      </c>
      <c r="N145" s="1208">
        <v>990</v>
      </c>
      <c r="O145" s="1209" t="s">
        <v>1265</v>
      </c>
      <c r="P145" s="1209"/>
      <c r="Q145" s="1209"/>
      <c r="R145" s="1209"/>
      <c r="S145" s="1209"/>
      <c r="T145" s="1191" t="s">
        <v>1272</v>
      </c>
    </row>
    <row r="146" spans="1:20" x14ac:dyDescent="0.35">
      <c r="A146" s="1163" t="s">
        <v>1273</v>
      </c>
      <c r="B146" s="1164" t="s">
        <v>1274</v>
      </c>
      <c r="C146" s="1208">
        <v>0</v>
      </c>
      <c r="D146" s="1210">
        <v>20892</v>
      </c>
      <c r="E146" s="1210">
        <v>11288</v>
      </c>
      <c r="F146" s="1210">
        <v>9651</v>
      </c>
      <c r="G146" s="1210">
        <v>-8548</v>
      </c>
      <c r="H146" s="1208">
        <v>-463</v>
      </c>
      <c r="I146" s="1208">
        <v>0</v>
      </c>
      <c r="J146" s="1208">
        <v>0</v>
      </c>
      <c r="K146" s="1208">
        <v>0</v>
      </c>
      <c r="L146" s="1208">
        <v>0</v>
      </c>
      <c r="M146" s="1210">
        <v>33283</v>
      </c>
      <c r="N146" s="1210">
        <v>32820</v>
      </c>
      <c r="O146" s="1211" t="s">
        <v>1265</v>
      </c>
      <c r="P146" s="1211"/>
      <c r="Q146" s="1211"/>
      <c r="R146" s="1211"/>
      <c r="S146" s="1211"/>
      <c r="T146" s="1168"/>
    </row>
    <row r="147" spans="1:20" x14ac:dyDescent="0.35">
      <c r="A147" s="1163" t="s">
        <v>1275</v>
      </c>
      <c r="B147" s="1164" t="s">
        <v>1276</v>
      </c>
      <c r="C147" s="1208">
        <v>0</v>
      </c>
      <c r="D147" s="1208">
        <v>24</v>
      </c>
      <c r="E147" s="1208">
        <v>65</v>
      </c>
      <c r="F147" s="1208">
        <v>112</v>
      </c>
      <c r="G147" s="1208">
        <v>130</v>
      </c>
      <c r="H147" s="1208">
        <v>98</v>
      </c>
      <c r="I147" s="1208">
        <v>56</v>
      </c>
      <c r="J147" s="1208">
        <v>15</v>
      </c>
      <c r="K147" s="1208">
        <v>0</v>
      </c>
      <c r="L147" s="1208">
        <v>0</v>
      </c>
      <c r="M147" s="1208">
        <v>331</v>
      </c>
      <c r="N147" s="1208">
        <v>500</v>
      </c>
      <c r="O147" s="1211" t="s">
        <v>1265</v>
      </c>
      <c r="P147" s="1211"/>
      <c r="Q147" s="1211"/>
      <c r="R147" s="1211"/>
      <c r="S147" s="1211"/>
      <c r="T147" s="1168"/>
    </row>
    <row r="148" spans="1:20" x14ac:dyDescent="0.35">
      <c r="A148" s="1212" t="s">
        <v>1277</v>
      </c>
      <c r="B148" s="1213" t="s">
        <v>1278</v>
      </c>
      <c r="C148" s="1208">
        <v>0</v>
      </c>
      <c r="D148" s="1208">
        <v>50</v>
      </c>
      <c r="E148" s="1208">
        <v>500</v>
      </c>
      <c r="F148" s="1208">
        <v>920</v>
      </c>
      <c r="G148" s="1210">
        <v>1310</v>
      </c>
      <c r="H148" s="1210">
        <v>1680</v>
      </c>
      <c r="I148" s="1210">
        <v>1780</v>
      </c>
      <c r="J148" s="1210">
        <v>1640</v>
      </c>
      <c r="K148" s="1210">
        <v>1090</v>
      </c>
      <c r="L148" s="1208">
        <v>630</v>
      </c>
      <c r="M148" s="1210">
        <v>2780</v>
      </c>
      <c r="N148" s="1210">
        <v>9600</v>
      </c>
      <c r="O148" s="1211" t="s">
        <v>1265</v>
      </c>
      <c r="P148" s="1211"/>
      <c r="Q148" s="1211"/>
      <c r="R148" s="1211"/>
      <c r="S148" s="1211"/>
      <c r="T148" s="1214"/>
    </row>
    <row r="149" spans="1:20" x14ac:dyDescent="0.35">
      <c r="A149" s="1163" t="s">
        <v>1279</v>
      </c>
      <c r="B149" s="1164" t="s">
        <v>1280</v>
      </c>
      <c r="C149" s="1208">
        <v>0</v>
      </c>
      <c r="D149" s="1208">
        <v>30</v>
      </c>
      <c r="E149" s="1208">
        <v>90</v>
      </c>
      <c r="F149" s="1208">
        <v>90</v>
      </c>
      <c r="G149" s="1208">
        <v>85</v>
      </c>
      <c r="H149" s="1208">
        <v>70</v>
      </c>
      <c r="I149" s="1208">
        <v>65</v>
      </c>
      <c r="J149" s="1208">
        <v>65</v>
      </c>
      <c r="K149" s="1208">
        <v>35</v>
      </c>
      <c r="L149" s="1208">
        <v>15</v>
      </c>
      <c r="M149" s="1208">
        <v>295</v>
      </c>
      <c r="N149" s="1208">
        <v>545</v>
      </c>
      <c r="O149" s="1211" t="s">
        <v>1265</v>
      </c>
      <c r="P149" s="1211"/>
      <c r="Q149" s="1211"/>
      <c r="R149" s="1211"/>
      <c r="S149" s="1211"/>
      <c r="T149" s="1168"/>
    </row>
    <row r="150" spans="1:20" x14ac:dyDescent="0.35">
      <c r="A150" s="1163" t="s">
        <v>1281</v>
      </c>
      <c r="B150" s="1164" t="s">
        <v>1282</v>
      </c>
      <c r="C150" s="1208">
        <v>0</v>
      </c>
      <c r="D150" s="1208">
        <v>185</v>
      </c>
      <c r="E150" s="1208">
        <v>394</v>
      </c>
      <c r="F150" s="1208">
        <v>639</v>
      </c>
      <c r="G150" s="1208">
        <v>722</v>
      </c>
      <c r="H150" s="1208">
        <v>595</v>
      </c>
      <c r="I150" s="1208">
        <v>346</v>
      </c>
      <c r="J150" s="1208">
        <v>101</v>
      </c>
      <c r="K150" s="1208">
        <v>18</v>
      </c>
      <c r="L150" s="1208">
        <v>0</v>
      </c>
      <c r="M150" s="1210">
        <v>1940</v>
      </c>
      <c r="N150" s="1210">
        <v>3000</v>
      </c>
      <c r="O150" s="1209" t="s">
        <v>1265</v>
      </c>
      <c r="P150" s="1209"/>
      <c r="Q150" s="1209"/>
      <c r="R150" s="1209"/>
      <c r="S150" s="1209"/>
      <c r="T150" s="1168"/>
    </row>
    <row r="151" spans="1:20" x14ac:dyDescent="0.35">
      <c r="A151" s="1163" t="s">
        <v>1283</v>
      </c>
      <c r="B151" s="1164" t="s">
        <v>1284</v>
      </c>
      <c r="C151" s="1208">
        <v>0</v>
      </c>
      <c r="D151" s="1208">
        <v>8</v>
      </c>
      <c r="E151" s="1208">
        <v>26</v>
      </c>
      <c r="F151" s="1208">
        <v>41</v>
      </c>
      <c r="G151" s="1208">
        <v>38</v>
      </c>
      <c r="H151" s="1208">
        <v>22</v>
      </c>
      <c r="I151" s="1208">
        <v>11</v>
      </c>
      <c r="J151" s="1208">
        <v>4</v>
      </c>
      <c r="K151" s="1208">
        <v>0</v>
      </c>
      <c r="L151" s="1208">
        <v>0</v>
      </c>
      <c r="M151" s="1208">
        <v>113</v>
      </c>
      <c r="N151" s="1208">
        <v>150</v>
      </c>
      <c r="O151" s="1209" t="s">
        <v>1265</v>
      </c>
      <c r="P151" s="1209"/>
      <c r="Q151" s="1209"/>
      <c r="R151" s="1209"/>
      <c r="S151" s="1209"/>
      <c r="T151" s="1168"/>
    </row>
    <row r="152" spans="1:20" ht="24" customHeight="1" x14ac:dyDescent="0.35">
      <c r="A152" s="1180" t="s">
        <v>1285</v>
      </c>
      <c r="B152" s="1181" t="s">
        <v>1286</v>
      </c>
      <c r="C152" s="1215">
        <v>0</v>
      </c>
      <c r="D152" s="1216">
        <v>77</v>
      </c>
      <c r="E152" s="1216">
        <v>232</v>
      </c>
      <c r="F152" s="1216">
        <v>341</v>
      </c>
      <c r="G152" s="1216">
        <v>496</v>
      </c>
      <c r="H152" s="1216">
        <v>310</v>
      </c>
      <c r="I152" s="1216">
        <v>47</v>
      </c>
      <c r="J152" s="1216">
        <v>31</v>
      </c>
      <c r="K152" s="1216">
        <v>15</v>
      </c>
      <c r="L152" s="1216">
        <v>1</v>
      </c>
      <c r="M152" s="1217">
        <v>1146</v>
      </c>
      <c r="N152" s="1217">
        <v>1550</v>
      </c>
      <c r="O152" s="1218" t="s">
        <v>1287</v>
      </c>
      <c r="P152" s="1225"/>
      <c r="Q152" s="1225"/>
      <c r="R152" s="1225"/>
      <c r="S152" s="1225"/>
      <c r="T152" s="1168" t="s">
        <v>1288</v>
      </c>
    </row>
    <row r="153" spans="1:20" ht="30" customHeight="1" x14ac:dyDescent="0.35">
      <c r="A153" s="1163" t="s">
        <v>1289</v>
      </c>
      <c r="B153" s="1164" t="s">
        <v>1290</v>
      </c>
      <c r="C153" s="1219">
        <v>0</v>
      </c>
      <c r="D153" s="1219">
        <v>264</v>
      </c>
      <c r="E153" s="1219">
        <v>715</v>
      </c>
      <c r="F153" s="1219">
        <v>1393</v>
      </c>
      <c r="G153" s="1219">
        <v>2492</v>
      </c>
      <c r="H153" s="1219">
        <v>3364</v>
      </c>
      <c r="I153" s="1219">
        <v>3209</v>
      </c>
      <c r="J153" s="1219">
        <v>2750</v>
      </c>
      <c r="K153" s="1219">
        <v>1783</v>
      </c>
      <c r="L153" s="1219">
        <v>744</v>
      </c>
      <c r="M153" s="1220">
        <v>4864</v>
      </c>
      <c r="N153" s="1220">
        <v>16714</v>
      </c>
      <c r="O153" s="1226" t="s">
        <v>43</v>
      </c>
      <c r="P153" s="1226"/>
      <c r="Q153" s="1226"/>
      <c r="R153" s="1226"/>
      <c r="S153" s="1226"/>
      <c r="T153" s="1227" t="s">
        <v>1291</v>
      </c>
    </row>
    <row r="154" spans="1:20" x14ac:dyDescent="0.35">
      <c r="A154" s="1163" t="s">
        <v>1292</v>
      </c>
      <c r="B154" s="1164" t="s">
        <v>1293</v>
      </c>
      <c r="C154" s="1228">
        <v>0</v>
      </c>
      <c r="D154" s="1228">
        <v>0</v>
      </c>
      <c r="E154" s="1228">
        <v>50</v>
      </c>
      <c r="F154" s="1228">
        <v>270</v>
      </c>
      <c r="G154" s="1228">
        <v>680</v>
      </c>
      <c r="H154" s="1228">
        <v>850</v>
      </c>
      <c r="I154" s="1228">
        <v>730</v>
      </c>
      <c r="J154" s="1228">
        <v>485</v>
      </c>
      <c r="K154" s="1228">
        <v>285</v>
      </c>
      <c r="L154" s="1228">
        <v>145</v>
      </c>
      <c r="M154" s="1229">
        <v>1000</v>
      </c>
      <c r="N154" s="1229">
        <v>3495</v>
      </c>
      <c r="O154" s="1230" t="s">
        <v>43</v>
      </c>
      <c r="P154" s="1230"/>
      <c r="Q154" s="1230"/>
      <c r="R154" s="1230"/>
      <c r="S154" s="1230"/>
      <c r="T154" s="1231" t="s">
        <v>1294</v>
      </c>
    </row>
    <row r="155" spans="1:20" x14ac:dyDescent="0.35">
      <c r="A155" s="1163" t="s">
        <v>1295</v>
      </c>
      <c r="B155" s="1164" t="s">
        <v>1296</v>
      </c>
      <c r="C155" s="1228">
        <v>0</v>
      </c>
      <c r="D155" s="1228">
        <v>5</v>
      </c>
      <c r="E155" s="1228">
        <v>5</v>
      </c>
      <c r="F155" s="1228">
        <v>10</v>
      </c>
      <c r="G155" s="1228">
        <v>25</v>
      </c>
      <c r="H155" s="1228">
        <v>70</v>
      </c>
      <c r="I155" s="1228">
        <v>175</v>
      </c>
      <c r="J155" s="1228">
        <v>385</v>
      </c>
      <c r="K155" s="1228">
        <v>460</v>
      </c>
      <c r="L155" s="1228">
        <v>325</v>
      </c>
      <c r="M155" s="1228">
        <v>45</v>
      </c>
      <c r="N155" s="1229">
        <v>1460</v>
      </c>
      <c r="O155" s="1232" t="s">
        <v>43</v>
      </c>
      <c r="P155" s="1232"/>
      <c r="Q155" s="1232"/>
      <c r="R155" s="1232"/>
      <c r="S155" s="1232"/>
      <c r="T155" s="1231" t="s">
        <v>1297</v>
      </c>
    </row>
    <row r="156" spans="1:20" x14ac:dyDescent="0.35">
      <c r="A156" s="1180" t="s">
        <v>1298</v>
      </c>
      <c r="B156" s="1181" t="s">
        <v>1299</v>
      </c>
      <c r="C156" s="1228">
        <v>0</v>
      </c>
      <c r="D156" s="1228">
        <v>6</v>
      </c>
      <c r="E156" s="1228">
        <v>8</v>
      </c>
      <c r="F156" s="1228">
        <v>1</v>
      </c>
      <c r="G156" s="1228">
        <v>0</v>
      </c>
      <c r="H156" s="1228">
        <v>0</v>
      </c>
      <c r="I156" s="1228">
        <v>0</v>
      </c>
      <c r="J156" s="1228">
        <v>0</v>
      </c>
      <c r="K156" s="1228">
        <v>0</v>
      </c>
      <c r="L156" s="1228">
        <v>0</v>
      </c>
      <c r="M156" s="1228">
        <v>15</v>
      </c>
      <c r="N156" s="1228">
        <v>15</v>
      </c>
      <c r="O156" s="1232" t="s">
        <v>43</v>
      </c>
      <c r="P156" s="1232"/>
      <c r="Q156" s="1232"/>
      <c r="R156" s="1232"/>
      <c r="S156" s="1232"/>
      <c r="T156" s="1231" t="s">
        <v>1300</v>
      </c>
    </row>
    <row r="157" spans="1:20" ht="24" customHeight="1" x14ac:dyDescent="0.35">
      <c r="A157" s="1163" t="s">
        <v>1301</v>
      </c>
      <c r="B157" s="1164" t="s">
        <v>1302</v>
      </c>
      <c r="C157" s="1228">
        <v>0</v>
      </c>
      <c r="D157" s="1228">
        <v>5</v>
      </c>
      <c r="E157" s="1228">
        <v>41</v>
      </c>
      <c r="F157" s="1228">
        <v>116</v>
      </c>
      <c r="G157" s="1228">
        <v>284</v>
      </c>
      <c r="H157" s="1228">
        <v>417</v>
      </c>
      <c r="I157" s="1228">
        <v>459</v>
      </c>
      <c r="J157" s="1228">
        <v>355</v>
      </c>
      <c r="K157" s="1228">
        <v>210</v>
      </c>
      <c r="L157" s="1228">
        <v>90</v>
      </c>
      <c r="M157" s="1228">
        <v>446</v>
      </c>
      <c r="N157" s="1229">
        <v>1977</v>
      </c>
      <c r="O157" s="1233" t="s">
        <v>43</v>
      </c>
      <c r="P157" s="1233"/>
      <c r="Q157" s="1233"/>
      <c r="R157" s="1233"/>
      <c r="S157" s="1233"/>
      <c r="T157" s="1234" t="s">
        <v>1303</v>
      </c>
    </row>
    <row r="158" spans="1:20" ht="24" customHeight="1" x14ac:dyDescent="0.35">
      <c r="A158" s="1163" t="s">
        <v>1304</v>
      </c>
      <c r="B158" s="1164" t="s">
        <v>1305</v>
      </c>
      <c r="C158" s="1228">
        <v>0</v>
      </c>
      <c r="D158" s="1228">
        <v>20</v>
      </c>
      <c r="E158" s="1228">
        <v>100</v>
      </c>
      <c r="F158" s="1228">
        <v>460</v>
      </c>
      <c r="G158" s="1229">
        <v>1070</v>
      </c>
      <c r="H158" s="1229">
        <v>1430</v>
      </c>
      <c r="I158" s="1229">
        <v>1110</v>
      </c>
      <c r="J158" s="1228">
        <v>660</v>
      </c>
      <c r="K158" s="1228">
        <v>300</v>
      </c>
      <c r="L158" s="1228">
        <v>100</v>
      </c>
      <c r="M158" s="1229">
        <v>1650</v>
      </c>
      <c r="N158" s="1229">
        <v>5250</v>
      </c>
      <c r="O158" s="1232" t="s">
        <v>43</v>
      </c>
      <c r="P158" s="1232"/>
      <c r="Q158" s="1232"/>
      <c r="R158" s="1232"/>
      <c r="S158" s="1232"/>
      <c r="T158" s="1231" t="s">
        <v>1306</v>
      </c>
    </row>
    <row r="159" spans="1:20" x14ac:dyDescent="0.35">
      <c r="A159" s="1163" t="s">
        <v>1307</v>
      </c>
      <c r="B159" s="1164" t="s">
        <v>1308</v>
      </c>
      <c r="C159" s="1246">
        <v>0</v>
      </c>
      <c r="D159" s="1246">
        <v>56</v>
      </c>
      <c r="E159" s="1246">
        <v>141</v>
      </c>
      <c r="F159" s="1246">
        <v>230</v>
      </c>
      <c r="G159" s="1246">
        <v>343</v>
      </c>
      <c r="H159" s="1246">
        <v>470</v>
      </c>
      <c r="I159" s="1246">
        <v>620</v>
      </c>
      <c r="J159" s="1246">
        <v>802</v>
      </c>
      <c r="K159" s="1246">
        <v>1024</v>
      </c>
      <c r="L159" s="1246">
        <v>1330</v>
      </c>
      <c r="M159" s="1246">
        <v>769</v>
      </c>
      <c r="N159" s="1246">
        <v>5015</v>
      </c>
      <c r="O159" s="1230" t="s">
        <v>43</v>
      </c>
      <c r="P159" s="1230"/>
      <c r="Q159" s="1230"/>
      <c r="R159" s="1230"/>
      <c r="S159" s="1230"/>
      <c r="T159" s="1168"/>
    </row>
    <row r="160" spans="1:20" x14ac:dyDescent="0.35">
      <c r="A160" s="1163" t="s">
        <v>1309</v>
      </c>
      <c r="B160" s="1164" t="s">
        <v>1310</v>
      </c>
      <c r="C160" s="1228"/>
      <c r="D160" s="1228"/>
      <c r="E160" s="1228"/>
      <c r="F160" s="1228"/>
      <c r="G160" s="1228"/>
      <c r="H160" s="1228"/>
      <c r="I160" s="1228"/>
      <c r="J160" s="1228"/>
      <c r="K160" s="1228"/>
      <c r="L160" s="1228"/>
      <c r="M160" s="1228"/>
      <c r="N160" s="1229"/>
      <c r="O160" s="1233"/>
      <c r="P160" s="1233"/>
      <c r="Q160" s="1233"/>
      <c r="R160" s="1233"/>
      <c r="S160" s="1233"/>
      <c r="T160" s="1168"/>
    </row>
    <row r="161" spans="1:21" x14ac:dyDescent="0.35">
      <c r="A161" s="1163" t="s">
        <v>1311</v>
      </c>
      <c r="B161" s="1164" t="s">
        <v>1312</v>
      </c>
      <c r="C161" s="1228"/>
      <c r="D161" s="1228"/>
      <c r="E161" s="1228"/>
      <c r="F161" s="1228"/>
      <c r="G161" s="1228"/>
      <c r="H161" s="1228"/>
      <c r="I161" s="1228"/>
      <c r="J161" s="1228"/>
      <c r="K161" s="1228"/>
      <c r="L161" s="1228"/>
      <c r="M161" s="1228"/>
      <c r="N161" s="1229"/>
      <c r="O161" s="1247"/>
      <c r="P161" s="1247"/>
      <c r="Q161" s="1247"/>
      <c r="R161" s="1247"/>
      <c r="S161" s="1247"/>
      <c r="T161" s="1248"/>
    </row>
    <row r="162" spans="1:21" x14ac:dyDescent="0.35">
      <c r="A162" s="1163" t="s">
        <v>1313</v>
      </c>
      <c r="B162" s="1164" t="s">
        <v>1314</v>
      </c>
      <c r="C162" s="1228">
        <v>0</v>
      </c>
      <c r="D162" s="1228">
        <v>20</v>
      </c>
      <c r="E162" s="1228">
        <v>70</v>
      </c>
      <c r="F162" s="1228">
        <v>130</v>
      </c>
      <c r="G162" s="1228">
        <v>155</v>
      </c>
      <c r="H162" s="1228">
        <v>155</v>
      </c>
      <c r="I162" s="1228">
        <v>155</v>
      </c>
      <c r="J162" s="1228">
        <v>135</v>
      </c>
      <c r="K162" s="1228">
        <v>80</v>
      </c>
      <c r="L162" s="1228">
        <v>20</v>
      </c>
      <c r="M162" s="1228">
        <v>375</v>
      </c>
      <c r="N162" s="1228">
        <v>920</v>
      </c>
      <c r="O162" s="1232" t="s">
        <v>43</v>
      </c>
      <c r="P162" s="1232"/>
      <c r="Q162" s="1232"/>
      <c r="R162" s="1232"/>
      <c r="S162" s="1232"/>
      <c r="T162" s="1168"/>
    </row>
    <row r="163" spans="1:21" x14ac:dyDescent="0.35">
      <c r="A163" s="1180" t="s">
        <v>1315</v>
      </c>
      <c r="B163" s="1181" t="s">
        <v>1316</v>
      </c>
      <c r="C163" s="1228">
        <v>0</v>
      </c>
      <c r="D163" s="1228">
        <v>15</v>
      </c>
      <c r="E163" s="1228">
        <v>12</v>
      </c>
      <c r="F163" s="1228">
        <v>8</v>
      </c>
      <c r="G163" s="1228">
        <v>4</v>
      </c>
      <c r="H163" s="1228">
        <v>0</v>
      </c>
      <c r="I163" s="1228">
        <v>0</v>
      </c>
      <c r="J163" s="1228">
        <v>0</v>
      </c>
      <c r="K163" s="1228">
        <v>0</v>
      </c>
      <c r="L163" s="1228">
        <v>0</v>
      </c>
      <c r="M163" s="1228">
        <v>39</v>
      </c>
      <c r="N163" s="1228">
        <v>39</v>
      </c>
      <c r="O163" s="1232" t="s">
        <v>43</v>
      </c>
      <c r="P163" s="1232"/>
      <c r="Q163" s="1232"/>
      <c r="R163" s="1232"/>
      <c r="S163" s="1232"/>
      <c r="T163" s="1168"/>
    </row>
    <row r="164" spans="1:21" x14ac:dyDescent="0.35">
      <c r="A164" s="1163" t="s">
        <v>1317</v>
      </c>
      <c r="B164" s="1164" t="s">
        <v>1318</v>
      </c>
      <c r="C164" s="1249">
        <v>0</v>
      </c>
      <c r="D164" s="1249">
        <v>25</v>
      </c>
      <c r="E164" s="1249">
        <v>100</v>
      </c>
      <c r="F164" s="1249">
        <v>125</v>
      </c>
      <c r="G164" s="1249">
        <v>100</v>
      </c>
      <c r="H164" s="1249">
        <v>75</v>
      </c>
      <c r="I164" s="1249">
        <v>30</v>
      </c>
      <c r="J164" s="1249">
        <v>20</v>
      </c>
      <c r="K164" s="1249">
        <v>0</v>
      </c>
      <c r="L164" s="1249">
        <v>0</v>
      </c>
      <c r="M164" s="1249">
        <v>350</v>
      </c>
      <c r="N164" s="1249">
        <v>475</v>
      </c>
      <c r="O164" s="1250" t="s">
        <v>43</v>
      </c>
      <c r="P164" s="1250"/>
      <c r="Q164" s="1250"/>
      <c r="R164" s="1250"/>
      <c r="S164" s="1250"/>
      <c r="T164" s="1168"/>
    </row>
    <row r="165" spans="1:21" x14ac:dyDescent="0.35">
      <c r="A165" s="62"/>
      <c r="B165" s="1132"/>
      <c r="C165" s="45"/>
      <c r="D165" s="45"/>
      <c r="E165" s="45"/>
      <c r="F165" s="45"/>
      <c r="G165" s="45"/>
      <c r="H165" s="45"/>
      <c r="I165" s="45"/>
      <c r="J165" s="45"/>
      <c r="K165" s="45"/>
      <c r="L165" s="45"/>
      <c r="M165" s="45"/>
      <c r="N165" s="45"/>
      <c r="O165" s="62"/>
      <c r="P165" s="62"/>
      <c r="Q165" s="62"/>
      <c r="R165" s="62"/>
      <c r="S165" s="62"/>
      <c r="T165" s="1132"/>
    </row>
    <row r="167" spans="1:21" x14ac:dyDescent="0.35">
      <c r="A167" s="63" t="s">
        <v>1326</v>
      </c>
    </row>
    <row r="168" spans="1:21" x14ac:dyDescent="0.35">
      <c r="A168" s="1251"/>
      <c r="B168" s="1251"/>
      <c r="C168" s="1235"/>
      <c r="D168" s="1235">
        <v>2022</v>
      </c>
      <c r="E168" s="1235">
        <v>2023</v>
      </c>
      <c r="F168" s="1235">
        <v>2024</v>
      </c>
      <c r="G168" s="1235">
        <v>2025</v>
      </c>
      <c r="H168" s="1235">
        <v>2026</v>
      </c>
      <c r="I168" s="1235">
        <v>2027</v>
      </c>
      <c r="J168" s="1235">
        <v>2028</v>
      </c>
      <c r="K168" s="1235">
        <v>2029</v>
      </c>
      <c r="L168" s="1235">
        <v>2030</v>
      </c>
      <c r="M168" s="1236">
        <v>2031</v>
      </c>
      <c r="N168" s="1237" t="s">
        <v>1319</v>
      </c>
      <c r="O168" s="1237" t="s">
        <v>1320</v>
      </c>
      <c r="P168" s="1222"/>
      <c r="Q168" s="1222"/>
      <c r="R168" s="1222"/>
      <c r="S168" s="1222"/>
      <c r="U168" s="55"/>
    </row>
    <row r="169" spans="1:21" x14ac:dyDescent="0.35">
      <c r="A169" s="1252" t="s">
        <v>1321</v>
      </c>
      <c r="B169" s="1252"/>
      <c r="C169" s="1258"/>
      <c r="D169" s="1258">
        <f t="shared" ref="D169:O169" si="9">D78/1000</f>
        <v>0</v>
      </c>
      <c r="E169" s="1258">
        <f t="shared" si="9"/>
        <v>6.8000000000000005E-2</v>
      </c>
      <c r="F169" s="1258">
        <f t="shared" si="9"/>
        <v>1.363</v>
      </c>
      <c r="G169" s="1258">
        <f t="shared" si="9"/>
        <v>2.4329999999999998</v>
      </c>
      <c r="H169" s="1258">
        <f t="shared" si="9"/>
        <v>2.8029999999999999</v>
      </c>
      <c r="I169" s="1258">
        <f t="shared" si="9"/>
        <v>1.7410000000000001</v>
      </c>
      <c r="J169" s="1258">
        <f t="shared" si="9"/>
        <v>0.56999999999999995</v>
      </c>
      <c r="K169" s="1258">
        <f t="shared" si="9"/>
        <v>3.5000000000000003E-2</v>
      </c>
      <c r="L169" s="1258">
        <f t="shared" si="9"/>
        <v>0</v>
      </c>
      <c r="M169" s="1258">
        <f t="shared" si="9"/>
        <v>0</v>
      </c>
      <c r="N169" s="1258">
        <f t="shared" si="9"/>
        <v>6.6669999999999998</v>
      </c>
      <c r="O169" s="1258">
        <f t="shared" si="9"/>
        <v>9.0129999999999999</v>
      </c>
      <c r="P169" s="1258"/>
      <c r="Q169" s="1258"/>
      <c r="R169" s="1258"/>
      <c r="S169" s="1258"/>
      <c r="U169" s="55"/>
    </row>
    <row r="170" spans="1:21" x14ac:dyDescent="0.35">
      <c r="A170" s="1252" t="s">
        <v>1322</v>
      </c>
      <c r="B170" s="1252"/>
      <c r="C170" s="1258"/>
      <c r="D170" s="1258">
        <f t="shared" ref="D170:O170" si="10">(D77+D70)/1000</f>
        <v>0</v>
      </c>
      <c r="E170" s="1258">
        <f t="shared" si="10"/>
        <v>0.81899999999999995</v>
      </c>
      <c r="F170" s="1258">
        <f t="shared" si="10"/>
        <v>2.4780000000000002</v>
      </c>
      <c r="G170" s="1258">
        <f t="shared" si="10"/>
        <v>4.0720000000000001</v>
      </c>
      <c r="H170" s="1258">
        <f t="shared" si="10"/>
        <v>5.4480000000000004</v>
      </c>
      <c r="I170" s="1258">
        <f t="shared" si="10"/>
        <v>4.8289999999999997</v>
      </c>
      <c r="J170" s="1258">
        <f t="shared" si="10"/>
        <v>3.2949999999999999</v>
      </c>
      <c r="K170" s="1258">
        <f t="shared" si="10"/>
        <v>1.98</v>
      </c>
      <c r="L170" s="1258">
        <f t="shared" si="10"/>
        <v>1.01</v>
      </c>
      <c r="M170" s="1258">
        <f t="shared" si="10"/>
        <v>0.40400000000000003</v>
      </c>
      <c r="N170" s="1258">
        <f t="shared" si="10"/>
        <v>12.817</v>
      </c>
      <c r="O170" s="1258">
        <f t="shared" si="10"/>
        <v>24.335000000000001</v>
      </c>
      <c r="P170" s="1258"/>
      <c r="Q170" s="1258"/>
      <c r="R170" s="1258"/>
      <c r="S170" s="1258"/>
      <c r="U170" s="55"/>
    </row>
    <row r="171" spans="1:21" x14ac:dyDescent="0.35">
      <c r="A171" s="1252" t="s">
        <v>1323</v>
      </c>
      <c r="B171" s="1252"/>
      <c r="C171" s="1258"/>
      <c r="D171" s="1258">
        <f t="shared" ref="D171:O171" si="11">(D69+D76)/1000</f>
        <v>0</v>
      </c>
      <c r="E171" s="1258">
        <f t="shared" si="11"/>
        <v>4.5430000000000001</v>
      </c>
      <c r="F171" s="1258">
        <f t="shared" si="11"/>
        <v>5.6079999999999997</v>
      </c>
      <c r="G171" s="1258">
        <f t="shared" si="11"/>
        <v>8.16</v>
      </c>
      <c r="H171" s="1258">
        <f t="shared" si="11"/>
        <v>10.069000000000001</v>
      </c>
      <c r="I171" s="1258">
        <f t="shared" si="11"/>
        <v>12.026999999999999</v>
      </c>
      <c r="J171" s="1258">
        <f t="shared" si="11"/>
        <v>13.826000000000001</v>
      </c>
      <c r="K171" s="1258">
        <f t="shared" si="11"/>
        <v>15.862</v>
      </c>
      <c r="L171" s="1258">
        <f t="shared" si="11"/>
        <v>17.890999999999998</v>
      </c>
      <c r="M171" s="1258">
        <f t="shared" si="11"/>
        <v>17.481000000000002</v>
      </c>
      <c r="N171" s="1258">
        <f t="shared" si="11"/>
        <v>28.38</v>
      </c>
      <c r="O171" s="1258">
        <f t="shared" si="11"/>
        <v>105.467</v>
      </c>
      <c r="P171" s="1258"/>
      <c r="Q171" s="1258"/>
      <c r="R171" s="1258"/>
      <c r="S171" s="1258"/>
      <c r="U171" s="55"/>
    </row>
    <row r="172" spans="1:21" x14ac:dyDescent="0.35">
      <c r="A172" s="1253" t="s">
        <v>43</v>
      </c>
      <c r="B172" s="1253"/>
      <c r="C172" s="1258"/>
      <c r="D172" s="1258">
        <f t="shared" ref="D172:O172" si="12">(D79+D74)/1000</f>
        <v>0</v>
      </c>
      <c r="E172" s="1258">
        <f t="shared" si="12"/>
        <v>1.2969999999999999</v>
      </c>
      <c r="F172" s="1258">
        <f t="shared" si="12"/>
        <v>3.8479999999999999</v>
      </c>
      <c r="G172" s="1258">
        <f t="shared" si="12"/>
        <v>6.4420000000000002</v>
      </c>
      <c r="H172" s="1258">
        <f t="shared" si="12"/>
        <v>9.532</v>
      </c>
      <c r="I172" s="1258">
        <f t="shared" si="12"/>
        <v>11.882</v>
      </c>
      <c r="J172" s="1258">
        <f t="shared" si="12"/>
        <v>11.727</v>
      </c>
      <c r="K172" s="1258">
        <f t="shared" si="12"/>
        <v>10.569000000000001</v>
      </c>
      <c r="L172" s="1258">
        <f t="shared" si="12"/>
        <v>8.8879999999999999</v>
      </c>
      <c r="M172" s="1258">
        <f t="shared" si="12"/>
        <v>7.1890000000000001</v>
      </c>
      <c r="N172" s="1258">
        <f t="shared" si="12"/>
        <v>21.117000000000001</v>
      </c>
      <c r="O172" s="1258">
        <f t="shared" si="12"/>
        <v>71.372</v>
      </c>
      <c r="P172" s="1258"/>
      <c r="Q172" s="1258"/>
      <c r="R172" s="1258"/>
      <c r="S172" s="1258"/>
      <c r="U172" s="55"/>
    </row>
    <row r="173" spans="1:21" x14ac:dyDescent="0.35">
      <c r="A173" s="1254" t="s">
        <v>491</v>
      </c>
      <c r="B173" s="1254"/>
      <c r="C173" s="1258"/>
      <c r="D173" s="1258"/>
      <c r="E173" s="1258"/>
      <c r="F173" s="1258"/>
      <c r="G173" s="1258"/>
      <c r="H173" s="1258"/>
      <c r="I173" s="1258"/>
      <c r="J173" s="1258"/>
      <c r="K173" s="1258"/>
      <c r="L173" s="1258"/>
      <c r="M173" s="1258"/>
      <c r="N173" s="1258"/>
      <c r="O173" s="1258"/>
      <c r="P173" s="1258"/>
      <c r="Q173" s="1258"/>
      <c r="R173" s="1258"/>
      <c r="S173" s="1258"/>
      <c r="U173" s="55"/>
    </row>
    <row r="174" spans="1:21" x14ac:dyDescent="0.35">
      <c r="A174" s="1255" t="s">
        <v>45</v>
      </c>
      <c r="B174" s="1255"/>
      <c r="C174" s="1258"/>
      <c r="D174" s="1258">
        <f t="shared" ref="D174:O174" si="13">D71/1000</f>
        <v>0</v>
      </c>
      <c r="E174" s="1258">
        <f t="shared" si="13"/>
        <v>0.11</v>
      </c>
      <c r="F174" s="1258">
        <f t="shared" si="13"/>
        <v>0.73899999999999999</v>
      </c>
      <c r="G174" s="1258">
        <f t="shared" si="13"/>
        <v>1.1950000000000001</v>
      </c>
      <c r="H174" s="1258">
        <f t="shared" si="13"/>
        <v>1.4970000000000001</v>
      </c>
      <c r="I174" s="1258">
        <f t="shared" si="13"/>
        <v>1.91</v>
      </c>
      <c r="J174" s="1258">
        <f t="shared" si="13"/>
        <v>2.4049999999999998</v>
      </c>
      <c r="K174" s="1258">
        <f t="shared" si="13"/>
        <v>2.9220000000000002</v>
      </c>
      <c r="L174" s="1258">
        <f t="shared" si="13"/>
        <v>3.4630000000000001</v>
      </c>
      <c r="M174" s="1258">
        <f t="shared" si="13"/>
        <v>4.0069999999999997</v>
      </c>
      <c r="N174" s="1258">
        <f t="shared" si="13"/>
        <v>3.5409999999999999</v>
      </c>
      <c r="O174" s="1258">
        <f t="shared" si="13"/>
        <v>18.248000000000001</v>
      </c>
      <c r="P174" s="1258"/>
      <c r="Q174" s="1258"/>
      <c r="R174" s="1258"/>
      <c r="S174" s="1258"/>
      <c r="U174" s="55"/>
    </row>
    <row r="175" spans="1:21" x14ac:dyDescent="0.35">
      <c r="A175" s="1255" t="s">
        <v>1324</v>
      </c>
      <c r="B175" s="1255"/>
      <c r="C175" s="1258"/>
      <c r="D175" s="1258">
        <f t="shared" ref="D175:O175" si="14">D72/1000</f>
        <v>0</v>
      </c>
      <c r="E175" s="1258">
        <f t="shared" si="14"/>
        <v>-0.41499999999999998</v>
      </c>
      <c r="F175" s="1258">
        <f t="shared" si="14"/>
        <v>2.7679999999999998</v>
      </c>
      <c r="G175" s="1258">
        <f t="shared" si="14"/>
        <v>-12.473000000000001</v>
      </c>
      <c r="H175" s="1258">
        <f t="shared" si="14"/>
        <v>-5.3739999999999997</v>
      </c>
      <c r="I175" s="1258">
        <f t="shared" si="14"/>
        <v>-25.515000000000001</v>
      </c>
      <c r="J175" s="1258">
        <f t="shared" si="14"/>
        <v>-43.975000000000001</v>
      </c>
      <c r="K175" s="1258">
        <f t="shared" si="14"/>
        <v>-46.426000000000002</v>
      </c>
      <c r="L175" s="1258">
        <f t="shared" si="14"/>
        <v>-56.228000000000002</v>
      </c>
      <c r="M175" s="1258">
        <f t="shared" si="14"/>
        <v>-60.581000000000003</v>
      </c>
      <c r="N175" s="1258">
        <f t="shared" si="14"/>
        <v>-15.494</v>
      </c>
      <c r="O175" s="1258">
        <f t="shared" si="14"/>
        <v>-248.21899999999999</v>
      </c>
      <c r="P175" s="1258"/>
      <c r="Q175" s="1258"/>
      <c r="R175" s="1258"/>
      <c r="S175" s="1258"/>
      <c r="U175" s="55"/>
    </row>
    <row r="176" spans="1:21" x14ac:dyDescent="0.35">
      <c r="A176" s="1256" t="s">
        <v>48</v>
      </c>
      <c r="B176" s="1256"/>
      <c r="C176" s="1258"/>
      <c r="D176" s="1258">
        <f t="shared" ref="D176:O176" si="15">(D80+D73)/1000</f>
        <v>-0.622</v>
      </c>
      <c r="E176" s="1258">
        <f t="shared" si="15"/>
        <v>21.89</v>
      </c>
      <c r="F176" s="1258">
        <f t="shared" si="15"/>
        <v>15.439</v>
      </c>
      <c r="G176" s="1258">
        <f t="shared" si="15"/>
        <v>16.966999999999999</v>
      </c>
      <c r="H176" s="1258">
        <f t="shared" si="15"/>
        <v>0.72799999999999998</v>
      </c>
      <c r="I176" s="1258">
        <f t="shared" si="15"/>
        <v>7.657</v>
      </c>
      <c r="J176" s="1258">
        <f t="shared" si="15"/>
        <v>4.5590000000000002</v>
      </c>
      <c r="K176" s="1258">
        <f t="shared" si="15"/>
        <v>2.4649999999999999</v>
      </c>
      <c r="L176" s="1258">
        <f t="shared" si="15"/>
        <v>1.444</v>
      </c>
      <c r="M176" s="1258">
        <f t="shared" si="15"/>
        <v>0.77300000000000002</v>
      </c>
      <c r="N176" s="1258">
        <f t="shared" si="15"/>
        <v>54.402000000000001</v>
      </c>
      <c r="O176" s="1258">
        <f t="shared" si="15"/>
        <v>71.3</v>
      </c>
      <c r="P176" s="1258"/>
      <c r="Q176" s="1258"/>
      <c r="R176" s="1258"/>
      <c r="S176" s="1258"/>
      <c r="U176" s="55"/>
    </row>
    <row r="177" spans="1:21" x14ac:dyDescent="0.35">
      <c r="A177" s="1257" t="s">
        <v>1380</v>
      </c>
      <c r="B177" s="1257"/>
      <c r="C177" s="1258"/>
      <c r="D177" s="1245">
        <f t="shared" ref="D177:O177" si="16">D84/1000</f>
        <v>0</v>
      </c>
      <c r="E177" s="1245">
        <f t="shared" si="16"/>
        <v>-3.1549999999999998</v>
      </c>
      <c r="F177" s="1245">
        <f t="shared" si="16"/>
        <v>-2.2309999999999999</v>
      </c>
      <c r="G177" s="1245">
        <f t="shared" si="16"/>
        <v>-1.6080000000000001</v>
      </c>
      <c r="H177" s="1245">
        <f t="shared" si="16"/>
        <v>-0.77</v>
      </c>
      <c r="I177" s="1245">
        <f t="shared" si="16"/>
        <v>-0.98299999999999998</v>
      </c>
      <c r="J177" s="1245">
        <f t="shared" si="16"/>
        <v>-1.2110000000000001</v>
      </c>
      <c r="K177" s="1245">
        <f t="shared" si="16"/>
        <v>-1.4710000000000001</v>
      </c>
      <c r="L177" s="1245">
        <f t="shared" si="16"/>
        <v>-1.81</v>
      </c>
      <c r="M177" s="1245">
        <f t="shared" si="16"/>
        <v>-2.3250000000000002</v>
      </c>
      <c r="N177" s="1245">
        <f t="shared" si="16"/>
        <v>-7.7670000000000003</v>
      </c>
      <c r="O177" s="1245">
        <f t="shared" si="16"/>
        <v>-15.566000000000001</v>
      </c>
      <c r="P177" s="1245"/>
      <c r="Q177" s="1245"/>
      <c r="R177" s="1245"/>
      <c r="S177" s="1245"/>
      <c r="U177" s="55"/>
    </row>
    <row r="178" spans="1:21" x14ac:dyDescent="0.35">
      <c r="A178" s="1257" t="s">
        <v>227</v>
      </c>
      <c r="B178" s="1257"/>
      <c r="C178" s="1258"/>
      <c r="D178" s="1245">
        <f t="shared" ref="D178:O178" si="17">D85/1000</f>
        <v>0</v>
      </c>
      <c r="E178" s="1245">
        <f t="shared" si="17"/>
        <v>0.45200000000000001</v>
      </c>
      <c r="F178" s="1245">
        <f t="shared" si="17"/>
        <v>-8.67</v>
      </c>
      <c r="G178" s="1245">
        <f t="shared" si="17"/>
        <v>-4.5270000000000001</v>
      </c>
      <c r="H178" s="1245">
        <f t="shared" si="17"/>
        <v>-0.70499999999999996</v>
      </c>
      <c r="I178" s="1245">
        <f t="shared" si="17"/>
        <v>15.813000000000001</v>
      </c>
      <c r="J178" s="1245">
        <f t="shared" si="17"/>
        <v>20.372</v>
      </c>
      <c r="K178" s="1245">
        <f t="shared" si="17"/>
        <v>24.847000000000001</v>
      </c>
      <c r="L178" s="1245">
        <f t="shared" si="17"/>
        <v>28.113</v>
      </c>
      <c r="M178" s="1245">
        <f t="shared" si="17"/>
        <v>24.777000000000001</v>
      </c>
      <c r="N178" s="1245">
        <f t="shared" si="17"/>
        <v>-13.451000000000001</v>
      </c>
      <c r="O178" s="1245">
        <f t="shared" si="17"/>
        <v>100.468</v>
      </c>
      <c r="P178" s="1245"/>
      <c r="Q178" s="1245"/>
      <c r="R178" s="1245"/>
      <c r="S178" s="1245"/>
      <c r="U178" s="55"/>
    </row>
    <row r="179" spans="1:21" x14ac:dyDescent="0.35">
      <c r="A179" s="1257" t="s">
        <v>94</v>
      </c>
      <c r="B179" s="1257"/>
      <c r="C179" s="1258"/>
      <c r="D179" s="1245">
        <f t="shared" ref="D179:O179" si="18">D83/1000</f>
        <v>0</v>
      </c>
      <c r="E179" s="1245">
        <f t="shared" si="18"/>
        <v>35.317</v>
      </c>
      <c r="F179" s="1245">
        <f t="shared" si="18"/>
        <v>36.033000000000001</v>
      </c>
      <c r="G179" s="1245">
        <f t="shared" si="18"/>
        <v>21.076000000000001</v>
      </c>
      <c r="H179" s="1245">
        <f t="shared" si="18"/>
        <v>13.346</v>
      </c>
      <c r="I179" s="1245">
        <f t="shared" si="18"/>
        <v>27.507999999999999</v>
      </c>
      <c r="J179" s="1245">
        <f t="shared" si="18"/>
        <v>35.85</v>
      </c>
      <c r="K179" s="1245">
        <f t="shared" si="18"/>
        <v>18.64</v>
      </c>
      <c r="L179" s="1245">
        <f t="shared" si="18"/>
        <v>8.3940000000000001</v>
      </c>
      <c r="M179" s="1245">
        <f t="shared" si="18"/>
        <v>7.9820000000000002</v>
      </c>
      <c r="N179" s="1245">
        <f t="shared" si="18"/>
        <v>105.76900000000001</v>
      </c>
      <c r="O179" s="1245">
        <f t="shared" si="18"/>
        <v>204.14400000000001</v>
      </c>
      <c r="P179" s="1245"/>
      <c r="Q179" s="1245"/>
      <c r="R179" s="1245"/>
      <c r="S179" s="1245"/>
      <c r="U179" s="55"/>
    </row>
    <row r="182" spans="1:21" x14ac:dyDescent="0.35">
      <c r="A182" s="63" t="s">
        <v>1325</v>
      </c>
    </row>
    <row r="183" spans="1:21" x14ac:dyDescent="0.35">
      <c r="A183" s="1251"/>
      <c r="B183" s="1251"/>
      <c r="C183" s="1251"/>
      <c r="D183" s="1251" t="s">
        <v>171</v>
      </c>
      <c r="E183" s="1251" t="s">
        <v>172</v>
      </c>
      <c r="F183" s="1251" t="s">
        <v>173</v>
      </c>
      <c r="G183" s="1251" t="s">
        <v>174</v>
      </c>
      <c r="H183" s="1251" t="s">
        <v>175</v>
      </c>
      <c r="I183" s="1251" t="s">
        <v>176</v>
      </c>
      <c r="J183" s="1251" t="s">
        <v>177</v>
      </c>
      <c r="K183" s="1251" t="s">
        <v>178</v>
      </c>
      <c r="L183" s="1251" t="s">
        <v>179</v>
      </c>
      <c r="M183" s="1251" t="s">
        <v>163</v>
      </c>
      <c r="N183" s="1251" t="s">
        <v>164</v>
      </c>
      <c r="O183" s="1251" t="s">
        <v>165</v>
      </c>
      <c r="P183" s="1251" t="s">
        <v>728</v>
      </c>
      <c r="Q183" s="1251" t="s">
        <v>729</v>
      </c>
      <c r="R183" s="1251" t="s">
        <v>730</v>
      </c>
      <c r="S183" s="1251" t="s">
        <v>1108</v>
      </c>
      <c r="U183" s="55"/>
    </row>
    <row r="184" spans="1:21" x14ac:dyDescent="0.35">
      <c r="A184" s="1252" t="s">
        <v>1321</v>
      </c>
      <c r="B184" s="1252"/>
      <c r="C184" s="1259"/>
      <c r="D184" s="1259">
        <f t="shared" ref="D184:D191" si="19">D169</f>
        <v>0</v>
      </c>
      <c r="E184" s="1259">
        <f>D184</f>
        <v>0</v>
      </c>
      <c r="F184" s="1259">
        <f t="shared" ref="F184:F191" si="20">E169</f>
        <v>6.8000000000000005E-2</v>
      </c>
      <c r="G184" s="1259">
        <f>F184</f>
        <v>6.8000000000000005E-2</v>
      </c>
      <c r="H184" s="1259">
        <f>G184</f>
        <v>6.8000000000000005E-2</v>
      </c>
      <c r="I184" s="1259">
        <f>H184</f>
        <v>6.8000000000000005E-2</v>
      </c>
      <c r="J184" s="1259">
        <f t="shared" ref="J184:J191" si="21">F169</f>
        <v>1.363</v>
      </c>
      <c r="K184" s="1259">
        <f t="shared" ref="K184:M191" si="22">J184</f>
        <v>1.363</v>
      </c>
      <c r="L184" s="1259">
        <f t="shared" si="22"/>
        <v>1.363</v>
      </c>
      <c r="M184" s="1259">
        <f>L184</f>
        <v>1.363</v>
      </c>
      <c r="N184" s="1259">
        <f>G169</f>
        <v>2.4329999999999998</v>
      </c>
      <c r="O184" s="1259">
        <f>N184</f>
        <v>2.4329999999999998</v>
      </c>
      <c r="P184" s="1259">
        <f t="shared" ref="P184:Q184" si="23">O184</f>
        <v>2.4329999999999998</v>
      </c>
      <c r="Q184" s="1259">
        <f t="shared" si="23"/>
        <v>2.4329999999999998</v>
      </c>
      <c r="R184" s="1259">
        <f>H169</f>
        <v>2.8029999999999999</v>
      </c>
      <c r="S184" s="1259">
        <f>R184</f>
        <v>2.8029999999999999</v>
      </c>
      <c r="U184" s="55"/>
    </row>
    <row r="185" spans="1:21" x14ac:dyDescent="0.35">
      <c r="A185" s="1252" t="s">
        <v>1322</v>
      </c>
      <c r="B185" s="1252"/>
      <c r="C185" s="1259"/>
      <c r="D185" s="1259">
        <f t="shared" si="19"/>
        <v>0</v>
      </c>
      <c r="E185" s="1259">
        <f t="shared" ref="E185:E191" si="24">D185</f>
        <v>0</v>
      </c>
      <c r="F185" s="1259">
        <f t="shared" si="20"/>
        <v>0.81899999999999995</v>
      </c>
      <c r="G185" s="1259">
        <f t="shared" ref="G185:I191" si="25">F185</f>
        <v>0.81899999999999995</v>
      </c>
      <c r="H185" s="1259">
        <f t="shared" si="25"/>
        <v>0.81899999999999995</v>
      </c>
      <c r="I185" s="1259">
        <f t="shared" si="25"/>
        <v>0.81899999999999995</v>
      </c>
      <c r="J185" s="1259">
        <f>F170</f>
        <v>2.4780000000000002</v>
      </c>
      <c r="K185" s="1259">
        <f t="shared" si="22"/>
        <v>2.4780000000000002</v>
      </c>
      <c r="L185" s="1259">
        <f t="shared" si="22"/>
        <v>2.4780000000000002</v>
      </c>
      <c r="M185" s="1259">
        <f>L185</f>
        <v>2.4780000000000002</v>
      </c>
      <c r="N185" s="1259">
        <f>G170</f>
        <v>4.0720000000000001</v>
      </c>
      <c r="O185" s="1259">
        <f>N185</f>
        <v>4.0720000000000001</v>
      </c>
      <c r="P185" s="1259">
        <f t="shared" ref="P185:Q194" si="26">O185</f>
        <v>4.0720000000000001</v>
      </c>
      <c r="Q185" s="1259">
        <f t="shared" si="26"/>
        <v>4.0720000000000001</v>
      </c>
      <c r="R185" s="1259">
        <f>H170</f>
        <v>5.4480000000000004</v>
      </c>
      <c r="S185" s="1259">
        <f t="shared" ref="S185:S194" si="27">R185</f>
        <v>5.4480000000000004</v>
      </c>
      <c r="U185" s="55"/>
    </row>
    <row r="186" spans="1:21" x14ac:dyDescent="0.35">
      <c r="A186" s="1252" t="s">
        <v>1323</v>
      </c>
      <c r="B186" s="1252"/>
      <c r="C186" s="1259"/>
      <c r="D186" s="1259">
        <f t="shared" si="19"/>
        <v>0</v>
      </c>
      <c r="E186" s="1259">
        <f t="shared" si="24"/>
        <v>0</v>
      </c>
      <c r="F186" s="1259">
        <f t="shared" si="20"/>
        <v>4.5430000000000001</v>
      </c>
      <c r="G186" s="1259">
        <f t="shared" si="25"/>
        <v>4.5430000000000001</v>
      </c>
      <c r="H186" s="1259">
        <f t="shared" si="25"/>
        <v>4.5430000000000001</v>
      </c>
      <c r="I186" s="1259">
        <f t="shared" si="25"/>
        <v>4.5430000000000001</v>
      </c>
      <c r="J186" s="1259">
        <f t="shared" si="21"/>
        <v>5.6079999999999997</v>
      </c>
      <c r="K186" s="1259">
        <f t="shared" si="22"/>
        <v>5.6079999999999997</v>
      </c>
      <c r="L186" s="1259">
        <f t="shared" si="22"/>
        <v>5.6079999999999997</v>
      </c>
      <c r="M186" s="1259">
        <f t="shared" si="22"/>
        <v>5.6079999999999997</v>
      </c>
      <c r="N186" s="1259">
        <f>G171</f>
        <v>8.16</v>
      </c>
      <c r="O186" s="1259">
        <f t="shared" ref="O186:O191" si="28">N186</f>
        <v>8.16</v>
      </c>
      <c r="P186" s="1259">
        <f t="shared" si="26"/>
        <v>8.16</v>
      </c>
      <c r="Q186" s="1259">
        <f t="shared" si="26"/>
        <v>8.16</v>
      </c>
      <c r="R186" s="1259">
        <f t="shared" ref="R186:R194" si="29">H171</f>
        <v>10.069000000000001</v>
      </c>
      <c r="S186" s="1259">
        <f t="shared" si="27"/>
        <v>10.069000000000001</v>
      </c>
      <c r="U186" s="55"/>
    </row>
    <row r="187" spans="1:21" x14ac:dyDescent="0.35">
      <c r="A187" s="1253" t="s">
        <v>43</v>
      </c>
      <c r="B187" s="1253"/>
      <c r="C187" s="1259"/>
      <c r="D187" s="1259">
        <f t="shared" si="19"/>
        <v>0</v>
      </c>
      <c r="E187" s="1259">
        <f t="shared" si="24"/>
        <v>0</v>
      </c>
      <c r="F187" s="1259">
        <f t="shared" si="20"/>
        <v>1.2969999999999999</v>
      </c>
      <c r="G187" s="1259">
        <f t="shared" si="25"/>
        <v>1.2969999999999999</v>
      </c>
      <c r="H187" s="1259">
        <f t="shared" si="25"/>
        <v>1.2969999999999999</v>
      </c>
      <c r="I187" s="1259">
        <f t="shared" si="25"/>
        <v>1.2969999999999999</v>
      </c>
      <c r="J187" s="1259">
        <f t="shared" si="21"/>
        <v>3.8479999999999999</v>
      </c>
      <c r="K187" s="1259">
        <f t="shared" si="22"/>
        <v>3.8479999999999999</v>
      </c>
      <c r="L187" s="1259">
        <f t="shared" si="22"/>
        <v>3.8479999999999999</v>
      </c>
      <c r="M187" s="1259">
        <f t="shared" si="22"/>
        <v>3.8479999999999999</v>
      </c>
      <c r="N187" s="1259">
        <f t="shared" ref="N187:N191" si="30">G172</f>
        <v>6.4420000000000002</v>
      </c>
      <c r="O187" s="1259">
        <f t="shared" si="28"/>
        <v>6.4420000000000002</v>
      </c>
      <c r="P187" s="1259">
        <f t="shared" si="26"/>
        <v>6.4420000000000002</v>
      </c>
      <c r="Q187" s="1259">
        <f t="shared" si="26"/>
        <v>6.4420000000000002</v>
      </c>
      <c r="R187" s="1259">
        <f t="shared" si="29"/>
        <v>9.532</v>
      </c>
      <c r="S187" s="1259">
        <f t="shared" si="27"/>
        <v>9.532</v>
      </c>
      <c r="U187" s="55"/>
    </row>
    <row r="188" spans="1:21" x14ac:dyDescent="0.35">
      <c r="A188" s="1254" t="s">
        <v>491</v>
      </c>
      <c r="B188" s="1254"/>
      <c r="C188" s="1259"/>
      <c r="D188" s="1259">
        <f t="shared" si="19"/>
        <v>0</v>
      </c>
      <c r="E188" s="1259">
        <f t="shared" si="24"/>
        <v>0</v>
      </c>
      <c r="F188" s="1259">
        <f t="shared" si="20"/>
        <v>0</v>
      </c>
      <c r="G188" s="1259">
        <f t="shared" si="25"/>
        <v>0</v>
      </c>
      <c r="H188" s="1259">
        <f t="shared" si="25"/>
        <v>0</v>
      </c>
      <c r="I188" s="1259">
        <f t="shared" si="25"/>
        <v>0</v>
      </c>
      <c r="J188" s="1259">
        <f t="shared" si="21"/>
        <v>0</v>
      </c>
      <c r="K188" s="1259">
        <f t="shared" si="22"/>
        <v>0</v>
      </c>
      <c r="L188" s="1259">
        <f t="shared" si="22"/>
        <v>0</v>
      </c>
      <c r="M188" s="1259">
        <f t="shared" si="22"/>
        <v>0</v>
      </c>
      <c r="N188" s="1259">
        <f t="shared" si="30"/>
        <v>0</v>
      </c>
      <c r="O188" s="1259">
        <f t="shared" si="28"/>
        <v>0</v>
      </c>
      <c r="P188" s="1259">
        <f t="shared" si="26"/>
        <v>0</v>
      </c>
      <c r="Q188" s="1259">
        <f t="shared" si="26"/>
        <v>0</v>
      </c>
      <c r="R188" s="1259">
        <f t="shared" si="29"/>
        <v>0</v>
      </c>
      <c r="S188" s="1259">
        <f t="shared" si="27"/>
        <v>0</v>
      </c>
      <c r="U188" s="55"/>
    </row>
    <row r="189" spans="1:21" x14ac:dyDescent="0.35">
      <c r="A189" s="1255" t="s">
        <v>45</v>
      </c>
      <c r="B189" s="1255"/>
      <c r="C189" s="1259"/>
      <c r="D189" s="1259">
        <f t="shared" si="19"/>
        <v>0</v>
      </c>
      <c r="E189" s="1259">
        <f t="shared" si="24"/>
        <v>0</v>
      </c>
      <c r="F189" s="1259">
        <f t="shared" si="20"/>
        <v>0.11</v>
      </c>
      <c r="G189" s="1259">
        <f t="shared" si="25"/>
        <v>0.11</v>
      </c>
      <c r="H189" s="1259">
        <f t="shared" si="25"/>
        <v>0.11</v>
      </c>
      <c r="I189" s="1259">
        <f t="shared" si="25"/>
        <v>0.11</v>
      </c>
      <c r="J189" s="1259">
        <f t="shared" si="21"/>
        <v>0.73899999999999999</v>
      </c>
      <c r="K189" s="1259">
        <f t="shared" si="22"/>
        <v>0.73899999999999999</v>
      </c>
      <c r="L189" s="1259">
        <f t="shared" si="22"/>
        <v>0.73899999999999999</v>
      </c>
      <c r="M189" s="1259">
        <f t="shared" si="22"/>
        <v>0.73899999999999999</v>
      </c>
      <c r="N189" s="1259">
        <f t="shared" si="30"/>
        <v>1.1950000000000001</v>
      </c>
      <c r="O189" s="1259">
        <f t="shared" si="28"/>
        <v>1.1950000000000001</v>
      </c>
      <c r="P189" s="1259">
        <f t="shared" si="26"/>
        <v>1.1950000000000001</v>
      </c>
      <c r="Q189" s="1259">
        <f t="shared" si="26"/>
        <v>1.1950000000000001</v>
      </c>
      <c r="R189" s="1259">
        <f t="shared" si="29"/>
        <v>1.4970000000000001</v>
      </c>
      <c r="S189" s="1259">
        <f t="shared" si="27"/>
        <v>1.4970000000000001</v>
      </c>
      <c r="U189" s="55"/>
    </row>
    <row r="190" spans="1:21" x14ac:dyDescent="0.35">
      <c r="A190" s="1255" t="s">
        <v>1324</v>
      </c>
      <c r="B190" s="1255"/>
      <c r="C190" s="1259"/>
      <c r="D190" s="1259">
        <f t="shared" si="19"/>
        <v>0</v>
      </c>
      <c r="E190" s="1259">
        <f t="shared" si="24"/>
        <v>0</v>
      </c>
      <c r="F190" s="1259">
        <f t="shared" si="20"/>
        <v>-0.41499999999999998</v>
      </c>
      <c r="G190" s="1259">
        <f t="shared" si="25"/>
        <v>-0.41499999999999998</v>
      </c>
      <c r="H190" s="1259">
        <f t="shared" si="25"/>
        <v>-0.41499999999999998</v>
      </c>
      <c r="I190" s="1259">
        <f t="shared" si="25"/>
        <v>-0.41499999999999998</v>
      </c>
      <c r="J190" s="1259">
        <f t="shared" si="21"/>
        <v>2.7679999999999998</v>
      </c>
      <c r="K190" s="1259">
        <f t="shared" si="22"/>
        <v>2.7679999999999998</v>
      </c>
      <c r="L190" s="1259">
        <f t="shared" si="22"/>
        <v>2.7679999999999998</v>
      </c>
      <c r="M190" s="1259">
        <f t="shared" si="22"/>
        <v>2.7679999999999998</v>
      </c>
      <c r="N190" s="1259">
        <f t="shared" si="30"/>
        <v>-12.473000000000001</v>
      </c>
      <c r="O190" s="1259">
        <f t="shared" si="28"/>
        <v>-12.473000000000001</v>
      </c>
      <c r="P190" s="1259">
        <f t="shared" si="26"/>
        <v>-12.473000000000001</v>
      </c>
      <c r="Q190" s="1259">
        <f t="shared" si="26"/>
        <v>-12.473000000000001</v>
      </c>
      <c r="R190" s="1259">
        <f t="shared" si="29"/>
        <v>-5.3739999999999997</v>
      </c>
      <c r="S190" s="1259">
        <f t="shared" si="27"/>
        <v>-5.3739999999999997</v>
      </c>
      <c r="U190" s="55"/>
    </row>
    <row r="191" spans="1:21" x14ac:dyDescent="0.35">
      <c r="A191" s="1256" t="s">
        <v>48</v>
      </c>
      <c r="B191" s="1256"/>
      <c r="C191" s="1259"/>
      <c r="D191" s="1259">
        <f t="shared" si="19"/>
        <v>-0.622</v>
      </c>
      <c r="E191" s="1259">
        <f t="shared" si="24"/>
        <v>-0.622</v>
      </c>
      <c r="F191" s="1259">
        <f t="shared" si="20"/>
        <v>21.89</v>
      </c>
      <c r="G191" s="1259">
        <f t="shared" si="25"/>
        <v>21.89</v>
      </c>
      <c r="H191" s="1259">
        <f t="shared" si="25"/>
        <v>21.89</v>
      </c>
      <c r="I191" s="1259">
        <f t="shared" si="25"/>
        <v>21.89</v>
      </c>
      <c r="J191" s="1259">
        <f t="shared" si="21"/>
        <v>15.439</v>
      </c>
      <c r="K191" s="1259">
        <f t="shared" si="22"/>
        <v>15.439</v>
      </c>
      <c r="L191" s="1259">
        <f t="shared" si="22"/>
        <v>15.439</v>
      </c>
      <c r="M191" s="1259">
        <f t="shared" si="22"/>
        <v>15.439</v>
      </c>
      <c r="N191" s="1259">
        <f t="shared" si="30"/>
        <v>16.966999999999999</v>
      </c>
      <c r="O191" s="1259">
        <f t="shared" si="28"/>
        <v>16.966999999999999</v>
      </c>
      <c r="P191" s="1259">
        <f t="shared" si="26"/>
        <v>16.966999999999999</v>
      </c>
      <c r="Q191" s="1259">
        <f t="shared" si="26"/>
        <v>16.966999999999999</v>
      </c>
      <c r="R191" s="1259">
        <f t="shared" si="29"/>
        <v>0.72799999999999998</v>
      </c>
      <c r="S191" s="1259">
        <f t="shared" si="27"/>
        <v>0.72799999999999998</v>
      </c>
      <c r="U191" s="55"/>
    </row>
    <row r="192" spans="1:21" x14ac:dyDescent="0.35">
      <c r="A192" s="1257" t="s">
        <v>449</v>
      </c>
      <c r="B192" s="1257"/>
      <c r="C192" s="1259"/>
      <c r="D192" s="1245">
        <f t="shared" ref="D192:D194" si="31">D177</f>
        <v>0</v>
      </c>
      <c r="E192" s="1245">
        <f t="shared" ref="E192:E194" si="32">D192</f>
        <v>0</v>
      </c>
      <c r="F192" s="1245">
        <f t="shared" ref="F192:F194" si="33">E177</f>
        <v>-3.1549999999999998</v>
      </c>
      <c r="G192" s="1245">
        <f t="shared" ref="G192:G194" si="34">F192</f>
        <v>-3.1549999999999998</v>
      </c>
      <c r="H192" s="1245">
        <f t="shared" ref="H192:H194" si="35">G192</f>
        <v>-3.1549999999999998</v>
      </c>
      <c r="I192" s="1245">
        <f t="shared" ref="I192:I194" si="36">H192</f>
        <v>-3.1549999999999998</v>
      </c>
      <c r="J192" s="1245">
        <f t="shared" ref="J192:J194" si="37">F177</f>
        <v>-2.2309999999999999</v>
      </c>
      <c r="K192" s="1245">
        <f t="shared" ref="K192:K194" si="38">J192</f>
        <v>-2.2309999999999999</v>
      </c>
      <c r="L192" s="1245">
        <f t="shared" ref="L192:L194" si="39">K192</f>
        <v>-2.2309999999999999</v>
      </c>
      <c r="M192" s="1245">
        <f t="shared" ref="M192:M194" si="40">L192</f>
        <v>-2.2309999999999999</v>
      </c>
      <c r="N192" s="1245">
        <f t="shared" ref="N192:N194" si="41">G177</f>
        <v>-1.6080000000000001</v>
      </c>
      <c r="O192" s="1245">
        <f t="shared" ref="O192:O194" si="42">N192</f>
        <v>-1.6080000000000001</v>
      </c>
      <c r="P192" s="1245">
        <f t="shared" si="26"/>
        <v>-1.6080000000000001</v>
      </c>
      <c r="Q192" s="1245">
        <f t="shared" si="26"/>
        <v>-1.6080000000000001</v>
      </c>
      <c r="R192" s="1259">
        <f t="shared" si="29"/>
        <v>-0.77</v>
      </c>
      <c r="S192" s="1259">
        <f t="shared" si="27"/>
        <v>-0.77</v>
      </c>
      <c r="U192" s="55"/>
    </row>
    <row r="193" spans="1:21" x14ac:dyDescent="0.35">
      <c r="A193" s="1257" t="s">
        <v>447</v>
      </c>
      <c r="B193" s="1257"/>
      <c r="C193" s="1259"/>
      <c r="D193" s="1245">
        <f t="shared" si="31"/>
        <v>0</v>
      </c>
      <c r="E193" s="1245">
        <f t="shared" si="32"/>
        <v>0</v>
      </c>
      <c r="F193" s="1245">
        <f t="shared" si="33"/>
        <v>0.45200000000000001</v>
      </c>
      <c r="G193" s="1245">
        <f t="shared" si="34"/>
        <v>0.45200000000000001</v>
      </c>
      <c r="H193" s="1245">
        <f t="shared" si="35"/>
        <v>0.45200000000000001</v>
      </c>
      <c r="I193" s="1245">
        <f t="shared" si="36"/>
        <v>0.45200000000000001</v>
      </c>
      <c r="J193" s="1245">
        <f t="shared" si="37"/>
        <v>-8.67</v>
      </c>
      <c r="K193" s="1245">
        <f t="shared" si="38"/>
        <v>-8.67</v>
      </c>
      <c r="L193" s="1245">
        <f t="shared" si="39"/>
        <v>-8.67</v>
      </c>
      <c r="M193" s="1245">
        <f t="shared" si="40"/>
        <v>-8.67</v>
      </c>
      <c r="N193" s="1245">
        <f t="shared" si="41"/>
        <v>-4.5270000000000001</v>
      </c>
      <c r="O193" s="1245">
        <f t="shared" si="42"/>
        <v>-4.5270000000000001</v>
      </c>
      <c r="P193" s="1245">
        <f t="shared" si="26"/>
        <v>-4.5270000000000001</v>
      </c>
      <c r="Q193" s="1245">
        <f t="shared" si="26"/>
        <v>-4.5270000000000001</v>
      </c>
      <c r="R193" s="1259">
        <f t="shared" si="29"/>
        <v>-0.70499999999999996</v>
      </c>
      <c r="S193" s="1259">
        <f t="shared" si="27"/>
        <v>-0.70499999999999996</v>
      </c>
      <c r="U193" s="55"/>
    </row>
    <row r="194" spans="1:21" x14ac:dyDescent="0.35">
      <c r="A194" s="1257" t="s">
        <v>94</v>
      </c>
      <c r="B194" s="1257"/>
      <c r="C194" s="1259"/>
      <c r="D194" s="1245">
        <f t="shared" si="31"/>
        <v>0</v>
      </c>
      <c r="E194" s="1245">
        <f t="shared" si="32"/>
        <v>0</v>
      </c>
      <c r="F194" s="1245">
        <f t="shared" si="33"/>
        <v>35.317</v>
      </c>
      <c r="G194" s="1245">
        <f t="shared" si="34"/>
        <v>35.317</v>
      </c>
      <c r="H194" s="1245">
        <f t="shared" si="35"/>
        <v>35.317</v>
      </c>
      <c r="I194" s="1245">
        <f t="shared" si="36"/>
        <v>35.317</v>
      </c>
      <c r="J194" s="1245">
        <f t="shared" si="37"/>
        <v>36.033000000000001</v>
      </c>
      <c r="K194" s="1245">
        <f t="shared" si="38"/>
        <v>36.033000000000001</v>
      </c>
      <c r="L194" s="1245">
        <f t="shared" si="39"/>
        <v>36.033000000000001</v>
      </c>
      <c r="M194" s="1245">
        <f t="shared" si="40"/>
        <v>36.033000000000001</v>
      </c>
      <c r="N194" s="1245">
        <f t="shared" si="41"/>
        <v>21.076000000000001</v>
      </c>
      <c r="O194" s="1245">
        <f t="shared" si="42"/>
        <v>21.076000000000001</v>
      </c>
      <c r="P194" s="1245">
        <f t="shared" si="26"/>
        <v>21.076000000000001</v>
      </c>
      <c r="Q194" s="1245">
        <f t="shared" si="26"/>
        <v>21.076000000000001</v>
      </c>
      <c r="R194" s="1259">
        <f t="shared" si="29"/>
        <v>13.346</v>
      </c>
      <c r="S194" s="1259">
        <f t="shared" si="27"/>
        <v>13.346</v>
      </c>
      <c r="U194" s="55"/>
    </row>
    <row r="197" spans="1:21" x14ac:dyDescent="0.35">
      <c r="A197" s="63" t="s">
        <v>1327</v>
      </c>
    </row>
    <row r="198" spans="1:21" x14ac:dyDescent="0.35">
      <c r="A198" s="1253" t="s">
        <v>43</v>
      </c>
      <c r="D198" s="1260">
        <v>0</v>
      </c>
      <c r="E198" s="1260">
        <v>0</v>
      </c>
      <c r="F198" s="1260">
        <v>2.3250000000000002</v>
      </c>
      <c r="G198" s="1260">
        <v>2.3250000000000002</v>
      </c>
      <c r="H198" s="1260">
        <v>2.3250000000000002</v>
      </c>
      <c r="I198" s="1260">
        <v>2.3250000000000002</v>
      </c>
      <c r="J198" s="1260">
        <v>5.5830000000000002</v>
      </c>
      <c r="K198" s="1260">
        <v>5.5830000000000002</v>
      </c>
      <c r="L198" s="1260">
        <v>5.5830000000000002</v>
      </c>
      <c r="M198" s="1260">
        <v>5.5830000000000002</v>
      </c>
      <c r="N198" s="1260">
        <v>8.0220000000000002</v>
      </c>
      <c r="O198" s="1260">
        <v>8.0220000000000002</v>
      </c>
      <c r="P198" s="1260"/>
      <c r="Q198" s="1260"/>
      <c r="R198" s="1260"/>
      <c r="S198" s="1260"/>
    </row>
  </sheetData>
  <mergeCells count="5">
    <mergeCell ref="C2:O2"/>
    <mergeCell ref="C42:O42"/>
    <mergeCell ref="C68:O68"/>
    <mergeCell ref="C75:O75"/>
    <mergeCell ref="C82:O82"/>
  </mergeCells>
  <hyperlinks>
    <hyperlink ref="T157" r:id="rId1" xr:uid="{00000000-0004-0000-2300-000000000000}"/>
    <hyperlink ref="T115" r:id="rId2" xr:uid="{00000000-0004-0000-2300-000001000000}"/>
    <hyperlink ref="T153" r:id="rId3" location=":~:text=Who%20is%20eligible%20for%20Conservation,resource%20concerns%20when%20they%20apply." xr:uid="{00000000-0004-0000-2300-000002000000}"/>
    <hyperlink ref="A1" r:id="rId4" xr:uid="{00000000-0004-0000-2300-000003000000}"/>
  </hyperlinks>
  <pageMargins left="0.7" right="0.7" top="0.75" bottom="0.75" header="0.3" footer="0.3"/>
  <pageSetup orientation="portrait" horizontalDpi="1200" verticalDpi="12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8" t="s">
        <v>517</v>
      </c>
    </row>
    <row r="2" spans="1:6" ht="20.9" customHeight="1" x14ac:dyDescent="0.4">
      <c r="A2" s="1265" t="s">
        <v>518</v>
      </c>
      <c r="B2" s="1265" t="s">
        <v>519</v>
      </c>
      <c r="C2" s="1265" t="s">
        <v>520</v>
      </c>
      <c r="D2" s="1265" t="s">
        <v>521</v>
      </c>
    </row>
    <row r="3" spans="1:6" x14ac:dyDescent="0.35">
      <c r="A3" s="1266" t="s">
        <v>522</v>
      </c>
      <c r="B3" s="1059">
        <f>SUM(B4:B7)</f>
        <v>325</v>
      </c>
      <c r="E3" s="1547" t="s">
        <v>523</v>
      </c>
      <c r="F3" s="1547"/>
    </row>
    <row r="4" spans="1:6" x14ac:dyDescent="0.35">
      <c r="A4" s="952" t="s">
        <v>524</v>
      </c>
      <c r="B4" s="1059">
        <v>284</v>
      </c>
      <c r="E4" s="630" t="s">
        <v>42</v>
      </c>
      <c r="F4" s="630" t="s">
        <v>525</v>
      </c>
    </row>
    <row r="5" spans="1:6" x14ac:dyDescent="0.35">
      <c r="A5" s="952" t="s">
        <v>377</v>
      </c>
      <c r="B5" s="1059">
        <v>20</v>
      </c>
      <c r="E5" s="268" t="s">
        <v>138</v>
      </c>
      <c r="F5" s="268">
        <f>SUM(B11:B16)</f>
        <v>82</v>
      </c>
    </row>
    <row r="6" spans="1:6" x14ac:dyDescent="0.35">
      <c r="A6" s="952" t="s">
        <v>384</v>
      </c>
      <c r="B6" s="1059">
        <v>15</v>
      </c>
      <c r="E6" s="268" t="s">
        <v>40</v>
      </c>
      <c r="F6" s="268">
        <f>B23</f>
        <v>3</v>
      </c>
    </row>
    <row r="7" spans="1:6" x14ac:dyDescent="0.35">
      <c r="A7" s="952" t="s">
        <v>385</v>
      </c>
      <c r="B7" s="1059">
        <v>6</v>
      </c>
      <c r="E7" s="268" t="s">
        <v>309</v>
      </c>
      <c r="F7" s="268">
        <f>B27-B28</f>
        <v>29</v>
      </c>
    </row>
    <row r="8" spans="1:6" x14ac:dyDescent="0.35">
      <c r="A8" s="630" t="s">
        <v>526</v>
      </c>
      <c r="B8" s="1059">
        <v>121</v>
      </c>
      <c r="E8" s="268" t="s">
        <v>326</v>
      </c>
      <c r="F8" s="268">
        <f>B42</f>
        <v>2</v>
      </c>
    </row>
    <row r="9" spans="1:6" x14ac:dyDescent="0.35">
      <c r="A9" s="1267" t="s">
        <v>527</v>
      </c>
      <c r="B9" s="1059">
        <v>166</v>
      </c>
      <c r="E9" s="268" t="s">
        <v>528</v>
      </c>
      <c r="F9" s="268">
        <f>B18+B20+B21</f>
        <v>34</v>
      </c>
    </row>
    <row r="10" spans="1:6" x14ac:dyDescent="0.35">
      <c r="A10" s="1264" t="s">
        <v>529</v>
      </c>
      <c r="B10" s="1059">
        <v>82</v>
      </c>
      <c r="E10" s="630" t="s">
        <v>530</v>
      </c>
      <c r="F10" s="630" t="s">
        <v>531</v>
      </c>
    </row>
    <row r="11" spans="1:6" x14ac:dyDescent="0.35">
      <c r="A11" s="952" t="s">
        <v>532</v>
      </c>
      <c r="B11" s="1059">
        <v>54</v>
      </c>
      <c r="E11" s="268" t="s">
        <v>282</v>
      </c>
      <c r="F11" s="268">
        <f>B4</f>
        <v>284</v>
      </c>
    </row>
    <row r="12" spans="1:6" x14ac:dyDescent="0.35">
      <c r="A12" s="952" t="s">
        <v>533</v>
      </c>
      <c r="B12" s="1059">
        <v>20</v>
      </c>
      <c r="E12" s="268" t="s">
        <v>534</v>
      </c>
      <c r="F12" s="268">
        <f>B5</f>
        <v>20</v>
      </c>
    </row>
    <row r="13" spans="1:6" x14ac:dyDescent="0.35">
      <c r="A13" s="952" t="s">
        <v>535</v>
      </c>
      <c r="B13" s="1059">
        <v>4</v>
      </c>
      <c r="E13" s="268" t="s">
        <v>384</v>
      </c>
      <c r="F13" s="268">
        <f>B6</f>
        <v>15</v>
      </c>
    </row>
    <row r="14" spans="1:6" ht="27.65" customHeight="1" x14ac:dyDescent="0.35">
      <c r="A14" s="952" t="s">
        <v>536</v>
      </c>
      <c r="B14" s="1059">
        <v>2</v>
      </c>
      <c r="E14" s="399" t="s">
        <v>385</v>
      </c>
      <c r="F14" s="268">
        <f>B7</f>
        <v>6</v>
      </c>
    </row>
    <row r="15" spans="1:6" ht="27.65" customHeight="1" x14ac:dyDescent="0.35">
      <c r="A15" s="952" t="s">
        <v>537</v>
      </c>
      <c r="B15" s="1059">
        <v>1</v>
      </c>
      <c r="E15" s="399" t="s">
        <v>538</v>
      </c>
      <c r="F15" s="268">
        <f>B28</f>
        <v>15</v>
      </c>
    </row>
    <row r="16" spans="1:6" x14ac:dyDescent="0.35">
      <c r="A16" s="952" t="s">
        <v>539</v>
      </c>
      <c r="B16" s="1059">
        <v>1</v>
      </c>
      <c r="E16" s="268" t="s">
        <v>540</v>
      </c>
      <c r="F16" s="268">
        <f>B37</f>
        <v>12</v>
      </c>
    </row>
    <row r="17" spans="1:6" x14ac:dyDescent="0.35">
      <c r="A17" s="630" t="s">
        <v>541</v>
      </c>
      <c r="B17" s="1059">
        <v>72</v>
      </c>
      <c r="E17" s="268" t="s">
        <v>542</v>
      </c>
      <c r="F17" s="268">
        <f>B38</f>
        <v>10</v>
      </c>
    </row>
    <row r="18" spans="1:6" x14ac:dyDescent="0.35">
      <c r="A18" s="952" t="s">
        <v>543</v>
      </c>
      <c r="B18" s="1059">
        <v>22</v>
      </c>
      <c r="C18" s="268" t="s">
        <v>544</v>
      </c>
    </row>
    <row r="19" spans="1:6" x14ac:dyDescent="0.35">
      <c r="A19" s="952" t="s">
        <v>545</v>
      </c>
      <c r="B19" s="1059">
        <v>20</v>
      </c>
      <c r="C19" s="268" t="s">
        <v>97</v>
      </c>
    </row>
    <row r="20" spans="1:6" x14ac:dyDescent="0.35">
      <c r="A20" s="952" t="s">
        <v>546</v>
      </c>
      <c r="B20" s="1059">
        <v>8</v>
      </c>
      <c r="C20" s="268" t="s">
        <v>544</v>
      </c>
    </row>
    <row r="21" spans="1:6" x14ac:dyDescent="0.35">
      <c r="A21" s="952" t="s">
        <v>547</v>
      </c>
      <c r="B21" s="1059">
        <v>4</v>
      </c>
      <c r="C21" s="268" t="s">
        <v>42</v>
      </c>
    </row>
    <row r="22" spans="1:6" x14ac:dyDescent="0.35">
      <c r="A22" s="952" t="s">
        <v>548</v>
      </c>
      <c r="B22" s="1059">
        <v>4</v>
      </c>
      <c r="C22" s="268" t="s">
        <v>97</v>
      </c>
    </row>
    <row r="23" spans="1:6" x14ac:dyDescent="0.35">
      <c r="A23" s="952" t="s">
        <v>549</v>
      </c>
      <c r="B23" s="1059">
        <v>3</v>
      </c>
      <c r="C23" s="268" t="s">
        <v>550</v>
      </c>
    </row>
    <row r="24" spans="1:6" x14ac:dyDescent="0.35">
      <c r="A24" s="952" t="s">
        <v>551</v>
      </c>
      <c r="B24" s="1059">
        <v>3</v>
      </c>
      <c r="C24" s="268" t="s">
        <v>552</v>
      </c>
    </row>
    <row r="25" spans="1:6" x14ac:dyDescent="0.35">
      <c r="A25" s="1268" t="s">
        <v>553</v>
      </c>
      <c r="B25" s="1059">
        <v>3</v>
      </c>
      <c r="C25" s="268" t="s">
        <v>46</v>
      </c>
    </row>
    <row r="26" spans="1:6" x14ac:dyDescent="0.35">
      <c r="A26" s="952" t="s">
        <v>554</v>
      </c>
      <c r="B26" s="1059">
        <v>4</v>
      </c>
      <c r="C26" s="268" t="s">
        <v>555</v>
      </c>
    </row>
    <row r="27" spans="1:6" x14ac:dyDescent="0.35">
      <c r="A27" s="630" t="s">
        <v>309</v>
      </c>
      <c r="B27" s="1059">
        <v>44</v>
      </c>
    </row>
    <row r="28" spans="1:6" x14ac:dyDescent="0.35">
      <c r="A28" s="1261" t="s">
        <v>538</v>
      </c>
      <c r="B28" s="1262">
        <v>15</v>
      </c>
    </row>
    <row r="29" spans="1:6" x14ac:dyDescent="0.35">
      <c r="A29" s="952" t="s">
        <v>556</v>
      </c>
      <c r="B29" s="1059">
        <v>14</v>
      </c>
    </row>
    <row r="30" spans="1:6" x14ac:dyDescent="0.35">
      <c r="A30" s="952" t="s">
        <v>557</v>
      </c>
      <c r="B30" s="1059">
        <v>10</v>
      </c>
    </row>
    <row r="31" spans="1:6" x14ac:dyDescent="0.35">
      <c r="A31" s="952" t="s">
        <v>558</v>
      </c>
      <c r="B31" s="1059">
        <v>2</v>
      </c>
    </row>
    <row r="32" spans="1:6" x14ac:dyDescent="0.35">
      <c r="A32" s="952" t="s">
        <v>559</v>
      </c>
      <c r="B32" s="1059">
        <v>2</v>
      </c>
    </row>
    <row r="33" spans="1:6" x14ac:dyDescent="0.35">
      <c r="A33" s="952" t="s">
        <v>560</v>
      </c>
      <c r="B33" s="1059">
        <v>1</v>
      </c>
    </row>
    <row r="34" spans="1:6" x14ac:dyDescent="0.35">
      <c r="A34" s="630" t="s">
        <v>561</v>
      </c>
      <c r="B34" s="1059">
        <v>88</v>
      </c>
    </row>
    <row r="35" spans="1:6" x14ac:dyDescent="0.35">
      <c r="A35" s="1268" t="s">
        <v>562</v>
      </c>
      <c r="B35" s="1059">
        <v>26</v>
      </c>
    </row>
    <row r="36" spans="1:6" x14ac:dyDescent="0.35">
      <c r="A36" s="952" t="s">
        <v>563</v>
      </c>
      <c r="B36" s="1059">
        <v>25</v>
      </c>
    </row>
    <row r="37" spans="1:6" x14ac:dyDescent="0.35">
      <c r="A37" s="952" t="s">
        <v>540</v>
      </c>
      <c r="B37" s="1059">
        <v>12</v>
      </c>
      <c r="C37" s="268" t="s">
        <v>564</v>
      </c>
      <c r="E37" s="268" t="s">
        <v>565</v>
      </c>
      <c r="F37" s="268" t="s">
        <v>566</v>
      </c>
    </row>
    <row r="38" spans="1:6" x14ac:dyDescent="0.35">
      <c r="A38" s="952" t="s">
        <v>542</v>
      </c>
      <c r="B38" s="1059">
        <v>10</v>
      </c>
      <c r="C38" s="268" t="s">
        <v>564</v>
      </c>
      <c r="E38" s="268" t="s">
        <v>567</v>
      </c>
      <c r="F38" s="268" t="s">
        <v>568</v>
      </c>
    </row>
    <row r="39" spans="1:6" x14ac:dyDescent="0.35">
      <c r="A39" s="952" t="s">
        <v>569</v>
      </c>
      <c r="B39" s="1059">
        <v>7</v>
      </c>
      <c r="C39" s="268" t="s">
        <v>555</v>
      </c>
      <c r="E39" s="268" t="s">
        <v>570</v>
      </c>
      <c r="F39" s="268" t="s">
        <v>571</v>
      </c>
    </row>
    <row r="40" spans="1:6" x14ac:dyDescent="0.35">
      <c r="A40" s="952" t="s">
        <v>572</v>
      </c>
      <c r="B40" s="1059">
        <v>5</v>
      </c>
      <c r="C40" s="268" t="s">
        <v>97</v>
      </c>
      <c r="E40" s="268" t="s">
        <v>573</v>
      </c>
    </row>
    <row r="41" spans="1:6" x14ac:dyDescent="0.35">
      <c r="A41" s="952" t="s">
        <v>574</v>
      </c>
      <c r="B41" s="1059">
        <v>2</v>
      </c>
      <c r="C41" s="268" t="s">
        <v>555</v>
      </c>
      <c r="E41" s="268" t="s">
        <v>575</v>
      </c>
    </row>
    <row r="42" spans="1:6" x14ac:dyDescent="0.35">
      <c r="A42" s="952" t="s">
        <v>576</v>
      </c>
      <c r="B42" s="1059">
        <v>2</v>
      </c>
      <c r="C42" s="268" t="s">
        <v>544</v>
      </c>
      <c r="E42" s="1263" t="s">
        <v>577</v>
      </c>
    </row>
    <row r="43" spans="1:6" x14ac:dyDescent="0.35">
      <c r="A43" s="952" t="s">
        <v>578</v>
      </c>
      <c r="B43" s="1059">
        <v>0</v>
      </c>
      <c r="E43" s="268" t="s">
        <v>579</v>
      </c>
    </row>
    <row r="44" spans="1:6" x14ac:dyDescent="0.35">
      <c r="A44" s="630" t="s">
        <v>580</v>
      </c>
      <c r="B44" s="1059">
        <v>40</v>
      </c>
    </row>
    <row r="45" spans="1:6" x14ac:dyDescent="0.35">
      <c r="A45" s="1268" t="s">
        <v>581</v>
      </c>
      <c r="B45" s="1269">
        <v>21</v>
      </c>
    </row>
    <row r="46" spans="1:6" x14ac:dyDescent="0.35">
      <c r="A46" s="952" t="s">
        <v>582</v>
      </c>
      <c r="B46" s="1059">
        <v>6</v>
      </c>
    </row>
    <row r="47" spans="1:6" x14ac:dyDescent="0.35">
      <c r="A47" s="1268" t="s">
        <v>583</v>
      </c>
      <c r="B47" s="1269">
        <v>4</v>
      </c>
    </row>
    <row r="48" spans="1:6" x14ac:dyDescent="0.35">
      <c r="A48" s="952" t="s">
        <v>584</v>
      </c>
      <c r="B48" s="1059">
        <v>4</v>
      </c>
    </row>
    <row r="49" spans="1:2" x14ac:dyDescent="0.35">
      <c r="A49" s="1268" t="s">
        <v>585</v>
      </c>
      <c r="B49" s="1269">
        <v>3</v>
      </c>
    </row>
    <row r="50" spans="1:2" x14ac:dyDescent="0.35">
      <c r="A50" s="952" t="s">
        <v>586</v>
      </c>
      <c r="B50" s="1059">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O4" sqref="O4"/>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6" t="s">
        <v>792</v>
      </c>
      <c r="I1" s="1548"/>
      <c r="J1" s="1548"/>
      <c r="K1" s="1548"/>
    </row>
    <row r="2" spans="1:62" ht="13.4" customHeight="1" x14ac:dyDescent="0.35">
      <c r="A2" s="1281"/>
      <c r="O2" s="1307" t="s">
        <v>758</v>
      </c>
      <c r="P2" s="1554" t="s">
        <v>587</v>
      </c>
      <c r="Q2" s="1554"/>
      <c r="R2" s="1554"/>
      <c r="S2" s="1554"/>
      <c r="T2" s="1310"/>
      <c r="U2" s="1310"/>
      <c r="V2" s="1310"/>
      <c r="W2" s="1310"/>
      <c r="X2" s="1310"/>
      <c r="Y2" s="1549" t="s">
        <v>588</v>
      </c>
      <c r="Z2" s="1550"/>
      <c r="AA2" s="1550"/>
      <c r="AB2" s="1550"/>
      <c r="AC2" s="1550"/>
      <c r="AD2" s="1550"/>
      <c r="AE2" s="1310"/>
      <c r="AF2" s="1310"/>
      <c r="AG2" s="1551" t="s">
        <v>589</v>
      </c>
      <c r="AH2" s="1550"/>
      <c r="AI2" s="1550"/>
      <c r="AJ2" s="1553" t="s">
        <v>590</v>
      </c>
      <c r="AK2" s="1553"/>
      <c r="AL2" s="1553"/>
      <c r="AM2" s="1553"/>
      <c r="AN2" s="1553"/>
      <c r="AO2" s="1553"/>
      <c r="AP2" s="1553"/>
      <c r="AQ2" s="1553"/>
      <c r="AR2" s="1553"/>
      <c r="AS2" s="1553"/>
      <c r="AT2" s="1311"/>
      <c r="AU2" s="1552" t="s">
        <v>351</v>
      </c>
      <c r="AV2" s="1552"/>
      <c r="AW2" s="1552"/>
      <c r="AX2" s="1552"/>
      <c r="AY2" s="1552"/>
      <c r="AZ2" s="1552"/>
      <c r="BA2" s="1552"/>
      <c r="BB2" s="1292"/>
      <c r="BC2" s="1292"/>
      <c r="BD2" s="1292"/>
      <c r="BE2" s="1292"/>
      <c r="BF2" s="1292"/>
      <c r="BG2" s="1292"/>
      <c r="BH2" s="1292"/>
      <c r="BI2" s="1292"/>
      <c r="BJ2" s="1298" t="s">
        <v>591</v>
      </c>
    </row>
    <row r="3" spans="1:62" ht="43.4" customHeight="1" x14ac:dyDescent="0.35">
      <c r="A3" s="1282"/>
      <c r="B3" s="1282"/>
      <c r="C3" s="1282"/>
      <c r="D3" s="1282"/>
      <c r="E3" s="1282"/>
      <c r="F3" s="1282"/>
      <c r="G3" s="1282"/>
      <c r="H3" s="1282"/>
      <c r="I3" s="1282"/>
      <c r="J3" s="1282"/>
      <c r="K3" s="1282"/>
      <c r="L3" s="1282"/>
      <c r="M3" s="1282"/>
      <c r="N3" s="1282"/>
      <c r="O3" s="1308" t="s">
        <v>592</v>
      </c>
      <c r="P3" s="1291" t="s">
        <v>593</v>
      </c>
      <c r="Q3" s="1291" t="s">
        <v>594</v>
      </c>
      <c r="R3" s="1291" t="s">
        <v>595</v>
      </c>
      <c r="S3" s="1291" t="s">
        <v>596</v>
      </c>
      <c r="T3" s="1291" t="s">
        <v>597</v>
      </c>
      <c r="U3" s="1291" t="s">
        <v>598</v>
      </c>
      <c r="V3" s="1291" t="s">
        <v>599</v>
      </c>
      <c r="W3" s="1291" t="s">
        <v>600</v>
      </c>
      <c r="X3" s="1291" t="s">
        <v>601</v>
      </c>
      <c r="Y3" s="1291" t="s">
        <v>602</v>
      </c>
      <c r="Z3" s="1291"/>
      <c r="AA3" s="1291"/>
      <c r="AB3" s="1291"/>
      <c r="AC3" s="1291" t="s">
        <v>603</v>
      </c>
      <c r="AD3" s="1291" t="s">
        <v>604</v>
      </c>
      <c r="AE3" s="1291" t="s">
        <v>605</v>
      </c>
      <c r="AF3" s="1291" t="s">
        <v>606</v>
      </c>
      <c r="AG3" s="1291" t="s">
        <v>607</v>
      </c>
      <c r="AH3" s="1291" t="s">
        <v>608</v>
      </c>
      <c r="AI3" s="1291" t="s">
        <v>609</v>
      </c>
      <c r="AJ3" s="1291" t="s">
        <v>610</v>
      </c>
      <c r="AK3" s="1291" t="s">
        <v>611</v>
      </c>
      <c r="AL3" s="1291" t="s">
        <v>612</v>
      </c>
      <c r="AM3" s="1291" t="s">
        <v>613</v>
      </c>
      <c r="AN3" s="1291" t="s">
        <v>614</v>
      </c>
      <c r="AO3" s="1291" t="s">
        <v>615</v>
      </c>
      <c r="AP3" s="1291" t="s">
        <v>616</v>
      </c>
      <c r="AQ3" s="1304" t="s">
        <v>617</v>
      </c>
      <c r="AR3" s="1291" t="s">
        <v>618</v>
      </c>
      <c r="AS3" s="1291" t="s">
        <v>619</v>
      </c>
      <c r="AT3" s="1291" t="s">
        <v>620</v>
      </c>
      <c r="AU3" s="1291" t="s">
        <v>621</v>
      </c>
      <c r="AV3" s="1291" t="s">
        <v>622</v>
      </c>
      <c r="AW3" s="1291" t="s">
        <v>623</v>
      </c>
      <c r="AX3" s="1291" t="s">
        <v>624</v>
      </c>
      <c r="AY3" s="1291" t="s">
        <v>625</v>
      </c>
      <c r="AZ3" s="1291" t="s">
        <v>626</v>
      </c>
      <c r="BA3" s="1291" t="s">
        <v>603</v>
      </c>
      <c r="BB3" s="1299" t="s">
        <v>627</v>
      </c>
      <c r="BC3" s="1299" t="s">
        <v>628</v>
      </c>
      <c r="BD3" s="1299" t="s">
        <v>629</v>
      </c>
      <c r="BE3" s="1299" t="s">
        <v>630</v>
      </c>
      <c r="BF3" s="1299" t="s">
        <v>631</v>
      </c>
      <c r="BG3" s="1299" t="s">
        <v>632</v>
      </c>
      <c r="BH3" s="1299" t="s">
        <v>633</v>
      </c>
      <c r="BI3" s="1299" t="s">
        <v>634</v>
      </c>
      <c r="BJ3" s="1293" t="s">
        <v>635</v>
      </c>
    </row>
    <row r="4" spans="1:62" ht="63" customHeight="1" x14ac:dyDescent="0.35">
      <c r="A4" s="1302" t="s">
        <v>636</v>
      </c>
      <c r="B4" s="1281" t="s">
        <v>47</v>
      </c>
      <c r="C4" s="1281" t="s">
        <v>637</v>
      </c>
      <c r="D4" s="1281" t="s">
        <v>507</v>
      </c>
      <c r="E4" s="1281" t="s">
        <v>638</v>
      </c>
      <c r="F4" s="1281" t="s">
        <v>639</v>
      </c>
      <c r="G4" s="1281" t="s">
        <v>640</v>
      </c>
      <c r="H4" s="1281" t="s">
        <v>119</v>
      </c>
      <c r="I4" s="1288" t="s">
        <v>314</v>
      </c>
      <c r="J4" s="1288" t="s">
        <v>138</v>
      </c>
      <c r="K4" s="1288" t="s">
        <v>641</v>
      </c>
      <c r="L4" s="1286" t="s">
        <v>147</v>
      </c>
      <c r="M4" s="1281" t="s">
        <v>97</v>
      </c>
      <c r="N4" s="1281" t="s">
        <v>642</v>
      </c>
      <c r="O4" s="1309" t="s">
        <v>643</v>
      </c>
      <c r="P4" s="1299" t="s">
        <v>644</v>
      </c>
      <c r="Q4" s="1299" t="s">
        <v>645</v>
      </c>
      <c r="R4" s="1299" t="s">
        <v>646</v>
      </c>
      <c r="S4" s="1299" t="s">
        <v>647</v>
      </c>
      <c r="T4" s="1299" t="s">
        <v>648</v>
      </c>
      <c r="U4" s="1299" t="s">
        <v>649</v>
      </c>
      <c r="V4" s="1299" t="s">
        <v>650</v>
      </c>
      <c r="W4" s="1299" t="s">
        <v>651</v>
      </c>
      <c r="X4" s="1299" t="s">
        <v>652</v>
      </c>
      <c r="Y4" s="1299" t="s">
        <v>653</v>
      </c>
      <c r="Z4" s="1299" t="s">
        <v>654</v>
      </c>
      <c r="AA4" s="1299" t="s">
        <v>655</v>
      </c>
      <c r="AB4" s="1299" t="s">
        <v>656</v>
      </c>
      <c r="AC4" s="1299" t="s">
        <v>657</v>
      </c>
      <c r="AD4" s="1299" t="s">
        <v>658</v>
      </c>
      <c r="AE4" s="1299" t="s">
        <v>659</v>
      </c>
      <c r="AF4" s="1299" t="s">
        <v>660</v>
      </c>
      <c r="AG4" s="1299" t="s">
        <v>198</v>
      </c>
      <c r="AH4" s="1299" t="s">
        <v>199</v>
      </c>
      <c r="AI4" s="1299" t="s">
        <v>661</v>
      </c>
      <c r="AJ4" s="1299" t="s">
        <v>662</v>
      </c>
      <c r="AK4" s="1299" t="s">
        <v>663</v>
      </c>
      <c r="AL4" s="1299" t="s">
        <v>664</v>
      </c>
      <c r="AM4" s="1299" t="s">
        <v>665</v>
      </c>
      <c r="AN4" s="1299" t="s">
        <v>666</v>
      </c>
      <c r="AO4" s="1299" t="s">
        <v>667</v>
      </c>
      <c r="AP4" s="1299" t="s">
        <v>668</v>
      </c>
      <c r="AQ4" s="1300" t="s">
        <v>669</v>
      </c>
      <c r="AR4" s="1299" t="s">
        <v>670</v>
      </c>
      <c r="AS4" s="1299" t="s">
        <v>671</v>
      </c>
      <c r="AT4" s="1299" t="s">
        <v>672</v>
      </c>
      <c r="AU4" s="1299" t="s">
        <v>673</v>
      </c>
      <c r="AV4" s="1299" t="s">
        <v>674</v>
      </c>
      <c r="AW4" s="1299" t="s">
        <v>675</v>
      </c>
      <c r="AX4" s="1299" t="s">
        <v>676</v>
      </c>
      <c r="AY4" s="1299" t="s">
        <v>677</v>
      </c>
      <c r="AZ4" s="1299" t="s">
        <v>678</v>
      </c>
      <c r="BA4" s="1299"/>
      <c r="BB4" s="1299" t="s">
        <v>389</v>
      </c>
      <c r="BC4" s="1299" t="s">
        <v>679</v>
      </c>
      <c r="BD4" s="1299" t="s">
        <v>680</v>
      </c>
      <c r="BE4" s="1299" t="s">
        <v>681</v>
      </c>
      <c r="BF4" s="1299" t="s">
        <v>682</v>
      </c>
      <c r="BG4" s="1299" t="s">
        <v>683</v>
      </c>
      <c r="BH4" s="1299" t="s">
        <v>684</v>
      </c>
      <c r="BI4" s="1299" t="s">
        <v>685</v>
      </c>
      <c r="BJ4" s="1301" t="s">
        <v>686</v>
      </c>
    </row>
    <row r="5" spans="1:62" x14ac:dyDescent="0.35">
      <c r="A5" s="1283">
        <v>2021</v>
      </c>
      <c r="B5" s="1285">
        <f>Q5</f>
        <v>394.202</v>
      </c>
      <c r="C5" s="1285">
        <f>SUM(Y5:AB5)</f>
        <v>195.7</v>
      </c>
      <c r="D5" s="1285">
        <f>T5</f>
        <v>18.823</v>
      </c>
      <c r="E5" s="1285">
        <f>SUM(P5:S5)-B5</f>
        <v>0.77600000000001046</v>
      </c>
      <c r="F5" s="1285">
        <f>SUM(T5:AF5)-C5-L5-D5 - 28</f>
        <v>19.722000000000016</v>
      </c>
      <c r="G5" s="1285">
        <f>SUM(BB5:BI5)-BC5</f>
        <v>81.642999999999986</v>
      </c>
      <c r="H5" s="1285">
        <f>SUM(AG5:AI5)</f>
        <v>7.798</v>
      </c>
      <c r="I5" s="1285">
        <f>AJ5</f>
        <v>283.95749999999998</v>
      </c>
      <c r="J5" s="1285">
        <f>AL5</f>
        <v>12.347</v>
      </c>
      <c r="K5" s="1285">
        <f>SUM(AM5:AT5)</f>
        <v>29.628</v>
      </c>
      <c r="L5" s="1289">
        <f>103/4</f>
        <v>25.75</v>
      </c>
      <c r="M5" s="1285">
        <f t="shared" ref="M5:M16" si="0">SUM(AU5:BA5)</f>
        <v>31.939</v>
      </c>
      <c r="N5" s="1285">
        <f>AK5</f>
        <v>3.4</v>
      </c>
      <c r="O5" s="1312">
        <v>50</v>
      </c>
      <c r="P5" s="1306">
        <v>0.55000000000000004</v>
      </c>
      <c r="Q5" s="288">
        <v>394.202</v>
      </c>
      <c r="R5" s="1314">
        <v>0.14599999999999999</v>
      </c>
      <c r="S5" s="1314">
        <v>0.08</v>
      </c>
      <c r="T5" s="1314">
        <v>18.823</v>
      </c>
      <c r="U5" s="288">
        <v>19</v>
      </c>
      <c r="V5" s="1314">
        <v>11.481999999999999</v>
      </c>
      <c r="W5" s="877">
        <v>1.5580000000000001</v>
      </c>
      <c r="X5" s="877">
        <v>0.74</v>
      </c>
      <c r="Y5" s="288">
        <v>0.2</v>
      </c>
      <c r="Z5" s="288">
        <v>43.1</v>
      </c>
      <c r="AA5" s="288">
        <v>33.9</v>
      </c>
      <c r="AB5" s="288">
        <v>118.5</v>
      </c>
      <c r="AC5" s="288">
        <v>28</v>
      </c>
      <c r="AD5" s="877">
        <v>-2.0379999999999998</v>
      </c>
      <c r="AE5" s="288">
        <v>14.31</v>
      </c>
      <c r="AF5" s="1314">
        <v>0.42</v>
      </c>
      <c r="AG5" s="1314">
        <v>7.7279999999999998</v>
      </c>
      <c r="AH5" s="288">
        <v>7.0000000000000007E-2</v>
      </c>
      <c r="AI5" s="288">
        <v>0</v>
      </c>
      <c r="AJ5" s="288">
        <v>283.95749999999998</v>
      </c>
      <c r="AK5" s="1305">
        <v>3.4</v>
      </c>
      <c r="AL5" s="1305">
        <v>12.347</v>
      </c>
      <c r="AM5" s="1315">
        <v>0.28599999999999998</v>
      </c>
      <c r="AN5" s="1305">
        <v>2</v>
      </c>
      <c r="AO5" s="288">
        <v>0.81</v>
      </c>
      <c r="AP5" s="1305">
        <v>0.52100000000000002</v>
      </c>
      <c r="AQ5" s="1316">
        <v>10</v>
      </c>
      <c r="AR5" s="1305">
        <v>2.7</v>
      </c>
      <c r="AS5" s="1305">
        <v>0.751</v>
      </c>
      <c r="AT5" s="288">
        <v>12.56</v>
      </c>
      <c r="AU5" s="288">
        <v>0</v>
      </c>
      <c r="AV5" s="1305">
        <v>1.415</v>
      </c>
      <c r="AW5" s="1305">
        <v>10.51</v>
      </c>
      <c r="AX5" s="1305">
        <v>2.6</v>
      </c>
      <c r="AY5" s="288">
        <v>-0.33</v>
      </c>
      <c r="AZ5" s="1305">
        <v>17.744</v>
      </c>
      <c r="BA5" s="288">
        <v>0</v>
      </c>
      <c r="BB5" s="1305">
        <v>4.0999999999999996</v>
      </c>
      <c r="BC5" s="1305">
        <v>7.25</v>
      </c>
      <c r="BD5" s="1305">
        <v>48.4</v>
      </c>
      <c r="BE5" s="1314">
        <v>0.83</v>
      </c>
      <c r="BF5" s="877">
        <v>4.5110000000000001</v>
      </c>
      <c r="BG5" s="288">
        <v>3.0739999999999998</v>
      </c>
      <c r="BH5" s="1270">
        <v>-0.28399999999999997</v>
      </c>
      <c r="BI5" s="1305">
        <v>21.012</v>
      </c>
      <c r="BJ5" s="1294">
        <v>1.1599999999999999</v>
      </c>
    </row>
    <row r="6" spans="1:62" x14ac:dyDescent="0.35">
      <c r="A6" s="1283">
        <v>2022</v>
      </c>
      <c r="B6" s="1285">
        <f t="shared" ref="B6:B15" si="1">Q6</f>
        <v>17.465</v>
      </c>
      <c r="C6" s="1285">
        <f t="shared" ref="C6:C15" si="2">SUM(Y6:AB6)</f>
        <v>10.1</v>
      </c>
      <c r="D6" s="1285">
        <f t="shared" ref="D6:D15" si="3">T6</f>
        <v>2.5950000000000002</v>
      </c>
      <c r="E6" s="1285">
        <f t="shared" ref="E6:E15" si="4">SUM(P6:S6)-B6</f>
        <v>19.719000000000005</v>
      </c>
      <c r="F6" s="1285">
        <f>SUM(T6:AF6)-C6-L6-D6</f>
        <v>52.756999999999998</v>
      </c>
      <c r="G6" s="1285">
        <f t="shared" ref="G6:G16" si="5">SUM(BB6:BI6)-BC6</f>
        <v>110.24799999999999</v>
      </c>
      <c r="H6" s="1285">
        <f t="shared" ref="H6:H15" si="6">SUM(AG6:AI6)</f>
        <v>7.9489999999999998</v>
      </c>
      <c r="I6" s="1285">
        <f t="shared" ref="I6:I15" si="7">AJ6</f>
        <v>77.092500000000001</v>
      </c>
      <c r="J6" s="1285">
        <f t="shared" ref="J6:J15" si="8">AL6</f>
        <v>46.79</v>
      </c>
      <c r="K6" s="1285">
        <f t="shared" ref="K6:K16" si="9">SUM(AM6:AT6)</f>
        <v>35.671000000000006</v>
      </c>
      <c r="L6" s="1289">
        <v>0</v>
      </c>
      <c r="M6" s="1285">
        <f t="shared" si="0"/>
        <v>56.412999999999997</v>
      </c>
      <c r="N6" s="1285">
        <f t="shared" ref="N6:N15" si="10">AK6</f>
        <v>5.0999999999999996</v>
      </c>
      <c r="O6" s="1312">
        <v>55</v>
      </c>
      <c r="P6" s="1306">
        <v>15.61</v>
      </c>
      <c r="Q6" s="288">
        <v>17.465</v>
      </c>
      <c r="R6" s="1314">
        <v>0.317</v>
      </c>
      <c r="S6" s="1314">
        <v>3.7919999999999998</v>
      </c>
      <c r="T6" s="288">
        <v>2.5950000000000002</v>
      </c>
      <c r="U6" s="1305">
        <v>14.5</v>
      </c>
      <c r="V6" s="288">
        <v>25.070999999999998</v>
      </c>
      <c r="W6" s="877">
        <v>1.952</v>
      </c>
      <c r="X6" s="877">
        <v>0.61399999999999999</v>
      </c>
      <c r="Y6" s="1305">
        <v>0</v>
      </c>
      <c r="Z6" s="1305">
        <v>2.2999999999999998</v>
      </c>
      <c r="AA6" s="1305">
        <v>1.6</v>
      </c>
      <c r="AB6" s="1305">
        <v>6.2</v>
      </c>
      <c r="AC6" s="288">
        <v>0</v>
      </c>
      <c r="AD6" s="288">
        <v>1.31</v>
      </c>
      <c r="AE6" s="288">
        <v>8.61</v>
      </c>
      <c r="AF6" s="288">
        <v>0.7</v>
      </c>
      <c r="AG6" s="1314">
        <v>7.782</v>
      </c>
      <c r="AH6" s="288">
        <v>0.12</v>
      </c>
      <c r="AI6" s="288">
        <v>4.7E-2</v>
      </c>
      <c r="AJ6" s="288">
        <v>77.092500000000001</v>
      </c>
      <c r="AK6" s="1305">
        <v>5.0999999999999996</v>
      </c>
      <c r="AL6" s="1305">
        <v>46.79</v>
      </c>
      <c r="AM6" s="1270">
        <v>0.30499999999999999</v>
      </c>
      <c r="AN6" s="1305">
        <v>4.3</v>
      </c>
      <c r="AO6" s="877">
        <v>1.1000000000000001</v>
      </c>
      <c r="AP6" s="1305">
        <v>1.575</v>
      </c>
      <c r="AQ6" s="1316">
        <v>10</v>
      </c>
      <c r="AR6" s="1305">
        <v>4.5</v>
      </c>
      <c r="AS6" s="1305">
        <v>1.9810000000000001</v>
      </c>
      <c r="AT6" s="288">
        <v>11.91</v>
      </c>
      <c r="AU6" s="288">
        <v>0</v>
      </c>
      <c r="AV6" s="1305">
        <v>3.927</v>
      </c>
      <c r="AW6" s="1305">
        <v>4.2880000000000003</v>
      </c>
      <c r="AX6" s="1305">
        <v>3.7</v>
      </c>
      <c r="AY6" s="288">
        <v>-1.34</v>
      </c>
      <c r="AZ6" s="1305">
        <v>45.838000000000001</v>
      </c>
      <c r="BA6" s="288">
        <v>0</v>
      </c>
      <c r="BB6" s="1305">
        <v>11.3</v>
      </c>
      <c r="BC6" s="1305">
        <v>0</v>
      </c>
      <c r="BD6" s="1305">
        <v>1.1000000000000001</v>
      </c>
      <c r="BE6" s="1314">
        <v>1.75</v>
      </c>
      <c r="BF6" s="877">
        <v>1.7330000000000001</v>
      </c>
      <c r="BG6" s="877">
        <v>7.1440000000000001</v>
      </c>
      <c r="BH6" s="1271">
        <v>81.608999999999995</v>
      </c>
      <c r="BI6" s="1305">
        <v>5.6120000000000001</v>
      </c>
      <c r="BJ6" s="1294">
        <v>4.2</v>
      </c>
    </row>
    <row r="7" spans="1:62" x14ac:dyDescent="0.35">
      <c r="A7" s="1283">
        <v>2023</v>
      </c>
      <c r="B7" s="1285">
        <f t="shared" si="1"/>
        <v>0.48599999999999999</v>
      </c>
      <c r="C7" s="1285">
        <f t="shared" si="2"/>
        <v>0</v>
      </c>
      <c r="D7" s="1285">
        <f t="shared" si="3"/>
        <v>0.93700000000000006</v>
      </c>
      <c r="E7" s="1285">
        <f t="shared" si="4"/>
        <v>1.4159999999999999</v>
      </c>
      <c r="F7" s="1285">
        <f t="shared" ref="F7:F15" si="11">SUM(T7:AF7)-C7-L7-D7</f>
        <v>12</v>
      </c>
      <c r="G7" s="1285">
        <f t="shared" si="5"/>
        <v>12.726000000000001</v>
      </c>
      <c r="H7" s="1285">
        <f t="shared" si="6"/>
        <v>4.7519999999999998</v>
      </c>
      <c r="I7" s="1285">
        <f t="shared" si="7"/>
        <v>1</v>
      </c>
      <c r="J7" s="1285">
        <f t="shared" si="8"/>
        <v>38.595999999999997</v>
      </c>
      <c r="K7" s="1285">
        <f t="shared" si="9"/>
        <v>24.216000000000001</v>
      </c>
      <c r="L7" s="1289">
        <v>0</v>
      </c>
      <c r="M7" s="1285">
        <f t="shared" si="0"/>
        <v>15.652999999999999</v>
      </c>
      <c r="N7" s="1285">
        <f t="shared" si="10"/>
        <v>0</v>
      </c>
      <c r="O7" s="1312">
        <v>0.7</v>
      </c>
      <c r="P7" s="1306">
        <v>0.96</v>
      </c>
      <c r="Q7" s="288">
        <v>0.48599999999999999</v>
      </c>
      <c r="R7" s="1314">
        <v>0.45600000000000002</v>
      </c>
      <c r="S7" s="288">
        <v>0</v>
      </c>
      <c r="T7" s="1272">
        <v>0.93700000000000006</v>
      </c>
      <c r="U7" s="1305">
        <v>3</v>
      </c>
      <c r="V7" s="1314">
        <v>7.891</v>
      </c>
      <c r="W7" s="877">
        <v>0.61699999999999999</v>
      </c>
      <c r="X7" s="877">
        <v>8.4000000000000005E-2</v>
      </c>
      <c r="Y7" s="1305">
        <v>0</v>
      </c>
      <c r="Z7" s="1305">
        <v>0</v>
      </c>
      <c r="AA7" s="1305">
        <v>0</v>
      </c>
      <c r="AB7" s="1305">
        <v>0</v>
      </c>
      <c r="AC7" s="288">
        <v>0</v>
      </c>
      <c r="AD7" s="288">
        <v>0.318</v>
      </c>
      <c r="AE7" s="1314">
        <v>-0.11000000000000001</v>
      </c>
      <c r="AF7" s="288">
        <v>0.2</v>
      </c>
      <c r="AG7" s="1314">
        <v>4.6749999999999998</v>
      </c>
      <c r="AH7" s="288">
        <v>0.06</v>
      </c>
      <c r="AI7" s="288">
        <v>1.7000000000000001E-2</v>
      </c>
      <c r="AJ7" s="288">
        <v>1</v>
      </c>
      <c r="AK7" s="1305">
        <v>0</v>
      </c>
      <c r="AL7" s="1305">
        <v>38.595999999999997</v>
      </c>
      <c r="AM7" s="288">
        <v>0.14899999999999999</v>
      </c>
      <c r="AN7" s="1305">
        <v>1.2</v>
      </c>
      <c r="AO7" s="877">
        <v>0.53</v>
      </c>
      <c r="AP7" s="1305">
        <v>0.38100000000000001</v>
      </c>
      <c r="AQ7" s="1316">
        <v>8</v>
      </c>
      <c r="AR7" s="1305">
        <v>4.5</v>
      </c>
      <c r="AS7" s="1305">
        <v>0.76600000000000001</v>
      </c>
      <c r="AT7" s="288">
        <v>8.69</v>
      </c>
      <c r="AU7" s="288">
        <v>0</v>
      </c>
      <c r="AV7" s="1305">
        <v>1.93</v>
      </c>
      <c r="AW7" s="1305">
        <v>1.4379999999999999</v>
      </c>
      <c r="AX7" s="1305">
        <v>2.6</v>
      </c>
      <c r="AY7" s="877">
        <v>-2.48</v>
      </c>
      <c r="AZ7" s="1305">
        <v>12.164999999999999</v>
      </c>
      <c r="BA7" s="877">
        <v>0</v>
      </c>
      <c r="BB7" s="1305">
        <v>8.4</v>
      </c>
      <c r="BC7" s="1305">
        <v>0</v>
      </c>
      <c r="BD7" s="1305">
        <v>0.3</v>
      </c>
      <c r="BE7" s="1314">
        <v>1.8</v>
      </c>
      <c r="BF7" s="877">
        <v>0</v>
      </c>
      <c r="BG7" s="877">
        <v>0</v>
      </c>
      <c r="BH7" s="1270">
        <v>1.3759999999999999</v>
      </c>
      <c r="BI7" s="1305">
        <v>0.85</v>
      </c>
      <c r="BJ7" s="1294">
        <v>2.7</v>
      </c>
    </row>
    <row r="8" spans="1:62" x14ac:dyDescent="0.35">
      <c r="A8" s="1283">
        <v>2024</v>
      </c>
      <c r="B8" s="1285">
        <f t="shared" si="1"/>
        <v>0</v>
      </c>
      <c r="C8" s="1285">
        <f t="shared" si="2"/>
        <v>0</v>
      </c>
      <c r="D8" s="1285">
        <f t="shared" si="3"/>
        <v>0.16</v>
      </c>
      <c r="E8" s="1285">
        <f t="shared" si="4"/>
        <v>1.4790000000000001</v>
      </c>
      <c r="F8" s="1285">
        <f t="shared" si="11"/>
        <v>4.2219999999999995</v>
      </c>
      <c r="G8" s="1285">
        <f t="shared" si="5"/>
        <v>1.365</v>
      </c>
      <c r="H8" s="1285">
        <f t="shared" si="6"/>
        <v>4.637999999999999</v>
      </c>
      <c r="I8" s="1285">
        <f t="shared" si="7"/>
        <v>0</v>
      </c>
      <c r="J8" s="1285">
        <f t="shared" si="8"/>
        <v>31.911000000000001</v>
      </c>
      <c r="K8" s="1285">
        <f t="shared" si="9"/>
        <v>9.6430000000000007</v>
      </c>
      <c r="L8" s="1289">
        <v>0</v>
      </c>
      <c r="M8" s="1285">
        <f t="shared" si="0"/>
        <v>3.9320000000000004</v>
      </c>
      <c r="N8" s="1285">
        <f t="shared" si="10"/>
        <v>0</v>
      </c>
      <c r="O8" s="1312">
        <v>0.7</v>
      </c>
      <c r="P8" s="1306">
        <v>0.96</v>
      </c>
      <c r="Q8" s="1305">
        <v>0</v>
      </c>
      <c r="R8" s="1314">
        <v>0.51900000000000002</v>
      </c>
      <c r="S8" s="288">
        <v>0</v>
      </c>
      <c r="T8" s="1273">
        <v>0.16</v>
      </c>
      <c r="U8" s="1305">
        <v>2.8</v>
      </c>
      <c r="V8" s="288">
        <v>0.504</v>
      </c>
      <c r="W8" s="877">
        <v>0.47199999999999998</v>
      </c>
      <c r="X8" s="877">
        <v>2E-3</v>
      </c>
      <c r="Y8" s="1305">
        <v>0</v>
      </c>
      <c r="Z8" s="1305">
        <v>0</v>
      </c>
      <c r="AA8" s="1305">
        <v>0</v>
      </c>
      <c r="AB8" s="1305">
        <v>0</v>
      </c>
      <c r="AC8" s="288">
        <v>0</v>
      </c>
      <c r="AD8" s="288">
        <v>0.34399999999999997</v>
      </c>
      <c r="AE8" s="1314">
        <v>0</v>
      </c>
      <c r="AF8" s="1314">
        <v>0.1</v>
      </c>
      <c r="AG8" s="1314">
        <v>4.5739999999999998</v>
      </c>
      <c r="AH8" s="288">
        <v>0.06</v>
      </c>
      <c r="AI8" s="288">
        <v>4.0000000000000001E-3</v>
      </c>
      <c r="AJ8" s="288">
        <v>0</v>
      </c>
      <c r="AK8" s="1305">
        <v>0</v>
      </c>
      <c r="AL8" s="1305">
        <v>31.911000000000001</v>
      </c>
      <c r="AM8" s="288">
        <v>4.1000000000000002E-2</v>
      </c>
      <c r="AN8" s="1305">
        <v>0.4</v>
      </c>
      <c r="AO8" s="877">
        <v>0.41</v>
      </c>
      <c r="AP8" s="1305">
        <v>0.13100000000000001</v>
      </c>
      <c r="AQ8" s="1316">
        <v>0</v>
      </c>
      <c r="AR8" s="1305">
        <v>3</v>
      </c>
      <c r="AS8" s="1305">
        <v>0.30099999999999999</v>
      </c>
      <c r="AT8" s="877">
        <v>5.36</v>
      </c>
      <c r="AU8" s="288">
        <v>0</v>
      </c>
      <c r="AV8" s="1305">
        <v>0.79600000000000004</v>
      </c>
      <c r="AW8" s="1305">
        <v>0.27500000000000002</v>
      </c>
      <c r="AX8" s="1305">
        <v>1</v>
      </c>
      <c r="AY8" s="877">
        <v>-2.6</v>
      </c>
      <c r="AZ8" s="1305">
        <v>4.4610000000000003</v>
      </c>
      <c r="BA8" s="877">
        <v>0</v>
      </c>
      <c r="BB8" s="1305">
        <v>0.2</v>
      </c>
      <c r="BC8" s="1305">
        <v>0</v>
      </c>
      <c r="BD8" s="1305">
        <v>0</v>
      </c>
      <c r="BE8" s="1314">
        <v>1.95</v>
      </c>
      <c r="BF8" s="877">
        <v>0</v>
      </c>
      <c r="BG8" s="877">
        <v>0</v>
      </c>
      <c r="BH8" s="1270">
        <v>-0.875</v>
      </c>
      <c r="BI8" s="1305">
        <v>0.09</v>
      </c>
      <c r="BJ8" s="1295">
        <v>0.87</v>
      </c>
    </row>
    <row r="9" spans="1:62" x14ac:dyDescent="0.35">
      <c r="A9" s="1283">
        <v>2025</v>
      </c>
      <c r="B9" s="1285">
        <f t="shared" si="1"/>
        <v>0</v>
      </c>
      <c r="C9" s="1285">
        <f t="shared" si="2"/>
        <v>0</v>
      </c>
      <c r="D9" s="1285">
        <f t="shared" si="3"/>
        <v>3.3000000000000002E-2</v>
      </c>
      <c r="E9" s="1285">
        <f t="shared" si="4"/>
        <v>1.63</v>
      </c>
      <c r="F9" s="1285">
        <f t="shared" si="11"/>
        <v>2.3719999999999999</v>
      </c>
      <c r="G9" s="1285">
        <f t="shared" si="5"/>
        <v>-0.90100000000000025</v>
      </c>
      <c r="H9" s="1285">
        <f t="shared" si="6"/>
        <v>1.8800000000000001</v>
      </c>
      <c r="I9" s="1285">
        <f t="shared" si="7"/>
        <v>0</v>
      </c>
      <c r="J9" s="1285">
        <f t="shared" si="8"/>
        <v>23.099</v>
      </c>
      <c r="K9" s="1285">
        <f t="shared" si="9"/>
        <v>4.5789999999999997</v>
      </c>
      <c r="L9" s="1289">
        <v>0</v>
      </c>
      <c r="M9" s="1285">
        <f t="shared" si="0"/>
        <v>-0.74299999999999988</v>
      </c>
      <c r="N9" s="1285">
        <f t="shared" si="10"/>
        <v>0</v>
      </c>
      <c r="O9" s="1312">
        <v>0.7</v>
      </c>
      <c r="P9" s="1306">
        <v>1.06</v>
      </c>
      <c r="Q9" s="1305">
        <v>0</v>
      </c>
      <c r="R9" s="1314">
        <v>0.56999999999999995</v>
      </c>
      <c r="S9" s="288">
        <v>0</v>
      </c>
      <c r="T9" s="1274">
        <v>3.3000000000000002E-2</v>
      </c>
      <c r="U9" s="1305">
        <v>2</v>
      </c>
      <c r="V9" s="1274">
        <v>0</v>
      </c>
      <c r="W9" s="877">
        <v>0.21299999999999999</v>
      </c>
      <c r="X9" s="877">
        <v>2E-3</v>
      </c>
      <c r="Y9" s="1305">
        <v>0</v>
      </c>
      <c r="Z9" s="1305">
        <v>0</v>
      </c>
      <c r="AA9" s="1305">
        <v>0</v>
      </c>
      <c r="AB9" s="1305">
        <v>0</v>
      </c>
      <c r="AC9" s="288">
        <v>0</v>
      </c>
      <c r="AD9" s="288">
        <v>0.157</v>
      </c>
      <c r="AE9" s="1314">
        <v>0</v>
      </c>
      <c r="AF9" s="1314">
        <v>0</v>
      </c>
      <c r="AG9" s="288">
        <v>1.81</v>
      </c>
      <c r="AH9" s="288">
        <v>7.0000000000000007E-2</v>
      </c>
      <c r="AI9" s="288">
        <v>0</v>
      </c>
      <c r="AJ9" s="1305">
        <v>0</v>
      </c>
      <c r="AK9" s="1305">
        <v>0</v>
      </c>
      <c r="AL9" s="1305">
        <v>23.099</v>
      </c>
      <c r="AM9" s="288">
        <v>1.2999999999999999E-2</v>
      </c>
      <c r="AN9" s="1305">
        <v>0.3</v>
      </c>
      <c r="AO9" s="1303">
        <v>0.15</v>
      </c>
      <c r="AP9" s="1305">
        <v>0.112</v>
      </c>
      <c r="AQ9" s="1316">
        <v>0</v>
      </c>
      <c r="AR9" s="1305">
        <v>0.2</v>
      </c>
      <c r="AS9" s="1305">
        <v>7.3999999999999996E-2</v>
      </c>
      <c r="AT9" s="877">
        <v>3.73</v>
      </c>
      <c r="AU9" s="288">
        <v>0</v>
      </c>
      <c r="AV9" s="1305">
        <v>5.3999999999999999E-2</v>
      </c>
      <c r="AW9" s="1305">
        <v>0.13100000000000001</v>
      </c>
      <c r="AX9" s="1305">
        <v>0</v>
      </c>
      <c r="AY9" s="877">
        <v>-2.71</v>
      </c>
      <c r="AZ9" s="1305">
        <v>1.782</v>
      </c>
      <c r="BA9" s="877">
        <v>0</v>
      </c>
      <c r="BB9" s="1305">
        <v>0</v>
      </c>
      <c r="BC9" s="1305">
        <v>0</v>
      </c>
      <c r="BD9" s="1305">
        <v>0</v>
      </c>
      <c r="BE9" s="1314">
        <v>1.43</v>
      </c>
      <c r="BF9" s="877">
        <v>0</v>
      </c>
      <c r="BG9" s="877">
        <v>0</v>
      </c>
      <c r="BH9" s="1270">
        <v>-2.3410000000000002</v>
      </c>
      <c r="BI9" s="1305">
        <v>0.01</v>
      </c>
      <c r="BJ9" s="1295">
        <v>0.33</v>
      </c>
    </row>
    <row r="10" spans="1:62" x14ac:dyDescent="0.35">
      <c r="A10" s="1283">
        <v>2026</v>
      </c>
      <c r="B10" s="1285">
        <f t="shared" si="1"/>
        <v>0</v>
      </c>
      <c r="C10" s="1285">
        <f t="shared" si="2"/>
        <v>0</v>
      </c>
      <c r="D10" s="1285">
        <f t="shared" si="3"/>
        <v>3.2000000000000001E-2</v>
      </c>
      <c r="E10" s="1285">
        <f t="shared" si="4"/>
        <v>1.671</v>
      </c>
      <c r="F10" s="1285">
        <f t="shared" si="11"/>
        <v>0.49</v>
      </c>
      <c r="G10" s="1285">
        <f t="shared" si="5"/>
        <v>-2.1500000000000004</v>
      </c>
      <c r="H10" s="1285">
        <f t="shared" si="6"/>
        <v>1.446</v>
      </c>
      <c r="I10" s="1285">
        <f t="shared" si="7"/>
        <v>0</v>
      </c>
      <c r="J10" s="1285">
        <f t="shared" si="8"/>
        <v>10.766999999999999</v>
      </c>
      <c r="K10" s="1285">
        <f t="shared" si="9"/>
        <v>2.9130000000000003</v>
      </c>
      <c r="L10" s="1289"/>
      <c r="M10" s="1285">
        <f t="shared" si="0"/>
        <v>-21.606000000000002</v>
      </c>
      <c r="N10" s="1285">
        <f t="shared" si="10"/>
        <v>0</v>
      </c>
      <c r="O10" s="1312">
        <v>0.7</v>
      </c>
      <c r="P10" s="1306">
        <v>1.07</v>
      </c>
      <c r="Q10" s="1305">
        <v>0</v>
      </c>
      <c r="R10" s="1314">
        <v>0.60099999999999998</v>
      </c>
      <c r="S10" s="288">
        <v>0</v>
      </c>
      <c r="T10" s="1270">
        <v>3.2000000000000001E-2</v>
      </c>
      <c r="U10" s="1305">
        <v>0.3</v>
      </c>
      <c r="V10" s="1314">
        <v>0</v>
      </c>
      <c r="W10" s="877">
        <v>0.188</v>
      </c>
      <c r="X10" s="877">
        <v>2E-3</v>
      </c>
      <c r="Y10" s="1305">
        <v>0</v>
      </c>
      <c r="Z10" s="1305">
        <v>0</v>
      </c>
      <c r="AA10" s="1305">
        <v>0</v>
      </c>
      <c r="AB10" s="1305">
        <v>0</v>
      </c>
      <c r="AC10" s="288">
        <v>0</v>
      </c>
      <c r="AD10" s="288">
        <v>0</v>
      </c>
      <c r="AE10" s="288">
        <v>0</v>
      </c>
      <c r="AF10" s="1314">
        <v>0</v>
      </c>
      <c r="AG10" s="288">
        <v>1.3759999999999999</v>
      </c>
      <c r="AH10" s="288">
        <v>7.0000000000000007E-2</v>
      </c>
      <c r="AI10" s="288">
        <v>0</v>
      </c>
      <c r="AJ10" s="1275">
        <v>0</v>
      </c>
      <c r="AK10" s="1305">
        <v>0</v>
      </c>
      <c r="AL10" s="1305">
        <v>10.766999999999999</v>
      </c>
      <c r="AM10" s="288">
        <v>3.0000000000000001E-3</v>
      </c>
      <c r="AN10" s="1305">
        <v>0.2</v>
      </c>
      <c r="AO10" s="1303">
        <v>0.1</v>
      </c>
      <c r="AP10" s="1305">
        <v>0.05</v>
      </c>
      <c r="AQ10" s="1316">
        <v>0</v>
      </c>
      <c r="AR10" s="1305">
        <v>0</v>
      </c>
      <c r="AS10" s="1305">
        <v>0</v>
      </c>
      <c r="AT10" s="877">
        <v>2.56</v>
      </c>
      <c r="AU10" s="288">
        <v>0</v>
      </c>
      <c r="AV10" s="1305">
        <v>3.7999999999999999E-2</v>
      </c>
      <c r="AW10" s="1305">
        <v>2.5999999999999999E-2</v>
      </c>
      <c r="AX10" s="1305">
        <v>0</v>
      </c>
      <c r="AY10" s="877">
        <v>-2.6700000000000004</v>
      </c>
      <c r="AZ10" s="1305">
        <v>0</v>
      </c>
      <c r="BA10" s="877">
        <v>-19</v>
      </c>
      <c r="BB10" s="1305">
        <v>0</v>
      </c>
      <c r="BC10" s="1305">
        <v>0</v>
      </c>
      <c r="BD10" s="1305">
        <v>0</v>
      </c>
      <c r="BE10" s="877">
        <v>0.88</v>
      </c>
      <c r="BF10" s="877">
        <v>0</v>
      </c>
      <c r="BG10" s="877">
        <v>0</v>
      </c>
      <c r="BH10" s="288">
        <v>-2.8200000000000003</v>
      </c>
      <c r="BI10" s="1305">
        <v>-0.21</v>
      </c>
      <c r="BJ10" s="1295">
        <v>0.17</v>
      </c>
    </row>
    <row r="11" spans="1:62" x14ac:dyDescent="0.35">
      <c r="A11" s="1283">
        <v>2027</v>
      </c>
      <c r="B11" s="1285">
        <f t="shared" si="1"/>
        <v>0</v>
      </c>
      <c r="C11" s="1285">
        <f t="shared" si="2"/>
        <v>0</v>
      </c>
      <c r="D11" s="1285">
        <f t="shared" si="3"/>
        <v>3.2000000000000001E-2</v>
      </c>
      <c r="E11" s="1285">
        <f t="shared" si="4"/>
        <v>1.7130000000000001</v>
      </c>
      <c r="F11" s="1285">
        <f t="shared" si="11"/>
        <v>0</v>
      </c>
      <c r="G11" s="1285">
        <f t="shared" si="5"/>
        <v>-4.8169999999999993</v>
      </c>
      <c r="H11" s="1285">
        <f t="shared" si="6"/>
        <v>0.65699999999999992</v>
      </c>
      <c r="I11" s="1285">
        <f t="shared" si="7"/>
        <v>0</v>
      </c>
      <c r="J11" s="1285">
        <f t="shared" si="8"/>
        <v>4.0789999999999997</v>
      </c>
      <c r="K11" s="1285">
        <f t="shared" si="9"/>
        <v>2.46</v>
      </c>
      <c r="L11" s="1289"/>
      <c r="M11" s="1285">
        <f t="shared" si="0"/>
        <v>-14.713000000000001</v>
      </c>
      <c r="N11" s="1285">
        <f t="shared" si="10"/>
        <v>0</v>
      </c>
      <c r="O11" s="1312">
        <v>0.3</v>
      </c>
      <c r="P11" s="1306">
        <v>1.08</v>
      </c>
      <c r="Q11" s="1305">
        <v>0</v>
      </c>
      <c r="R11" s="1314">
        <v>0.63300000000000001</v>
      </c>
      <c r="S11" s="1273">
        <v>0</v>
      </c>
      <c r="T11" s="1305">
        <v>3.2000000000000001E-2</v>
      </c>
      <c r="U11" s="1305">
        <v>0</v>
      </c>
      <c r="V11" s="288">
        <v>0</v>
      </c>
      <c r="W11" s="877">
        <v>0</v>
      </c>
      <c r="X11" s="877">
        <v>0</v>
      </c>
      <c r="Y11" s="1305">
        <v>0</v>
      </c>
      <c r="Z11" s="1305">
        <v>0</v>
      </c>
      <c r="AA11" s="1305">
        <v>0</v>
      </c>
      <c r="AB11" s="1305">
        <v>0</v>
      </c>
      <c r="AC11" s="288">
        <v>0</v>
      </c>
      <c r="AD11" s="1314">
        <v>0</v>
      </c>
      <c r="AE11" s="288">
        <v>0</v>
      </c>
      <c r="AF11" s="1314">
        <v>0</v>
      </c>
      <c r="AG11" s="288">
        <v>0.57699999999999996</v>
      </c>
      <c r="AH11" s="288">
        <v>0.08</v>
      </c>
      <c r="AI11" s="288">
        <v>0</v>
      </c>
      <c r="AJ11" s="288">
        <v>0</v>
      </c>
      <c r="AK11" s="1305">
        <v>0</v>
      </c>
      <c r="AL11" s="1305">
        <v>4.0789999999999997</v>
      </c>
      <c r="AM11" s="1305">
        <v>0</v>
      </c>
      <c r="AN11" s="1305">
        <v>0.1</v>
      </c>
      <c r="AO11" s="1303">
        <v>0.1</v>
      </c>
      <c r="AP11" s="1305">
        <v>0.03</v>
      </c>
      <c r="AQ11" s="1316">
        <v>0</v>
      </c>
      <c r="AR11" s="1305">
        <v>0</v>
      </c>
      <c r="AS11" s="1305">
        <v>0</v>
      </c>
      <c r="AT11" s="1303">
        <v>2.23</v>
      </c>
      <c r="AU11" s="288">
        <v>0</v>
      </c>
      <c r="AV11" s="1305">
        <v>1.7000000000000001E-2</v>
      </c>
      <c r="AW11" s="1305">
        <v>0</v>
      </c>
      <c r="AX11" s="1305">
        <v>0</v>
      </c>
      <c r="AY11" s="877">
        <v>-2.73</v>
      </c>
      <c r="AZ11" s="1305">
        <v>0</v>
      </c>
      <c r="BA11" s="877">
        <v>-12</v>
      </c>
      <c r="BB11" s="1305">
        <v>0</v>
      </c>
      <c r="BC11" s="1305">
        <v>0</v>
      </c>
      <c r="BD11" s="1305">
        <v>0</v>
      </c>
      <c r="BE11" s="877">
        <v>0.28000000000000003</v>
      </c>
      <c r="BF11" s="877">
        <v>0</v>
      </c>
      <c r="BG11" s="877">
        <v>0</v>
      </c>
      <c r="BH11" s="1274">
        <v>-5.0069999999999997</v>
      </c>
      <c r="BI11" s="1305">
        <v>-0.09</v>
      </c>
      <c r="BJ11" s="1296">
        <v>0.06</v>
      </c>
    </row>
    <row r="12" spans="1:62" x14ac:dyDescent="0.35">
      <c r="A12" s="1283">
        <v>2028</v>
      </c>
      <c r="B12" s="1285">
        <f t="shared" si="1"/>
        <v>0</v>
      </c>
      <c r="C12" s="1285">
        <f t="shared" si="2"/>
        <v>0</v>
      </c>
      <c r="D12" s="1285">
        <f t="shared" si="3"/>
        <v>3.3000000000000002E-2</v>
      </c>
      <c r="E12" s="1285">
        <f t="shared" si="4"/>
        <v>1.7130000000000001</v>
      </c>
      <c r="F12" s="1285">
        <f t="shared" si="11"/>
        <v>0</v>
      </c>
      <c r="G12" s="1285">
        <f t="shared" si="5"/>
        <v>-5.0590000000000002</v>
      </c>
      <c r="H12" s="1285">
        <f t="shared" si="6"/>
        <v>-1.071</v>
      </c>
      <c r="I12" s="1285">
        <f t="shared" si="7"/>
        <v>0</v>
      </c>
      <c r="J12" s="1285">
        <f t="shared" si="8"/>
        <v>1.635</v>
      </c>
      <c r="K12" s="1285">
        <f t="shared" si="9"/>
        <v>1.81</v>
      </c>
      <c r="L12" s="1289"/>
      <c r="M12" s="1285">
        <f t="shared" si="0"/>
        <v>-2.7690000000000001</v>
      </c>
      <c r="N12" s="1285">
        <f t="shared" si="10"/>
        <v>0</v>
      </c>
      <c r="O12" s="1312">
        <v>0.3</v>
      </c>
      <c r="P12" s="1306">
        <v>1.08</v>
      </c>
      <c r="Q12" s="1305">
        <v>0</v>
      </c>
      <c r="R12" s="1314">
        <v>0.63300000000000001</v>
      </c>
      <c r="S12" s="1273">
        <v>0</v>
      </c>
      <c r="T12" s="1276">
        <v>3.3000000000000002E-2</v>
      </c>
      <c r="U12" s="1305">
        <v>0</v>
      </c>
      <c r="V12" s="288">
        <v>0</v>
      </c>
      <c r="W12" s="877">
        <v>0</v>
      </c>
      <c r="X12" s="877">
        <v>0</v>
      </c>
      <c r="Y12" s="1305">
        <v>0</v>
      </c>
      <c r="Z12" s="1305">
        <v>0</v>
      </c>
      <c r="AA12" s="1305">
        <v>0</v>
      </c>
      <c r="AB12" s="1305">
        <v>0</v>
      </c>
      <c r="AC12" s="288">
        <v>0</v>
      </c>
      <c r="AD12" s="288">
        <v>0</v>
      </c>
      <c r="AE12" s="288">
        <v>0</v>
      </c>
      <c r="AF12" s="288">
        <v>0</v>
      </c>
      <c r="AG12" s="288">
        <v>-1.151</v>
      </c>
      <c r="AH12" s="288">
        <v>0.08</v>
      </c>
      <c r="AI12" s="288">
        <v>0</v>
      </c>
      <c r="AJ12" s="288">
        <v>0</v>
      </c>
      <c r="AK12" s="1305">
        <v>0</v>
      </c>
      <c r="AL12" s="1305">
        <v>1.635</v>
      </c>
      <c r="AM12" s="1305">
        <v>0</v>
      </c>
      <c r="AN12" s="1305">
        <v>0.1</v>
      </c>
      <c r="AO12" s="877">
        <v>0</v>
      </c>
      <c r="AP12" s="1305">
        <v>0</v>
      </c>
      <c r="AQ12" s="1316">
        <v>0</v>
      </c>
      <c r="AR12" s="1305">
        <v>0</v>
      </c>
      <c r="AS12" s="1305">
        <v>0</v>
      </c>
      <c r="AT12" s="1303">
        <v>1.71</v>
      </c>
      <c r="AU12" s="288">
        <v>0</v>
      </c>
      <c r="AV12" s="1305">
        <v>1E-3</v>
      </c>
      <c r="AW12" s="1305">
        <v>0</v>
      </c>
      <c r="AX12" s="1305">
        <v>0</v>
      </c>
      <c r="AY12" s="877">
        <v>-2.77</v>
      </c>
      <c r="AZ12" s="1305">
        <v>0</v>
      </c>
      <c r="BA12" s="877">
        <v>0</v>
      </c>
      <c r="BB12" s="1305">
        <v>0</v>
      </c>
      <c r="BC12" s="1305">
        <v>0</v>
      </c>
      <c r="BD12" s="1305">
        <v>0</v>
      </c>
      <c r="BE12" s="877">
        <v>0.1</v>
      </c>
      <c r="BF12" s="877">
        <v>0</v>
      </c>
      <c r="BG12" s="877">
        <v>0</v>
      </c>
      <c r="BH12" s="1274">
        <v>-5.069</v>
      </c>
      <c r="BI12" s="1305">
        <v>-0.09</v>
      </c>
      <c r="BJ12" s="1296">
        <v>0.03</v>
      </c>
    </row>
    <row r="13" spans="1:62" x14ac:dyDescent="0.35">
      <c r="A13" s="1283">
        <v>2029</v>
      </c>
      <c r="B13" s="1285">
        <f t="shared" si="1"/>
        <v>0</v>
      </c>
      <c r="C13" s="1285">
        <f t="shared" si="2"/>
        <v>0</v>
      </c>
      <c r="D13" s="1285">
        <f t="shared" si="3"/>
        <v>3.3000000000000002E-2</v>
      </c>
      <c r="E13" s="1285">
        <f t="shared" si="4"/>
        <v>1.7130000000000001</v>
      </c>
      <c r="F13" s="1285">
        <f t="shared" si="11"/>
        <v>0</v>
      </c>
      <c r="G13" s="1285">
        <f t="shared" si="5"/>
        <v>-5.218</v>
      </c>
      <c r="H13" s="1285">
        <f t="shared" si="6"/>
        <v>-1.964</v>
      </c>
      <c r="I13" s="1285">
        <f t="shared" si="7"/>
        <v>0</v>
      </c>
      <c r="J13" s="1285">
        <f t="shared" si="8"/>
        <v>-1.7000000000000001E-2</v>
      </c>
      <c r="K13" s="1285">
        <f t="shared" si="9"/>
        <v>1</v>
      </c>
      <c r="L13" s="1289"/>
      <c r="M13" s="1285">
        <f t="shared" si="0"/>
        <v>-2.75</v>
      </c>
      <c r="N13" s="1285">
        <f t="shared" si="10"/>
        <v>0</v>
      </c>
      <c r="O13" s="1312">
        <v>0.3</v>
      </c>
      <c r="P13" s="1306">
        <v>1.08</v>
      </c>
      <c r="Q13" s="1305">
        <v>0</v>
      </c>
      <c r="R13" s="1314">
        <v>0.63300000000000001</v>
      </c>
      <c r="S13" s="1273">
        <v>0</v>
      </c>
      <c r="T13" s="288">
        <v>3.3000000000000002E-2</v>
      </c>
      <c r="U13" s="1305">
        <v>0</v>
      </c>
      <c r="V13" s="288">
        <v>0</v>
      </c>
      <c r="W13" s="877">
        <v>0</v>
      </c>
      <c r="X13" s="877">
        <v>0</v>
      </c>
      <c r="Y13" s="1305">
        <v>0</v>
      </c>
      <c r="Z13" s="1305">
        <v>0</v>
      </c>
      <c r="AA13" s="1305">
        <v>0</v>
      </c>
      <c r="AB13" s="1305">
        <v>0</v>
      </c>
      <c r="AC13" s="288">
        <v>0</v>
      </c>
      <c r="AD13" s="288">
        <v>0</v>
      </c>
      <c r="AE13" s="288">
        <v>0</v>
      </c>
      <c r="AF13" s="288">
        <v>0</v>
      </c>
      <c r="AG13" s="1305">
        <v>-2.044</v>
      </c>
      <c r="AH13" s="288">
        <v>0.08</v>
      </c>
      <c r="AI13" s="288">
        <v>0</v>
      </c>
      <c r="AJ13" s="1277">
        <v>0</v>
      </c>
      <c r="AK13" s="1305">
        <v>0</v>
      </c>
      <c r="AL13" s="1305">
        <v>-1.7000000000000001E-2</v>
      </c>
      <c r="AM13" s="1305">
        <v>0</v>
      </c>
      <c r="AN13" s="1305">
        <v>0</v>
      </c>
      <c r="AO13" s="877">
        <v>0</v>
      </c>
      <c r="AP13" s="1305">
        <v>0</v>
      </c>
      <c r="AQ13" s="1316">
        <v>0</v>
      </c>
      <c r="AR13" s="1305">
        <v>0</v>
      </c>
      <c r="AS13" s="1305">
        <v>0</v>
      </c>
      <c r="AT13" s="1303">
        <v>1</v>
      </c>
      <c r="AU13" s="288">
        <v>0</v>
      </c>
      <c r="AV13" s="1305">
        <v>0</v>
      </c>
      <c r="AW13" s="1305">
        <v>0</v>
      </c>
      <c r="AX13" s="1305">
        <v>0</v>
      </c>
      <c r="AY13" s="877">
        <v>-2.75</v>
      </c>
      <c r="AZ13" s="1305">
        <v>0</v>
      </c>
      <c r="BA13" s="877">
        <v>0</v>
      </c>
      <c r="BB13" s="1305">
        <v>0</v>
      </c>
      <c r="BC13" s="1305">
        <v>0</v>
      </c>
      <c r="BD13" s="1305">
        <v>0</v>
      </c>
      <c r="BE13" s="877">
        <v>0</v>
      </c>
      <c r="BF13" s="1278">
        <v>0</v>
      </c>
      <c r="BG13" s="877">
        <v>0</v>
      </c>
      <c r="BH13" s="1274">
        <v>-5.1180000000000003</v>
      </c>
      <c r="BI13" s="1305">
        <v>-0.1</v>
      </c>
      <c r="BJ13" s="1296">
        <v>0.01</v>
      </c>
    </row>
    <row r="14" spans="1:62" x14ac:dyDescent="0.35">
      <c r="A14" s="1283">
        <v>2030</v>
      </c>
      <c r="B14" s="1285">
        <f t="shared" si="1"/>
        <v>0</v>
      </c>
      <c r="C14" s="1285">
        <f t="shared" si="2"/>
        <v>0</v>
      </c>
      <c r="D14" s="1285">
        <f t="shared" si="3"/>
        <v>3.3000000000000002E-2</v>
      </c>
      <c r="E14" s="1285">
        <f t="shared" si="4"/>
        <v>1.8130000000000002</v>
      </c>
      <c r="F14" s="1285">
        <f t="shared" si="11"/>
        <v>0</v>
      </c>
      <c r="G14" s="1285">
        <f t="shared" si="5"/>
        <v>-5.9420000000000002</v>
      </c>
      <c r="H14" s="1285">
        <f t="shared" si="6"/>
        <v>-2.0210000000000004</v>
      </c>
      <c r="I14" s="1285">
        <f t="shared" si="7"/>
        <v>0</v>
      </c>
      <c r="J14" s="1285">
        <f t="shared" si="8"/>
        <v>-1.9E-2</v>
      </c>
      <c r="K14" s="1285">
        <f t="shared" si="9"/>
        <v>0.8</v>
      </c>
      <c r="L14" s="1289"/>
      <c r="M14" s="1285">
        <f t="shared" si="0"/>
        <v>-8.1189999999999998</v>
      </c>
      <c r="N14" s="1285">
        <f t="shared" si="10"/>
        <v>0</v>
      </c>
      <c r="O14" s="1312">
        <v>0.3</v>
      </c>
      <c r="P14" s="1306">
        <v>1.1800000000000002</v>
      </c>
      <c r="Q14" s="1305">
        <v>0</v>
      </c>
      <c r="R14" s="1314">
        <v>0.63300000000000001</v>
      </c>
      <c r="S14" s="1273">
        <v>0</v>
      </c>
      <c r="T14" s="288">
        <v>3.3000000000000002E-2</v>
      </c>
      <c r="U14" s="1305">
        <v>0</v>
      </c>
      <c r="V14" s="288">
        <v>0</v>
      </c>
      <c r="W14" s="877">
        <v>0</v>
      </c>
      <c r="X14" s="877">
        <v>0</v>
      </c>
      <c r="Y14" s="1305">
        <v>0</v>
      </c>
      <c r="Z14" s="1305">
        <v>0</v>
      </c>
      <c r="AA14" s="1305">
        <v>0</v>
      </c>
      <c r="AB14" s="1305">
        <v>0</v>
      </c>
      <c r="AC14" s="288">
        <v>0</v>
      </c>
      <c r="AD14" s="1314">
        <v>0</v>
      </c>
      <c r="AE14" s="1305">
        <v>0</v>
      </c>
      <c r="AF14" s="288">
        <v>0</v>
      </c>
      <c r="AG14" s="288">
        <v>-2.1110000000000002</v>
      </c>
      <c r="AH14" s="288">
        <v>0.09</v>
      </c>
      <c r="AI14" s="288">
        <v>0</v>
      </c>
      <c r="AJ14" s="1279">
        <v>0</v>
      </c>
      <c r="AK14" s="1305">
        <v>0</v>
      </c>
      <c r="AL14" s="1305">
        <v>-1.9E-2</v>
      </c>
      <c r="AM14" s="1305">
        <v>0</v>
      </c>
      <c r="AN14" s="1305">
        <v>0</v>
      </c>
      <c r="AO14" s="877">
        <v>0</v>
      </c>
      <c r="AP14" s="1305">
        <v>0</v>
      </c>
      <c r="AQ14" s="1316">
        <v>0</v>
      </c>
      <c r="AR14" s="1305">
        <v>0</v>
      </c>
      <c r="AS14" s="1305">
        <v>0</v>
      </c>
      <c r="AT14" s="877">
        <v>0.8</v>
      </c>
      <c r="AU14" s="288">
        <v>-5.4089999999999998</v>
      </c>
      <c r="AV14" s="1305">
        <v>0</v>
      </c>
      <c r="AW14" s="1305">
        <v>0</v>
      </c>
      <c r="AX14" s="1305">
        <v>0</v>
      </c>
      <c r="AY14" s="877">
        <v>-2.71</v>
      </c>
      <c r="AZ14" s="1305">
        <v>0</v>
      </c>
      <c r="BA14" s="877">
        <v>0</v>
      </c>
      <c r="BB14" s="1305">
        <v>0</v>
      </c>
      <c r="BC14" s="1305">
        <v>0</v>
      </c>
      <c r="BD14" s="1305">
        <v>0</v>
      </c>
      <c r="BE14" s="1305">
        <v>0</v>
      </c>
      <c r="BF14" s="877">
        <v>0</v>
      </c>
      <c r="BG14" s="877">
        <v>0</v>
      </c>
      <c r="BH14" s="288">
        <v>-5.8319999999999999</v>
      </c>
      <c r="BI14" s="1305">
        <v>-0.11</v>
      </c>
      <c r="BJ14" s="1295">
        <v>0.01</v>
      </c>
    </row>
    <row r="15" spans="1:62" ht="17.25" customHeight="1" x14ac:dyDescent="0.35">
      <c r="A15" s="1283">
        <v>2031</v>
      </c>
      <c r="B15" s="1285">
        <f t="shared" si="1"/>
        <v>0</v>
      </c>
      <c r="C15" s="1285">
        <f t="shared" si="2"/>
        <v>0</v>
      </c>
      <c r="D15" s="1285">
        <f t="shared" si="3"/>
        <v>0</v>
      </c>
      <c r="E15" s="1285">
        <f t="shared" si="4"/>
        <v>1.8230000000000002</v>
      </c>
      <c r="F15" s="1285">
        <f t="shared" si="11"/>
        <v>0</v>
      </c>
      <c r="G15" s="1285">
        <f t="shared" si="5"/>
        <v>-7.7250000000000005</v>
      </c>
      <c r="H15" s="1285">
        <f t="shared" si="6"/>
        <v>-2.4630000000000001</v>
      </c>
      <c r="I15" s="1285">
        <f t="shared" si="7"/>
        <v>0</v>
      </c>
      <c r="J15" s="1285">
        <f t="shared" si="8"/>
        <v>-1.9E-2</v>
      </c>
      <c r="K15" s="1285">
        <f t="shared" si="9"/>
        <v>0</v>
      </c>
      <c r="L15" s="1289"/>
      <c r="M15" s="1285">
        <f t="shared" si="0"/>
        <v>-3.0390000000000001</v>
      </c>
      <c r="N15" s="1285">
        <f t="shared" si="10"/>
        <v>0</v>
      </c>
      <c r="O15" s="1312">
        <v>0.3</v>
      </c>
      <c r="P15" s="1306">
        <v>1.1900000000000002</v>
      </c>
      <c r="Q15" s="1305">
        <v>0</v>
      </c>
      <c r="R15" s="1314">
        <v>0.63300000000000001</v>
      </c>
      <c r="S15" s="1273">
        <v>0</v>
      </c>
      <c r="T15" s="877">
        <v>0</v>
      </c>
      <c r="U15" s="1305">
        <v>0</v>
      </c>
      <c r="V15" s="1305">
        <v>0</v>
      </c>
      <c r="W15" s="877">
        <v>0</v>
      </c>
      <c r="X15" s="877">
        <v>0</v>
      </c>
      <c r="Y15" s="1305">
        <v>0</v>
      </c>
      <c r="Z15" s="1305">
        <v>0</v>
      </c>
      <c r="AA15" s="1305">
        <v>0</v>
      </c>
      <c r="AB15" s="1305">
        <v>0</v>
      </c>
      <c r="AC15" s="288">
        <v>0</v>
      </c>
      <c r="AD15" s="1305">
        <v>0</v>
      </c>
      <c r="AE15" s="288">
        <v>0</v>
      </c>
      <c r="AF15" s="288">
        <v>0</v>
      </c>
      <c r="AG15" s="288">
        <v>-2.5529999999999999</v>
      </c>
      <c r="AH15" s="288">
        <v>0.09</v>
      </c>
      <c r="AI15" s="288">
        <v>0</v>
      </c>
      <c r="AJ15" s="1280">
        <v>0</v>
      </c>
      <c r="AK15" s="1305">
        <v>0</v>
      </c>
      <c r="AL15" s="1305">
        <v>-1.9E-2</v>
      </c>
      <c r="AM15" s="1305">
        <v>0</v>
      </c>
      <c r="AN15" s="1305">
        <v>0</v>
      </c>
      <c r="AO15" s="877">
        <v>0</v>
      </c>
      <c r="AP15" s="1305">
        <v>0</v>
      </c>
      <c r="AQ15" s="1316">
        <v>0</v>
      </c>
      <c r="AR15" s="1305">
        <v>0</v>
      </c>
      <c r="AS15" s="1305">
        <v>0</v>
      </c>
      <c r="AT15" s="877">
        <v>0</v>
      </c>
      <c r="AU15" s="288">
        <v>-0.26900000000000002</v>
      </c>
      <c r="AV15" s="1305">
        <v>0</v>
      </c>
      <c r="AW15" s="1305">
        <v>0</v>
      </c>
      <c r="AX15" s="1305">
        <v>0</v>
      </c>
      <c r="AY15" s="877">
        <v>-2.77</v>
      </c>
      <c r="AZ15" s="1305">
        <v>0</v>
      </c>
      <c r="BA15" s="877">
        <v>0</v>
      </c>
      <c r="BB15" s="1305">
        <v>0</v>
      </c>
      <c r="BC15" s="1305">
        <v>0</v>
      </c>
      <c r="BD15" s="1305">
        <v>0</v>
      </c>
      <c r="BE15" s="1305">
        <v>0</v>
      </c>
      <c r="BF15" s="877">
        <v>0</v>
      </c>
      <c r="BG15" s="877">
        <v>0</v>
      </c>
      <c r="BH15" s="288">
        <v>-5.4350000000000005</v>
      </c>
      <c r="BI15" s="1305">
        <v>-2.29</v>
      </c>
      <c r="BJ15" s="1295">
        <v>0</v>
      </c>
    </row>
    <row r="16" spans="1:62" x14ac:dyDescent="0.35">
      <c r="A16" s="1284" t="s">
        <v>278</v>
      </c>
      <c r="B16" s="1284">
        <f>SUM(B5:B15)</f>
        <v>412.15299999999996</v>
      </c>
      <c r="C16" s="1284">
        <f>SUM(C5:C15)</f>
        <v>205.79999999999998</v>
      </c>
      <c r="D16" s="1284">
        <f>SUM(D5:D15)</f>
        <v>22.711000000000006</v>
      </c>
      <c r="E16" s="1284">
        <f t="shared" ref="E16:H16" si="12">SUM(E5:E15)</f>
        <v>35.466000000000015</v>
      </c>
      <c r="F16" s="1284">
        <f t="shared" si="12"/>
        <v>91.563000000000002</v>
      </c>
      <c r="G16" s="1285">
        <f t="shared" si="5"/>
        <v>174.17</v>
      </c>
      <c r="H16" s="1284">
        <f t="shared" si="12"/>
        <v>21.600999999999996</v>
      </c>
      <c r="I16" s="1289">
        <f t="shared" ref="I16" si="13">SUM(I5:I15)</f>
        <v>362.04999999999995</v>
      </c>
      <c r="J16" s="1289">
        <f t="shared" ref="J16" si="14">SUM(J5:J15)</f>
        <v>169.16899999999998</v>
      </c>
      <c r="K16" s="1285">
        <f t="shared" si="9"/>
        <v>112.72</v>
      </c>
      <c r="L16" s="1289">
        <f>SUM(L5:L15)</f>
        <v>25.75</v>
      </c>
      <c r="M16" s="1285">
        <f t="shared" si="0"/>
        <v>85.197999999999993</v>
      </c>
      <c r="N16" s="1285">
        <f>AK16</f>
        <v>8.5</v>
      </c>
      <c r="O16" s="1313">
        <f t="shared" ref="O16:BI16" si="15">SUM(O5:O15)</f>
        <v>109.3</v>
      </c>
      <c r="P16" s="1305">
        <f t="shared" si="15"/>
        <v>25.819999999999997</v>
      </c>
      <c r="Q16" s="1305">
        <f t="shared" si="15"/>
        <v>412.15299999999996</v>
      </c>
      <c r="R16" s="1305">
        <f t="shared" si="15"/>
        <v>5.774</v>
      </c>
      <c r="S16" s="1305">
        <f t="shared" si="15"/>
        <v>3.8719999999999999</v>
      </c>
      <c r="T16" s="1305">
        <f t="shared" si="15"/>
        <v>22.711000000000006</v>
      </c>
      <c r="U16" s="1305">
        <f t="shared" si="15"/>
        <v>41.599999999999994</v>
      </c>
      <c r="V16" s="1305">
        <f t="shared" si="15"/>
        <v>44.947999999999993</v>
      </c>
      <c r="W16" s="1305">
        <f t="shared" si="15"/>
        <v>5</v>
      </c>
      <c r="X16" s="1305">
        <f t="shared" si="15"/>
        <v>1.4440000000000002</v>
      </c>
      <c r="Y16" s="1305">
        <f t="shared" si="15"/>
        <v>0.2</v>
      </c>
      <c r="Z16" s="1305">
        <f t="shared" si="15"/>
        <v>45.4</v>
      </c>
      <c r="AA16" s="1305">
        <f t="shared" si="15"/>
        <v>35.5</v>
      </c>
      <c r="AB16" s="1305">
        <f t="shared" si="15"/>
        <v>124.7</v>
      </c>
      <c r="AC16" s="1305">
        <f t="shared" si="15"/>
        <v>28</v>
      </c>
      <c r="AD16" s="1305">
        <f t="shared" si="15"/>
        <v>9.100000000000022E-2</v>
      </c>
      <c r="AE16" s="1305">
        <f t="shared" si="15"/>
        <v>22.810000000000002</v>
      </c>
      <c r="AF16" s="1305">
        <f t="shared" si="15"/>
        <v>1.42</v>
      </c>
      <c r="AG16" s="1305">
        <f t="shared" si="15"/>
        <v>20.662999999999997</v>
      </c>
      <c r="AH16" s="1305">
        <f t="shared" si="15"/>
        <v>0.86999999999999988</v>
      </c>
      <c r="AI16" s="1305">
        <f t="shared" si="15"/>
        <v>6.8000000000000005E-2</v>
      </c>
      <c r="AJ16" s="1305">
        <f t="shared" si="15"/>
        <v>362.04999999999995</v>
      </c>
      <c r="AK16" s="1305">
        <f t="shared" ref="AK16:AO16" si="16">SUM(AK5:AK15)</f>
        <v>8.5</v>
      </c>
      <c r="AL16" s="1305">
        <f t="shared" si="16"/>
        <v>169.16899999999998</v>
      </c>
      <c r="AM16" s="1287">
        <f t="shared" si="16"/>
        <v>0.79700000000000004</v>
      </c>
      <c r="AN16" s="1305">
        <f t="shared" si="16"/>
        <v>8.6</v>
      </c>
      <c r="AO16" s="1305">
        <f t="shared" si="16"/>
        <v>3.2000000000000006</v>
      </c>
      <c r="AP16" s="1305">
        <f t="shared" si="15"/>
        <v>2.8000000000000003</v>
      </c>
      <c r="AQ16" s="1290">
        <f>SUM(AQ5:AQ15)</f>
        <v>28</v>
      </c>
      <c r="AR16" s="1305">
        <f>SUM(AR5:AR15)</f>
        <v>14.899999999999999</v>
      </c>
      <c r="AS16" s="1305">
        <f>SUM(AS5:AS15)</f>
        <v>3.8730000000000002</v>
      </c>
      <c r="AT16" s="1305">
        <f t="shared" ref="AT16" si="17">SUM(AT5:AT15)</f>
        <v>50.54999999999999</v>
      </c>
      <c r="AU16" s="1305">
        <f t="shared" si="15"/>
        <v>-5.6779999999999999</v>
      </c>
      <c r="AV16" s="1305">
        <f t="shared" si="15"/>
        <v>8.177999999999999</v>
      </c>
      <c r="AW16" s="1305">
        <f t="shared" si="15"/>
        <v>16.667999999999999</v>
      </c>
      <c r="AX16" s="1305">
        <f t="shared" si="15"/>
        <v>9.9</v>
      </c>
      <c r="AY16" s="1305">
        <f t="shared" si="15"/>
        <v>-25.860000000000003</v>
      </c>
      <c r="AZ16" s="1305">
        <f t="shared" si="15"/>
        <v>81.99</v>
      </c>
      <c r="BA16" s="1305">
        <v>0</v>
      </c>
      <c r="BB16" s="1305">
        <f t="shared" si="15"/>
        <v>24</v>
      </c>
      <c r="BC16" s="1305">
        <f t="shared" si="15"/>
        <v>7.25</v>
      </c>
      <c r="BD16" s="1305">
        <f t="shared" si="15"/>
        <v>49.8</v>
      </c>
      <c r="BE16" s="1305">
        <f t="shared" si="15"/>
        <v>9.02</v>
      </c>
      <c r="BF16" s="1305">
        <f t="shared" si="15"/>
        <v>6.2439999999999998</v>
      </c>
      <c r="BG16" s="1305">
        <f t="shared" si="15"/>
        <v>10.218</v>
      </c>
      <c r="BH16" s="1305">
        <f t="shared" si="15"/>
        <v>50.203999999999979</v>
      </c>
      <c r="BI16" s="1305">
        <f t="shared" si="15"/>
        <v>24.684000000000005</v>
      </c>
      <c r="BJ16" s="1297">
        <f>SUM(BJ5:BJ15)</f>
        <v>9.5399999999999991</v>
      </c>
    </row>
    <row r="17" spans="2:61" x14ac:dyDescent="0.35">
      <c r="R17" s="1314"/>
      <c r="S17" s="1314"/>
      <c r="W17" s="1314"/>
      <c r="X17" s="1314"/>
      <c r="AE17" s="1314"/>
      <c r="AF17" s="1314"/>
      <c r="AV17" s="1314"/>
      <c r="AW17" s="1314"/>
      <c r="AX17" s="1314"/>
      <c r="AY17" s="1314"/>
      <c r="AZ17" s="1314"/>
      <c r="BA17" s="1314"/>
      <c r="BC17" s="1314"/>
      <c r="BE17" s="1314"/>
      <c r="BF17" s="1314"/>
      <c r="BG17" s="1314"/>
    </row>
    <row r="18" spans="2:61" x14ac:dyDescent="0.35">
      <c r="R18" s="1314"/>
      <c r="S18" s="1314"/>
      <c r="W18" s="1314"/>
      <c r="X18" s="1314"/>
      <c r="AE18" s="1314"/>
      <c r="AF18" s="1314"/>
      <c r="AV18" s="1314"/>
      <c r="AW18" s="1314"/>
      <c r="AX18" s="1314"/>
      <c r="AY18" s="1314"/>
      <c r="AZ18" s="1314"/>
      <c r="BA18" s="1314"/>
      <c r="BC18" s="1314" t="s">
        <v>687</v>
      </c>
      <c r="BD18" s="1314" t="s">
        <v>687</v>
      </c>
      <c r="BE18" s="1314"/>
      <c r="BF18" s="1314" t="s">
        <v>687</v>
      </c>
      <c r="BG18" s="1314" t="s">
        <v>687</v>
      </c>
      <c r="BI18" s="1314" t="s">
        <v>687</v>
      </c>
    </row>
    <row r="19" spans="2:61" x14ac:dyDescent="0.35">
      <c r="B19" s="1317"/>
      <c r="C19" s="1317"/>
      <c r="D19" s="1317"/>
      <c r="E19" s="1317"/>
      <c r="F19" s="1317"/>
      <c r="H19" s="1317"/>
      <c r="I19" s="1317"/>
      <c r="J19" s="1317"/>
      <c r="K19" s="1317"/>
      <c r="M19" s="1317"/>
      <c r="N19" s="1317"/>
      <c r="R19" s="1314"/>
      <c r="S19" s="1314"/>
      <c r="W19" s="1314"/>
      <c r="X19" s="1314"/>
      <c r="AE19" s="1314"/>
      <c r="AF19" s="1314"/>
      <c r="AV19" s="1314"/>
      <c r="AW19" s="1314"/>
      <c r="AX19" s="1314"/>
      <c r="AY19" s="1314"/>
      <c r="AZ19" s="1314"/>
      <c r="BA19" s="1314"/>
      <c r="BC19" s="1314"/>
      <c r="BD19" t="s">
        <v>688</v>
      </c>
      <c r="BE19" s="1314"/>
      <c r="BF19" s="1314"/>
      <c r="BG19" s="1314"/>
    </row>
    <row r="20" spans="2:61" x14ac:dyDescent="0.35">
      <c r="R20" s="1314"/>
      <c r="S20" s="1314"/>
      <c r="W20" s="1314"/>
      <c r="X20" s="1314"/>
      <c r="AE20" s="1314"/>
      <c r="AF20" s="1314"/>
      <c r="AV20" s="1314"/>
      <c r="AW20" s="1314"/>
      <c r="AX20" s="1314"/>
      <c r="AY20" s="1314"/>
      <c r="AZ20" s="1314"/>
      <c r="BA20" s="1314"/>
      <c r="BC20" s="1314"/>
      <c r="BE20" s="1314"/>
      <c r="BF20" s="1314"/>
      <c r="BG20" s="1314"/>
    </row>
    <row r="21" spans="2:61" x14ac:dyDescent="0.35">
      <c r="R21" s="1314"/>
      <c r="S21" s="1314"/>
      <c r="W21" s="1314"/>
      <c r="X21" s="1314"/>
      <c r="AE21" s="1314"/>
      <c r="AF21" s="1314"/>
      <c r="AV21" s="1314"/>
      <c r="AW21" s="1314"/>
      <c r="AX21" s="1314"/>
      <c r="AY21" s="1314"/>
      <c r="AZ21" s="1314"/>
      <c r="BA21" s="1314"/>
      <c r="BC21" s="1314"/>
      <c r="BE21" s="1314"/>
      <c r="BF21" s="1314"/>
      <c r="BG21" s="1314"/>
    </row>
    <row r="22" spans="2:61" x14ac:dyDescent="0.35">
      <c r="B22" s="1317"/>
      <c r="R22" s="1314"/>
      <c r="S22" s="1314"/>
      <c r="W22" s="1314"/>
      <c r="X22" s="1314"/>
      <c r="AE22" s="1314"/>
      <c r="AF22" s="1314"/>
      <c r="AV22" s="1314"/>
      <c r="AW22" s="1314"/>
      <c r="AX22" s="1314"/>
      <c r="AY22" s="1314"/>
      <c r="AZ22" s="1314"/>
      <c r="BA22" s="1314"/>
      <c r="BC22" s="1314"/>
      <c r="BE22" s="1314"/>
      <c r="BF22" s="1314"/>
      <c r="BG22" s="1314"/>
    </row>
    <row r="23" spans="2:61" x14ac:dyDescent="0.35">
      <c r="B23" s="1317"/>
      <c r="R23" s="1314"/>
      <c r="S23" s="1314"/>
      <c r="W23" s="1314"/>
      <c r="X23" s="1314"/>
      <c r="AE23" s="1314"/>
      <c r="AF23" s="1314"/>
      <c r="AV23" s="1314"/>
      <c r="AW23" s="1314"/>
      <c r="AX23" s="1314"/>
      <c r="AY23" s="1314"/>
      <c r="AZ23" s="1314"/>
      <c r="BA23" s="1314"/>
      <c r="BC23" s="1314"/>
      <c r="BE23" s="1314"/>
      <c r="BF23" s="1314"/>
      <c r="BG23" s="1314"/>
    </row>
    <row r="24" spans="2:61" x14ac:dyDescent="0.35">
      <c r="B24" s="1317"/>
      <c r="R24" s="1314"/>
      <c r="S24" s="1314"/>
      <c r="W24" s="1314"/>
      <c r="X24" s="1314"/>
      <c r="AE24" s="1314"/>
      <c r="AF24" s="1314"/>
      <c r="AV24" s="1314"/>
      <c r="AW24" s="1314"/>
      <c r="AX24" s="1314"/>
      <c r="AY24" s="1314"/>
      <c r="AZ24" s="1314"/>
      <c r="BA24" s="1314"/>
      <c r="BC24" s="1314"/>
      <c r="BE24" s="1314"/>
      <c r="BF24" s="1314"/>
      <c r="BG24" s="1314"/>
    </row>
    <row r="25" spans="2:61" x14ac:dyDescent="0.35">
      <c r="B25" s="1317"/>
      <c r="R25" s="1314"/>
      <c r="S25" s="1314"/>
      <c r="W25" s="1314"/>
      <c r="X25" s="1314"/>
      <c r="AE25" s="1314"/>
      <c r="AF25" s="1314"/>
      <c r="AV25" s="1314"/>
      <c r="AW25" s="1314"/>
      <c r="AX25" s="1314"/>
      <c r="AY25" s="1314"/>
      <c r="AZ25" s="1314"/>
      <c r="BA25" s="1314"/>
      <c r="BC25" s="1314"/>
      <c r="BE25" s="1314"/>
      <c r="BF25" s="1314"/>
      <c r="BG25" s="1314"/>
    </row>
    <row r="26" spans="2:61" x14ac:dyDescent="0.35">
      <c r="B26" s="1317"/>
      <c r="R26" s="1314"/>
      <c r="S26" s="1314"/>
      <c r="W26" s="1314"/>
      <c r="X26" s="1314"/>
      <c r="AE26" s="1314"/>
      <c r="AF26" s="1314"/>
      <c r="AV26" s="1314"/>
      <c r="AW26" s="1314"/>
      <c r="AX26" s="1314"/>
      <c r="AY26" s="1314"/>
      <c r="AZ26" s="1314"/>
      <c r="BA26" s="1314"/>
      <c r="BC26" s="1314"/>
      <c r="BE26" s="1314"/>
      <c r="BF26" s="1314"/>
      <c r="BG26" s="1314"/>
    </row>
    <row r="27" spans="2:61" x14ac:dyDescent="0.35">
      <c r="B27" s="1317"/>
      <c r="R27" s="1314"/>
      <c r="S27" s="1314"/>
      <c r="W27" s="1314"/>
      <c r="X27" s="1314"/>
      <c r="AE27" s="1314"/>
      <c r="AF27" s="1314"/>
      <c r="AV27" s="1314"/>
      <c r="AW27" s="1314"/>
      <c r="AX27" s="1314"/>
      <c r="AY27" s="1314"/>
      <c r="AZ27" s="1314"/>
      <c r="BA27" s="1314"/>
      <c r="BC27" s="1314"/>
      <c r="BE27" s="1314"/>
      <c r="BF27" s="1314"/>
      <c r="BG27" s="1314"/>
    </row>
    <row r="28" spans="2:61" x14ac:dyDescent="0.35">
      <c r="B28" s="1317"/>
      <c r="R28" s="1314"/>
      <c r="S28" s="1314"/>
      <c r="W28" s="1314"/>
      <c r="X28" s="1314"/>
      <c r="AE28" s="1314"/>
      <c r="AF28" s="1314"/>
      <c r="AV28" s="1314"/>
      <c r="AW28" s="1314"/>
      <c r="AX28" s="1314"/>
      <c r="AY28" s="1314"/>
      <c r="AZ28" s="1314"/>
      <c r="BA28" s="1314"/>
      <c r="BC28" s="1314"/>
      <c r="BE28" s="1314"/>
      <c r="BF28" s="1314"/>
      <c r="BG28" s="1314"/>
    </row>
    <row r="29" spans="2:61" x14ac:dyDescent="0.35">
      <c r="R29" s="1314"/>
      <c r="S29" s="1314"/>
      <c r="W29" s="1314"/>
      <c r="X29" s="1314"/>
      <c r="AE29" s="1314"/>
      <c r="AF29" s="1314"/>
      <c r="AV29" s="1314"/>
      <c r="AW29" s="1314"/>
      <c r="AX29" s="1314"/>
      <c r="AY29" s="1314"/>
      <c r="AZ29" s="1314"/>
      <c r="BA29" s="1314"/>
      <c r="BC29" s="1314"/>
      <c r="BE29" s="1314"/>
      <c r="BF29" s="1314"/>
      <c r="BG29" s="1314"/>
    </row>
    <row r="30" spans="2:61" x14ac:dyDescent="0.35">
      <c r="R30" s="1314"/>
      <c r="S30" s="1314"/>
      <c r="W30" s="1314"/>
      <c r="X30" s="1314"/>
      <c r="AE30" s="1314"/>
      <c r="AF30" s="1314"/>
      <c r="AV30" s="1314"/>
      <c r="AW30" s="1314"/>
      <c r="AX30" s="1314"/>
      <c r="AY30" s="1314"/>
      <c r="AZ30" s="1314"/>
      <c r="BA30" s="1314"/>
      <c r="BC30" s="1314"/>
      <c r="BE30" s="1314"/>
      <c r="BF30" s="1314"/>
      <c r="BG30" s="1314"/>
    </row>
    <row r="31" spans="2:61" x14ac:dyDescent="0.35">
      <c r="R31" s="1314"/>
      <c r="S31" s="1314"/>
      <c r="W31" s="1314"/>
      <c r="X31" s="1314"/>
      <c r="AE31" s="1314"/>
      <c r="AF31" s="1314"/>
      <c r="AV31" s="1314"/>
      <c r="AW31" s="1314"/>
      <c r="AX31" s="1314"/>
      <c r="AY31" s="1314"/>
      <c r="AZ31" s="1314"/>
      <c r="BA31" s="1314"/>
      <c r="BC31" s="1314"/>
      <c r="BE31" s="1314"/>
      <c r="BF31" s="1314"/>
      <c r="BG31" s="1314"/>
    </row>
    <row r="32" spans="2:61" x14ac:dyDescent="0.35">
      <c r="R32" s="1314"/>
      <c r="S32" s="1314"/>
      <c r="W32" s="1314"/>
      <c r="X32" s="1314"/>
      <c r="AE32" s="1314"/>
      <c r="AF32" s="1314"/>
      <c r="AV32" s="1314"/>
      <c r="AW32" s="1314"/>
      <c r="AX32" s="1314"/>
      <c r="AY32" s="1314"/>
      <c r="AZ32" s="1314"/>
      <c r="BA32" s="1314"/>
      <c r="BC32" s="1314"/>
      <c r="BE32" s="1314"/>
      <c r="BF32" s="1314"/>
      <c r="BG32" s="1314"/>
    </row>
    <row r="33" spans="18:59" x14ac:dyDescent="0.35">
      <c r="R33" s="1314"/>
      <c r="S33" s="1314"/>
      <c r="W33" s="1314"/>
      <c r="X33" s="1314"/>
      <c r="AE33" s="1314"/>
      <c r="AF33" s="1314"/>
      <c r="AV33" s="1314"/>
      <c r="AW33" s="1314"/>
      <c r="AX33" s="1314"/>
      <c r="AY33" s="1314"/>
      <c r="AZ33" s="1314"/>
      <c r="BA33" s="1314"/>
      <c r="BC33" s="1314"/>
      <c r="BE33" s="1314"/>
      <c r="BF33" s="1314"/>
      <c r="BG33" s="1314"/>
    </row>
    <row r="34" spans="18:59" x14ac:dyDescent="0.35">
      <c r="R34" s="1314"/>
      <c r="S34" s="1314"/>
      <c r="W34" s="1314"/>
      <c r="X34" s="1314"/>
      <c r="AE34" s="1314"/>
      <c r="AF34" s="1314"/>
      <c r="AV34" s="1314"/>
      <c r="AW34" s="1314"/>
      <c r="AX34" s="1314"/>
      <c r="AY34" s="1314"/>
      <c r="AZ34" s="1314"/>
      <c r="BA34" s="1314"/>
      <c r="BC34" s="1314"/>
      <c r="BE34" s="1314"/>
      <c r="BF34" s="1314"/>
      <c r="BG34" s="1314"/>
    </row>
    <row r="35" spans="18:59" x14ac:dyDescent="0.35">
      <c r="R35" s="1314"/>
      <c r="S35" s="1314"/>
      <c r="W35" s="1314"/>
      <c r="X35" s="1314"/>
      <c r="AE35" s="1314"/>
      <c r="AF35" s="1314"/>
      <c r="AV35" s="1314"/>
      <c r="AW35" s="1314"/>
      <c r="AX35" s="1314"/>
      <c r="AY35" s="1314"/>
      <c r="AZ35" s="1314"/>
      <c r="BA35" s="1314"/>
      <c r="BC35" s="1314"/>
      <c r="BE35" s="1314"/>
      <c r="BF35" s="1314"/>
      <c r="BG35" s="1314"/>
    </row>
    <row r="36" spans="18:59" x14ac:dyDescent="0.35">
      <c r="R36" s="1314"/>
      <c r="S36" s="1314"/>
      <c r="W36" s="1314"/>
      <c r="X36" s="1314"/>
      <c r="AE36" s="1314"/>
      <c r="AF36" s="1314"/>
      <c r="AV36" s="1314"/>
      <c r="AW36" s="1314"/>
      <c r="AX36" s="1314"/>
      <c r="AY36" s="1314"/>
      <c r="AZ36" s="1314"/>
      <c r="BA36" s="1314"/>
      <c r="BC36" s="1314"/>
      <c r="BE36" s="1314"/>
      <c r="BF36" s="1314"/>
      <c r="BG36" s="1314"/>
    </row>
    <row r="37" spans="18:59" x14ac:dyDescent="0.35">
      <c r="R37" s="1314"/>
      <c r="S37" s="1314"/>
      <c r="W37" s="1314"/>
      <c r="X37" s="1314"/>
      <c r="AE37" s="1314"/>
      <c r="AF37" s="1314"/>
      <c r="AV37" s="1314"/>
      <c r="AW37" s="1314"/>
      <c r="AX37" s="1314"/>
      <c r="AY37" s="1314"/>
      <c r="AZ37" s="1314"/>
      <c r="BA37" s="1314"/>
      <c r="BC37" s="1314"/>
      <c r="BE37" s="1314"/>
      <c r="BF37" s="1314"/>
      <c r="BG37" s="1314"/>
    </row>
    <row r="38" spans="18:59" x14ac:dyDescent="0.35">
      <c r="R38" s="1314"/>
      <c r="S38" s="1314"/>
      <c r="W38" s="1314"/>
      <c r="X38" s="1314"/>
      <c r="AE38" s="1314"/>
      <c r="AF38" s="1314"/>
      <c r="AV38" s="1314"/>
      <c r="AW38" s="1314"/>
      <c r="AX38" s="1314"/>
      <c r="AY38" s="1314"/>
      <c r="AZ38" s="1314"/>
      <c r="BA38" s="1314"/>
      <c r="BC38" s="1314"/>
      <c r="BE38" s="1314"/>
      <c r="BF38" s="1314"/>
      <c r="BG38" s="1314"/>
    </row>
    <row r="39" spans="18:59" x14ac:dyDescent="0.35">
      <c r="R39" s="1314"/>
      <c r="S39" s="1314"/>
      <c r="W39" s="1314"/>
      <c r="X39" s="1314"/>
      <c r="AE39" s="1314"/>
      <c r="AF39" s="1314"/>
      <c r="AV39" s="1314"/>
      <c r="AW39" s="1314"/>
      <c r="AX39" s="1314"/>
      <c r="AY39" s="1314"/>
      <c r="AZ39" s="1314"/>
      <c r="BA39" s="1314"/>
      <c r="BC39" s="1314"/>
      <c r="BE39" s="1314"/>
      <c r="BF39" s="1314"/>
      <c r="BG39" s="1314"/>
    </row>
    <row r="40" spans="18:59" x14ac:dyDescent="0.35">
      <c r="R40" s="1314"/>
      <c r="S40" s="1314"/>
      <c r="W40" s="1314"/>
      <c r="X40" s="1314"/>
      <c r="AE40" s="1314"/>
      <c r="AF40" s="1314"/>
      <c r="AV40" s="1314"/>
      <c r="AW40" s="1314"/>
      <c r="AX40" s="1314"/>
      <c r="AY40" s="1314"/>
      <c r="AZ40" s="1314"/>
      <c r="BA40" s="1314"/>
      <c r="BC40" s="1314"/>
      <c r="BE40" s="1314"/>
      <c r="BF40" s="1314"/>
      <c r="BG40" s="1314"/>
    </row>
    <row r="41" spans="18:59" x14ac:dyDescent="0.35">
      <c r="R41" s="1314"/>
      <c r="S41" s="1314"/>
      <c r="W41" s="1314"/>
      <c r="X41" s="1314"/>
      <c r="AE41" s="1314"/>
      <c r="AF41" s="1314"/>
      <c r="AV41" s="1314"/>
      <c r="AW41" s="1314"/>
      <c r="AX41" s="1314"/>
      <c r="AY41" s="1314"/>
      <c r="AZ41" s="1314"/>
      <c r="BA41" s="1314"/>
      <c r="BC41" s="1314"/>
      <c r="BE41" s="1314"/>
      <c r="BF41" s="1314"/>
      <c r="BG41" s="1314"/>
    </row>
    <row r="42" spans="18:59" x14ac:dyDescent="0.35">
      <c r="R42" s="1314"/>
      <c r="S42" s="1314"/>
      <c r="W42" s="1314"/>
      <c r="X42" s="1314"/>
      <c r="AE42" s="1314"/>
      <c r="AF42" s="1314"/>
      <c r="AV42" s="1314"/>
      <c r="AW42" s="1314"/>
      <c r="AX42" s="1314"/>
      <c r="AY42" s="1314"/>
      <c r="AZ42" s="1314"/>
      <c r="BA42" s="1314"/>
      <c r="BC42" s="1314"/>
      <c r="BE42" s="1314"/>
      <c r="BF42" s="1314"/>
      <c r="BG42" s="1314"/>
    </row>
    <row r="43" spans="18:59" x14ac:dyDescent="0.35">
      <c r="R43" s="1314"/>
      <c r="S43" s="1314"/>
      <c r="W43" s="1314"/>
      <c r="X43" s="1314"/>
      <c r="AE43" s="1314"/>
      <c r="AF43" s="1314"/>
      <c r="AV43" s="1314"/>
      <c r="AW43" s="1314"/>
      <c r="AX43" s="1314"/>
      <c r="AY43" s="1314"/>
      <c r="AZ43" s="1314"/>
      <c r="BA43" s="1314"/>
      <c r="BC43" s="1314"/>
      <c r="BE43" s="1314"/>
      <c r="BF43" s="1314"/>
      <c r="BG43" s="1314"/>
    </row>
    <row r="44" spans="18:59" x14ac:dyDescent="0.35">
      <c r="R44" s="1314"/>
      <c r="S44" s="1314"/>
      <c r="W44" s="1314"/>
      <c r="X44" s="1314"/>
      <c r="AE44" s="1314"/>
      <c r="AF44" s="1314"/>
      <c r="AV44" s="1314"/>
      <c r="AW44" s="1314"/>
      <c r="AX44" s="1314"/>
      <c r="AY44" s="1314"/>
      <c r="AZ44" s="1314"/>
      <c r="BA44" s="1314"/>
      <c r="BC44" s="1314"/>
      <c r="BE44" s="1314"/>
      <c r="BF44" s="1314"/>
      <c r="BG44" s="1314"/>
    </row>
    <row r="45" spans="18:59" x14ac:dyDescent="0.35">
      <c r="R45" s="1314"/>
      <c r="S45" s="1314"/>
      <c r="W45" s="1314"/>
      <c r="X45" s="1314"/>
      <c r="AE45" s="1314"/>
      <c r="AF45" s="1314"/>
      <c r="AV45" s="1314"/>
      <c r="AW45" s="1314"/>
      <c r="AX45" s="1314"/>
      <c r="AY45" s="1314"/>
      <c r="AZ45" s="1314"/>
      <c r="BA45" s="1314"/>
      <c r="BC45" s="1314"/>
      <c r="BE45" s="1314"/>
      <c r="BF45" s="1314"/>
      <c r="BG45" s="1314"/>
    </row>
    <row r="46" spans="18:59" x14ac:dyDescent="0.35">
      <c r="R46" s="1314"/>
      <c r="S46" s="1314"/>
      <c r="W46" s="1314"/>
      <c r="X46" s="1314"/>
      <c r="AE46" s="1314"/>
      <c r="AF46" s="1314"/>
      <c r="AV46" s="1314"/>
      <c r="AW46" s="1314"/>
      <c r="AX46" s="1314"/>
      <c r="AY46" s="1314"/>
      <c r="AZ46" s="1314"/>
      <c r="BA46" s="1314"/>
      <c r="BC46" s="1314"/>
      <c r="BE46" s="1314"/>
      <c r="BF46" s="1314"/>
      <c r="BG46" s="1314"/>
    </row>
    <row r="47" spans="18:59" x14ac:dyDescent="0.35">
      <c r="R47" s="1314"/>
      <c r="S47" s="1314"/>
      <c r="W47" s="1314"/>
      <c r="X47" s="1314"/>
      <c r="AE47" s="1314"/>
      <c r="AF47" s="1314"/>
      <c r="AV47" s="1314"/>
      <c r="AW47" s="1314"/>
      <c r="AX47" s="1314"/>
      <c r="AY47" s="1314"/>
      <c r="AZ47" s="1314"/>
      <c r="BA47" s="1314"/>
      <c r="BC47" s="1314"/>
      <c r="BE47" s="1314"/>
      <c r="BF47" s="1314"/>
      <c r="BG47" s="1314"/>
    </row>
    <row r="48" spans="18:59" x14ac:dyDescent="0.35">
      <c r="R48" s="1314"/>
      <c r="S48" s="1314"/>
      <c r="W48" s="1314"/>
      <c r="X48" s="1314"/>
      <c r="AE48" s="1314"/>
      <c r="AF48" s="1314"/>
      <c r="AV48" s="1314"/>
      <c r="AW48" s="1314"/>
      <c r="AX48" s="1314"/>
      <c r="AY48" s="1314"/>
      <c r="AZ48" s="1314"/>
      <c r="BA48" s="1314"/>
      <c r="BC48" s="1314"/>
      <c r="BE48" s="1314"/>
      <c r="BF48" s="1314"/>
      <c r="BG48" s="1314"/>
    </row>
    <row r="49" spans="18:59" x14ac:dyDescent="0.35">
      <c r="R49" s="1314"/>
      <c r="S49" s="1314"/>
      <c r="W49" s="1314"/>
      <c r="X49" s="1314"/>
      <c r="AE49" s="1314"/>
      <c r="AF49" s="1314"/>
      <c r="AV49" s="1314"/>
      <c r="AW49" s="1314"/>
      <c r="AX49" s="1314"/>
      <c r="AY49" s="1314"/>
      <c r="AZ49" s="1314"/>
      <c r="BA49" s="1314"/>
      <c r="BC49" s="1314"/>
      <c r="BE49" s="1314"/>
      <c r="BF49" s="1314"/>
      <c r="BG49" s="1314"/>
    </row>
    <row r="50" spans="18:59" x14ac:dyDescent="0.35">
      <c r="R50" s="1314"/>
      <c r="S50" s="1314"/>
      <c r="W50" s="1314"/>
      <c r="X50" s="1314"/>
      <c r="AE50" s="1314"/>
      <c r="AF50" s="1314"/>
      <c r="AV50" s="1314"/>
      <c r="AW50" s="1314"/>
      <c r="AX50" s="1314"/>
      <c r="AY50" s="1314"/>
      <c r="AZ50" s="1314"/>
      <c r="BA50" s="1314"/>
      <c r="BC50" s="1314"/>
      <c r="BE50" s="1314"/>
      <c r="BF50" s="1314"/>
      <c r="BG50" s="1314"/>
    </row>
    <row r="51" spans="18:59" x14ac:dyDescent="0.35">
      <c r="R51" s="1314"/>
      <c r="S51" s="1314"/>
      <c r="W51" s="1314"/>
      <c r="X51" s="1314"/>
      <c r="AE51" s="1314"/>
      <c r="AF51" s="1314"/>
      <c r="AV51" s="1314"/>
      <c r="AW51" s="1314"/>
      <c r="AX51" s="1314"/>
      <c r="AY51" s="1314"/>
      <c r="AZ51" s="1314"/>
      <c r="BA51" s="1314"/>
      <c r="BC51" s="1314"/>
      <c r="BE51" s="1314"/>
      <c r="BF51" s="1314"/>
      <c r="BG51" s="1314"/>
    </row>
    <row r="52" spans="18:59" x14ac:dyDescent="0.35">
      <c r="R52" s="1314"/>
      <c r="S52" s="1314"/>
      <c r="W52" s="1314"/>
      <c r="X52" s="1314"/>
      <c r="AE52" s="1314"/>
      <c r="AF52" s="1314"/>
      <c r="AV52" s="1314"/>
      <c r="AW52" s="1314"/>
      <c r="AX52" s="1314"/>
      <c r="AY52" s="1314"/>
      <c r="AZ52" s="1314"/>
      <c r="BA52" s="1314"/>
      <c r="BC52" s="1314"/>
      <c r="BE52" s="1314"/>
      <c r="BF52" s="1314"/>
      <c r="BG52" s="1314"/>
    </row>
    <row r="53" spans="18:59" x14ac:dyDescent="0.35">
      <c r="R53" s="1314"/>
      <c r="S53" s="1314"/>
      <c r="W53" s="1314"/>
      <c r="X53" s="1314"/>
      <c r="AE53" s="1314"/>
      <c r="AF53" s="1314"/>
      <c r="AV53" s="1314"/>
      <c r="AW53" s="1314"/>
      <c r="AX53" s="1314"/>
      <c r="AY53" s="1314"/>
      <c r="AZ53" s="1314"/>
      <c r="BA53" s="1314"/>
      <c r="BC53" s="1314"/>
      <c r="BE53" s="1314"/>
      <c r="BF53" s="1314"/>
      <c r="BG53" s="1314"/>
    </row>
    <row r="54" spans="18:59" x14ac:dyDescent="0.35">
      <c r="R54" s="1314"/>
      <c r="S54" s="1314"/>
      <c r="W54" s="1314"/>
      <c r="X54" s="1314"/>
      <c r="AE54" s="1314"/>
      <c r="AF54" s="1314"/>
      <c r="AV54" s="1314"/>
      <c r="AW54" s="1314"/>
      <c r="AX54" s="1314"/>
      <c r="AY54" s="1314"/>
      <c r="AZ54" s="1314"/>
      <c r="BA54" s="1314"/>
      <c r="BC54" s="1314"/>
      <c r="BE54" s="1314"/>
      <c r="BF54" s="1314"/>
      <c r="BG54" s="1314"/>
    </row>
    <row r="55" spans="18:59" x14ac:dyDescent="0.35">
      <c r="R55" s="1314"/>
      <c r="S55" s="1314"/>
      <c r="W55" s="1314"/>
      <c r="X55" s="1314"/>
      <c r="AE55" s="1314"/>
      <c r="AF55" s="1314"/>
      <c r="AV55" s="1314"/>
      <c r="AW55" s="1314"/>
      <c r="AX55" s="1314"/>
      <c r="AY55" s="1314"/>
      <c r="AZ55" s="1314"/>
      <c r="BA55" s="1314"/>
      <c r="BC55" s="1314"/>
      <c r="BE55" s="1314"/>
      <c r="BF55" s="1314"/>
      <c r="BG55" s="1314"/>
    </row>
    <row r="56" spans="18:59" x14ac:dyDescent="0.35">
      <c r="R56" s="1314"/>
      <c r="S56" s="1314"/>
      <c r="W56" s="1314"/>
      <c r="X56" s="1314"/>
      <c r="AE56" s="1314"/>
      <c r="AF56" s="1314"/>
      <c r="AV56" s="1314"/>
      <c r="AW56" s="1314"/>
      <c r="AX56" s="1314"/>
      <c r="AY56" s="1314"/>
      <c r="AZ56" s="1314"/>
      <c r="BA56" s="1314"/>
      <c r="BC56" s="1314"/>
      <c r="BE56" s="1314"/>
      <c r="BF56" s="1314"/>
      <c r="BG56" s="1314"/>
    </row>
    <row r="57" spans="18:59" x14ac:dyDescent="0.35">
      <c r="R57" s="1314"/>
      <c r="S57" s="1314"/>
      <c r="W57" s="1314"/>
      <c r="X57" s="1314"/>
      <c r="AE57" s="1314"/>
      <c r="AF57" s="1314"/>
      <c r="AV57" s="1314"/>
      <c r="AW57" s="1314"/>
      <c r="AX57" s="1314"/>
      <c r="AY57" s="1314"/>
      <c r="AZ57" s="1314"/>
      <c r="BA57" s="1314"/>
      <c r="BC57" s="1314"/>
      <c r="BE57" s="1314"/>
      <c r="BF57" s="1314"/>
      <c r="BG57" s="1314"/>
    </row>
    <row r="58" spans="18:59" x14ac:dyDescent="0.35">
      <c r="R58" s="1314"/>
      <c r="S58" s="1314"/>
      <c r="W58" s="1314"/>
      <c r="X58" s="1314"/>
      <c r="AE58" s="1314"/>
      <c r="AF58" s="1314"/>
      <c r="AV58" s="1314"/>
      <c r="AW58" s="1314"/>
      <c r="AX58" s="1314"/>
      <c r="AY58" s="1314"/>
      <c r="AZ58" s="1314"/>
      <c r="BA58" s="1314"/>
      <c r="BC58" s="1314"/>
      <c r="BE58" s="1314"/>
      <c r="BF58" s="1314"/>
      <c r="BG58" s="1314"/>
    </row>
    <row r="59" spans="18:59" x14ac:dyDescent="0.35">
      <c r="R59" s="1314"/>
      <c r="S59" s="1314"/>
      <c r="W59" s="1314"/>
      <c r="X59" s="1314"/>
      <c r="AE59" s="1314"/>
      <c r="AF59" s="1314"/>
      <c r="AV59" s="1314"/>
      <c r="AW59" s="1314"/>
      <c r="AX59" s="1314"/>
      <c r="AY59" s="1314"/>
      <c r="AZ59" s="1314"/>
      <c r="BA59" s="1314"/>
      <c r="BC59" s="1314"/>
      <c r="BE59" s="1314"/>
      <c r="BF59" s="1314"/>
      <c r="BG59" s="1314"/>
    </row>
    <row r="60" spans="18:59" x14ac:dyDescent="0.35">
      <c r="R60" s="1314"/>
      <c r="S60" s="1314"/>
      <c r="W60" s="1314"/>
      <c r="X60" s="1314"/>
      <c r="AE60" s="1314"/>
      <c r="AF60" s="1314"/>
      <c r="AV60" s="1314"/>
      <c r="AW60" s="1314"/>
      <c r="AX60" s="1314"/>
      <c r="AY60" s="1314"/>
      <c r="AZ60" s="1314"/>
      <c r="BA60" s="1314"/>
      <c r="BC60" s="1314"/>
      <c r="BE60" s="1314"/>
      <c r="BF60" s="1314"/>
      <c r="BG60" s="1314"/>
    </row>
    <row r="61" spans="18:59" x14ac:dyDescent="0.35">
      <c r="R61" s="1314"/>
      <c r="S61" s="1314"/>
      <c r="W61" s="1314"/>
      <c r="X61" s="1314"/>
      <c r="AE61" s="1314"/>
      <c r="AF61" s="1314"/>
      <c r="AV61" s="1314"/>
      <c r="AW61" s="1314"/>
      <c r="AX61" s="1314"/>
      <c r="AY61" s="1314"/>
      <c r="AZ61" s="1314"/>
      <c r="BA61" s="1314"/>
      <c r="BC61" s="1314"/>
      <c r="BE61" s="1314"/>
      <c r="BF61" s="1314"/>
      <c r="BG61" s="1314"/>
    </row>
    <row r="62" spans="18:59" x14ac:dyDescent="0.35">
      <c r="R62" s="1314"/>
      <c r="S62" s="1314"/>
      <c r="W62" s="1314"/>
      <c r="X62" s="1314"/>
      <c r="AE62" s="1314"/>
      <c r="AF62" s="1314"/>
      <c r="AV62" s="1314"/>
      <c r="AW62" s="1314"/>
      <c r="AX62" s="1314"/>
      <c r="AY62" s="1314"/>
      <c r="AZ62" s="1314"/>
      <c r="BA62" s="1314"/>
      <c r="BC62" s="1314"/>
      <c r="BE62" s="1314"/>
      <c r="BF62" s="1314"/>
      <c r="BG62" s="1314"/>
    </row>
    <row r="63" spans="18:59" x14ac:dyDescent="0.35">
      <c r="R63" s="1314"/>
      <c r="S63" s="1314"/>
      <c r="W63" s="1314"/>
      <c r="X63" s="1314"/>
      <c r="AE63" s="1314"/>
      <c r="AF63" s="1314"/>
      <c r="AV63" s="1314"/>
      <c r="AW63" s="1314"/>
      <c r="AX63" s="1314"/>
      <c r="AY63" s="1314"/>
      <c r="AZ63" s="1314"/>
      <c r="BA63" s="1314"/>
      <c r="BC63" s="1314"/>
      <c r="BE63" s="1314"/>
      <c r="BF63" s="1314"/>
      <c r="BG63" s="1314"/>
    </row>
    <row r="64" spans="18:59" x14ac:dyDescent="0.35">
      <c r="R64" s="1314"/>
      <c r="S64" s="1314"/>
      <c r="W64" s="1314"/>
      <c r="X64" s="1314"/>
      <c r="AE64" s="1314"/>
      <c r="AF64" s="1314"/>
      <c r="AV64" s="1314"/>
      <c r="AW64" s="1314"/>
      <c r="AX64" s="1314"/>
      <c r="AY64" s="1314"/>
      <c r="AZ64" s="1314"/>
      <c r="BA64" s="1314"/>
      <c r="BC64" s="1314"/>
      <c r="BE64" s="1314"/>
      <c r="BF64" s="1314"/>
      <c r="BG64" s="1314"/>
    </row>
    <row r="65" spans="18:59" x14ac:dyDescent="0.35">
      <c r="R65" s="1314"/>
      <c r="S65" s="1314"/>
      <c r="W65" s="1314"/>
      <c r="X65" s="1314"/>
      <c r="AE65" s="1314"/>
      <c r="AF65" s="1314"/>
      <c r="AV65" s="1314"/>
      <c r="AW65" s="1314"/>
      <c r="AX65" s="1314"/>
      <c r="AY65" s="1314"/>
      <c r="AZ65" s="1314"/>
      <c r="BA65" s="1314"/>
      <c r="BC65" s="1314"/>
      <c r="BE65" s="1314"/>
      <c r="BF65" s="1314"/>
      <c r="BG65" s="1314"/>
    </row>
    <row r="66" spans="18:59" x14ac:dyDescent="0.35">
      <c r="R66" s="1314"/>
      <c r="S66" s="1314"/>
      <c r="W66" s="1314"/>
      <c r="X66" s="1314"/>
      <c r="AE66" s="1314"/>
      <c r="AF66" s="1314"/>
      <c r="AV66" s="1314"/>
      <c r="AW66" s="1314"/>
      <c r="AX66" s="1314"/>
      <c r="AY66" s="1314"/>
      <c r="AZ66" s="1314"/>
      <c r="BA66" s="1314"/>
      <c r="BC66" s="1314"/>
      <c r="BE66" s="1314"/>
      <c r="BF66" s="1314"/>
      <c r="BG66" s="1314"/>
    </row>
    <row r="67" spans="18:59" x14ac:dyDescent="0.35">
      <c r="R67" s="1314"/>
      <c r="S67" s="1314"/>
      <c r="W67" s="1314"/>
      <c r="X67" s="1314"/>
      <c r="AE67" s="1314"/>
      <c r="AF67" s="1314"/>
      <c r="AV67" s="1314"/>
      <c r="AW67" s="1314"/>
      <c r="AX67" s="1314"/>
      <c r="AY67" s="1314"/>
      <c r="AZ67" s="1314"/>
      <c r="BA67" s="1314"/>
      <c r="BC67" s="1314"/>
      <c r="BE67" s="1314"/>
      <c r="BF67" s="1314"/>
      <c r="BG67" s="1314"/>
    </row>
    <row r="68" spans="18:59" x14ac:dyDescent="0.35">
      <c r="R68" s="1314"/>
      <c r="S68" s="1314"/>
      <c r="W68" s="1314"/>
      <c r="X68" s="1314"/>
      <c r="AE68" s="1314"/>
      <c r="AF68" s="1314"/>
      <c r="AV68" s="1314"/>
      <c r="AW68" s="1314"/>
      <c r="AX68" s="1314"/>
      <c r="AY68" s="1314"/>
      <c r="AZ68" s="1314"/>
      <c r="BA68" s="1314"/>
      <c r="BC68" s="1314"/>
      <c r="BE68" s="1314"/>
      <c r="BF68" s="1314"/>
      <c r="BG68" s="1314"/>
    </row>
    <row r="69" spans="18:59" x14ac:dyDescent="0.35">
      <c r="R69" s="1314"/>
      <c r="S69" s="1314"/>
      <c r="W69" s="1314"/>
      <c r="X69" s="1314"/>
      <c r="AE69" s="1314"/>
      <c r="AF69" s="1314"/>
      <c r="AV69" s="1314"/>
      <c r="AW69" s="1314"/>
      <c r="AX69" s="1314"/>
      <c r="AY69" s="1314"/>
      <c r="AZ69" s="1314"/>
      <c r="BA69" s="1314"/>
      <c r="BC69" s="1314"/>
      <c r="BE69" s="1314"/>
      <c r="BF69" s="1314"/>
      <c r="BG69" s="1314"/>
    </row>
    <row r="70" spans="18:59" x14ac:dyDescent="0.35">
      <c r="R70" s="1314"/>
      <c r="S70" s="1314"/>
      <c r="W70" s="1314"/>
      <c r="X70" s="1314"/>
      <c r="AE70" s="1314"/>
      <c r="AF70" s="1314"/>
      <c r="AV70" s="1314"/>
      <c r="AW70" s="1314"/>
      <c r="AX70" s="1314"/>
      <c r="AY70" s="1314"/>
      <c r="AZ70" s="1314"/>
      <c r="BA70" s="1314"/>
      <c r="BC70" s="1314"/>
      <c r="BE70" s="1314"/>
      <c r="BF70" s="1314"/>
      <c r="BG70" s="1314"/>
    </row>
    <row r="71" spans="18:59" x14ac:dyDescent="0.35">
      <c r="R71" s="1314"/>
      <c r="S71" s="1314"/>
      <c r="W71" s="1314"/>
      <c r="X71" s="1314"/>
      <c r="AE71" s="1314"/>
      <c r="AF71" s="1314"/>
      <c r="AV71" s="1314"/>
      <c r="AW71" s="1314"/>
      <c r="AX71" s="1314"/>
      <c r="AY71" s="1314"/>
      <c r="AZ71" s="1314"/>
      <c r="BA71" s="1314"/>
      <c r="BC71" s="1314"/>
      <c r="BE71" s="1314"/>
      <c r="BF71" s="1314"/>
      <c r="BG71" s="1314"/>
    </row>
    <row r="72" spans="18:59" x14ac:dyDescent="0.35">
      <c r="R72" s="1314"/>
      <c r="S72" s="1314"/>
      <c r="W72" s="1314"/>
      <c r="X72" s="1314"/>
      <c r="AE72" s="1314"/>
      <c r="AF72" s="1314"/>
      <c r="AV72" s="1314"/>
      <c r="AW72" s="1314"/>
      <c r="AX72" s="1314"/>
      <c r="AY72" s="1314"/>
      <c r="AZ72" s="1314"/>
      <c r="BA72" s="1314"/>
      <c r="BC72" s="1314"/>
      <c r="BE72" s="1314"/>
      <c r="BF72" s="1314"/>
      <c r="BG72" s="1314"/>
    </row>
    <row r="73" spans="18:59" x14ac:dyDescent="0.35">
      <c r="R73" s="1314"/>
      <c r="S73" s="1314"/>
      <c r="W73" s="1314"/>
      <c r="X73" s="1314"/>
      <c r="AE73" s="1314"/>
      <c r="AF73" s="1314"/>
      <c r="AV73" s="1314"/>
      <c r="AW73" s="1314"/>
      <c r="AX73" s="1314"/>
      <c r="AY73" s="1314"/>
      <c r="AZ73" s="1314"/>
      <c r="BA73" s="1314"/>
      <c r="BC73" s="1314"/>
      <c r="BE73" s="1314"/>
      <c r="BF73" s="1314"/>
      <c r="BG73" s="1314"/>
    </row>
    <row r="74" spans="18:59" x14ac:dyDescent="0.35">
      <c r="R74" s="1314"/>
      <c r="S74" s="1314"/>
      <c r="W74" s="1314"/>
      <c r="X74" s="1314"/>
      <c r="AE74" s="1314"/>
      <c r="AF74" s="1314"/>
      <c r="AV74" s="1314"/>
      <c r="AW74" s="1314"/>
      <c r="AX74" s="1314"/>
      <c r="AY74" s="1314"/>
      <c r="AZ74" s="1314"/>
      <c r="BA74" s="1314"/>
      <c r="BC74" s="1314"/>
      <c r="BE74" s="1314"/>
      <c r="BF74" s="1314"/>
      <c r="BG74" s="1314"/>
    </row>
    <row r="75" spans="18:59" x14ac:dyDescent="0.35">
      <c r="R75" s="1314"/>
      <c r="S75" s="1314"/>
      <c r="W75" s="1314"/>
      <c r="X75" s="1314"/>
      <c r="AE75" s="1314"/>
      <c r="AF75" s="1314"/>
      <c r="AV75" s="1314"/>
      <c r="AW75" s="1314"/>
      <c r="AX75" s="1314"/>
      <c r="AY75" s="1314"/>
      <c r="AZ75" s="1314"/>
      <c r="BA75" s="1314"/>
      <c r="BC75" s="1314"/>
      <c r="BE75" s="1314"/>
      <c r="BF75" s="1314"/>
      <c r="BG75" s="1314"/>
    </row>
    <row r="76" spans="18:59" x14ac:dyDescent="0.35">
      <c r="R76" s="1314"/>
      <c r="S76" s="1314"/>
      <c r="W76" s="1314"/>
      <c r="X76" s="1314"/>
      <c r="AE76" s="1314"/>
      <c r="AF76" s="1314"/>
      <c r="AV76" s="1314"/>
      <c r="AW76" s="1314"/>
      <c r="AX76" s="1314"/>
      <c r="AY76" s="1314"/>
      <c r="AZ76" s="1314"/>
      <c r="BA76" s="1314"/>
      <c r="BC76" s="1314"/>
      <c r="BE76" s="1314"/>
      <c r="BF76" s="1314"/>
      <c r="BG76" s="1314"/>
    </row>
    <row r="77" spans="18:59" x14ac:dyDescent="0.35">
      <c r="R77" s="1314"/>
      <c r="S77" s="1314"/>
      <c r="W77" s="1314"/>
      <c r="X77" s="1314"/>
      <c r="AE77" s="1314"/>
      <c r="AF77" s="1314"/>
      <c r="AV77" s="1314"/>
      <c r="AW77" s="1314"/>
      <c r="AX77" s="1314"/>
      <c r="AY77" s="1314"/>
      <c r="AZ77" s="1314"/>
      <c r="BA77" s="1314"/>
      <c r="BC77" s="1314"/>
      <c r="BE77" s="1314"/>
      <c r="BF77" s="1314"/>
      <c r="BG77" s="1314"/>
    </row>
    <row r="78" spans="18:59" x14ac:dyDescent="0.35">
      <c r="R78" s="1314"/>
      <c r="S78" s="1314"/>
      <c r="W78" s="1314"/>
      <c r="X78" s="1314"/>
      <c r="AE78" s="1314"/>
      <c r="AF78" s="1314"/>
      <c r="AV78" s="1314"/>
      <c r="AW78" s="1314"/>
      <c r="AX78" s="1314"/>
      <c r="AY78" s="1314"/>
      <c r="AZ78" s="1314"/>
      <c r="BA78" s="1314"/>
      <c r="BC78" s="1314"/>
      <c r="BE78" s="1314"/>
      <c r="BF78" s="1314"/>
      <c r="BG78" s="1314"/>
    </row>
    <row r="79" spans="18:59" x14ac:dyDescent="0.35">
      <c r="R79" s="1314"/>
      <c r="S79" s="1314"/>
      <c r="W79" s="1314"/>
      <c r="X79" s="1314"/>
      <c r="AE79" s="1314"/>
      <c r="AF79" s="1314"/>
      <c r="AV79" s="1314"/>
      <c r="AW79" s="1314"/>
      <c r="AX79" s="1314"/>
      <c r="AY79" s="1314"/>
      <c r="AZ79" s="1314"/>
      <c r="BA79" s="1314"/>
      <c r="BC79" s="1314"/>
      <c r="BE79" s="1314"/>
      <c r="BF79" s="1314"/>
      <c r="BG79" s="1314"/>
    </row>
    <row r="80" spans="18:59" x14ac:dyDescent="0.35">
      <c r="R80" s="1314"/>
      <c r="S80" s="1314"/>
      <c r="W80" s="1314"/>
      <c r="X80" s="1314"/>
      <c r="AE80" s="1314"/>
      <c r="AF80" s="1314"/>
      <c r="AV80" s="1314"/>
      <c r="AW80" s="1314"/>
      <c r="AX80" s="1314"/>
      <c r="AY80" s="1314"/>
      <c r="AZ80" s="1314"/>
      <c r="BA80" s="1314"/>
      <c r="BC80" s="1314"/>
      <c r="BE80" s="1314"/>
      <c r="BF80" s="1314"/>
      <c r="BG80" s="1314"/>
    </row>
    <row r="81" spans="18:59" x14ac:dyDescent="0.35">
      <c r="R81" s="1314"/>
      <c r="S81" s="1314"/>
      <c r="W81" s="1314"/>
      <c r="X81" s="1314"/>
      <c r="AE81" s="1314"/>
      <c r="AF81" s="1314"/>
      <c r="AV81" s="1314"/>
      <c r="AW81" s="1314"/>
      <c r="AX81" s="1314"/>
      <c r="AY81" s="1314"/>
      <c r="AZ81" s="1314"/>
      <c r="BA81" s="1314"/>
      <c r="BC81" s="1314"/>
      <c r="BE81" s="1314"/>
      <c r="BF81" s="1314"/>
      <c r="BG81" s="1314"/>
    </row>
    <row r="82" spans="18:59" x14ac:dyDescent="0.35">
      <c r="R82" s="1314"/>
      <c r="S82" s="1314"/>
      <c r="W82" s="1314"/>
      <c r="X82" s="1314"/>
      <c r="AE82" s="1314"/>
      <c r="AF82" s="1314"/>
      <c r="AV82" s="1314"/>
      <c r="AW82" s="1314"/>
      <c r="AX82" s="1314"/>
      <c r="AY82" s="1314"/>
      <c r="AZ82" s="1314"/>
      <c r="BA82" s="1314"/>
      <c r="BC82" s="1314"/>
      <c r="BE82" s="1314"/>
      <c r="BF82" s="1314"/>
      <c r="BG82" s="1314"/>
    </row>
    <row r="83" spans="18:59" x14ac:dyDescent="0.35">
      <c r="R83" s="1314"/>
      <c r="S83" s="1314"/>
      <c r="W83" s="1314"/>
      <c r="X83" s="1314"/>
      <c r="AE83" s="1314"/>
      <c r="AF83" s="1314"/>
      <c r="AV83" s="1314"/>
      <c r="AW83" s="1314"/>
      <c r="AX83" s="1314"/>
      <c r="AY83" s="1314"/>
      <c r="AZ83" s="1314"/>
      <c r="BA83" s="1314"/>
      <c r="BC83" s="1314"/>
      <c r="BE83" s="1314"/>
      <c r="BF83" s="1314"/>
      <c r="BG83" s="1314"/>
    </row>
    <row r="84" spans="18:59" x14ac:dyDescent="0.35">
      <c r="R84" s="1314"/>
      <c r="S84" s="1314"/>
      <c r="W84" s="1314"/>
      <c r="X84" s="1314"/>
      <c r="AE84" s="1314"/>
      <c r="AF84" s="1314"/>
      <c r="AV84" s="1314"/>
      <c r="AW84" s="1314"/>
      <c r="AX84" s="1314"/>
      <c r="AY84" s="1314"/>
      <c r="AZ84" s="1314"/>
      <c r="BA84" s="1314"/>
      <c r="BC84" s="1314"/>
      <c r="BE84" s="1314"/>
      <c r="BF84" s="1314"/>
      <c r="BG84" s="1314"/>
    </row>
    <row r="85" spans="18:59" x14ac:dyDescent="0.35">
      <c r="R85" s="1314"/>
      <c r="S85" s="1314"/>
      <c r="W85" s="1314"/>
      <c r="X85" s="1314"/>
      <c r="AE85" s="1314"/>
      <c r="AF85" s="1314"/>
      <c r="AV85" s="1314"/>
      <c r="AW85" s="1314"/>
      <c r="AX85" s="1314"/>
      <c r="AY85" s="1314"/>
      <c r="AZ85" s="1314"/>
      <c r="BA85" s="1314"/>
      <c r="BC85" s="1314"/>
      <c r="BE85" s="1314"/>
      <c r="BF85" s="1314"/>
      <c r="BG85" s="1314"/>
    </row>
    <row r="86" spans="18:59" x14ac:dyDescent="0.35">
      <c r="R86" s="1314"/>
      <c r="S86" s="1314"/>
      <c r="W86" s="1314"/>
      <c r="X86" s="1314"/>
      <c r="AE86" s="1314"/>
      <c r="AF86" s="1314"/>
      <c r="AV86" s="1314"/>
      <c r="AW86" s="1314"/>
      <c r="AX86" s="1314"/>
      <c r="AY86" s="1314"/>
      <c r="AZ86" s="1314"/>
      <c r="BA86" s="1314"/>
      <c r="BC86" s="1314"/>
      <c r="BE86" s="1314"/>
      <c r="BF86" s="1314"/>
      <c r="BG86" s="1314"/>
    </row>
    <row r="87" spans="18:59" x14ac:dyDescent="0.35">
      <c r="R87" s="1314"/>
      <c r="S87" s="1314"/>
      <c r="W87" s="1314"/>
      <c r="X87" s="1314"/>
      <c r="AE87" s="1314"/>
      <c r="AF87" s="1314"/>
      <c r="AV87" s="1314"/>
      <c r="AW87" s="1314"/>
      <c r="AX87" s="1314"/>
      <c r="AY87" s="1314"/>
      <c r="AZ87" s="1314"/>
      <c r="BA87" s="1314"/>
      <c r="BC87" s="1314"/>
      <c r="BE87" s="1314"/>
      <c r="BF87" s="1314"/>
      <c r="BG87" s="1314"/>
    </row>
    <row r="88" spans="18:59" x14ac:dyDescent="0.35">
      <c r="R88" s="1314"/>
      <c r="S88" s="1314"/>
      <c r="W88" s="1314"/>
      <c r="X88" s="1314"/>
      <c r="AE88" s="1314"/>
      <c r="AF88" s="1314"/>
      <c r="AV88" s="1314"/>
      <c r="AW88" s="1314"/>
      <c r="AX88" s="1314"/>
      <c r="AY88" s="1314"/>
      <c r="AZ88" s="1314"/>
      <c r="BA88" s="1314"/>
      <c r="BC88" s="1314"/>
      <c r="BE88" s="1314"/>
      <c r="BF88" s="1314"/>
      <c r="BG88" s="1314"/>
    </row>
    <row r="89" spans="18:59" x14ac:dyDescent="0.35">
      <c r="R89" s="1314"/>
      <c r="S89" s="1314"/>
      <c r="W89" s="1314"/>
      <c r="X89" s="1314"/>
      <c r="AE89" s="1314"/>
      <c r="AF89" s="1314"/>
      <c r="AV89" s="1314"/>
      <c r="AW89" s="1314"/>
      <c r="AX89" s="1314"/>
      <c r="AY89" s="1314"/>
      <c r="AZ89" s="1314"/>
      <c r="BA89" s="1314"/>
      <c r="BC89" s="1314"/>
      <c r="BE89" s="1314"/>
      <c r="BF89" s="1314"/>
      <c r="BG89" s="1314"/>
    </row>
    <row r="90" spans="18:59" x14ac:dyDescent="0.35">
      <c r="R90" s="1314"/>
      <c r="S90" s="1314"/>
      <c r="W90" s="1314"/>
      <c r="X90" s="1314"/>
      <c r="AE90" s="1314"/>
      <c r="AF90" s="1314"/>
      <c r="AV90" s="1314"/>
      <c r="AW90" s="1314"/>
      <c r="AX90" s="1314"/>
      <c r="AY90" s="1314"/>
      <c r="AZ90" s="1314"/>
      <c r="BA90" s="1314"/>
      <c r="BC90" s="1314"/>
      <c r="BE90" s="1314"/>
      <c r="BF90" s="1314"/>
      <c r="BG90" s="1314"/>
    </row>
    <row r="91" spans="18:59" x14ac:dyDescent="0.35">
      <c r="R91" s="1314"/>
      <c r="S91" s="1314"/>
      <c r="W91" s="1314"/>
      <c r="X91" s="1314"/>
      <c r="AE91" s="1314"/>
      <c r="AF91" s="1314"/>
      <c r="AV91" s="1314"/>
      <c r="AW91" s="1314"/>
      <c r="AX91" s="1314"/>
      <c r="AY91" s="1314"/>
      <c r="AZ91" s="1314"/>
      <c r="BA91" s="1314"/>
      <c r="BC91" s="1314"/>
      <c r="BE91" s="1314"/>
      <c r="BF91" s="1314"/>
      <c r="BG91" s="1314"/>
    </row>
    <row r="92" spans="18:59" x14ac:dyDescent="0.35">
      <c r="R92" s="1314"/>
      <c r="S92" s="1314"/>
      <c r="W92" s="1314"/>
      <c r="X92" s="1314"/>
      <c r="AE92" s="1314"/>
      <c r="AF92" s="1314"/>
      <c r="AV92" s="1314"/>
      <c r="AW92" s="1314"/>
      <c r="AX92" s="1314"/>
      <c r="AY92" s="1314"/>
      <c r="AZ92" s="1314"/>
      <c r="BA92" s="1314"/>
      <c r="BC92" s="1314"/>
      <c r="BE92" s="1314"/>
      <c r="BF92" s="1314"/>
      <c r="BG92" s="1314"/>
    </row>
    <row r="93" spans="18:59" x14ac:dyDescent="0.35">
      <c r="R93" s="1314"/>
      <c r="S93" s="1314"/>
      <c r="W93" s="1314"/>
      <c r="X93" s="1314"/>
      <c r="AE93" s="1314"/>
      <c r="AF93" s="1314"/>
      <c r="AV93" s="1314"/>
      <c r="AW93" s="1314"/>
      <c r="AX93" s="1314"/>
      <c r="AY93" s="1314"/>
      <c r="AZ93" s="1314"/>
      <c r="BA93" s="1314"/>
      <c r="BC93" s="1314"/>
      <c r="BE93" s="1314"/>
      <c r="BF93" s="1314"/>
      <c r="BG93" s="1314"/>
    </row>
    <row r="94" spans="18:59" x14ac:dyDescent="0.35">
      <c r="R94" s="1314"/>
      <c r="S94" s="1314"/>
      <c r="W94" s="1314"/>
      <c r="X94" s="1314"/>
      <c r="AE94" s="1314"/>
      <c r="AF94" s="1314"/>
      <c r="AV94" s="1314"/>
      <c r="AW94" s="1314"/>
      <c r="AX94" s="1314"/>
      <c r="AY94" s="1314"/>
      <c r="AZ94" s="1314"/>
      <c r="BA94" s="1314"/>
      <c r="BC94" s="1314"/>
      <c r="BE94" s="1314"/>
      <c r="BF94" s="1314"/>
      <c r="BG94" s="1314"/>
    </row>
    <row r="95" spans="18:59" x14ac:dyDescent="0.35">
      <c r="R95" s="1314"/>
      <c r="S95" s="1314"/>
      <c r="W95" s="1314"/>
      <c r="X95" s="1314"/>
      <c r="AE95" s="1314"/>
      <c r="AF95" s="1314"/>
      <c r="AV95" s="1314"/>
      <c r="AW95" s="1314"/>
      <c r="AX95" s="1314"/>
      <c r="AY95" s="1314"/>
      <c r="AZ95" s="1314"/>
      <c r="BA95" s="1314"/>
      <c r="BC95" s="1314"/>
      <c r="BE95" s="1314"/>
      <c r="BF95" s="1314"/>
      <c r="BG95" s="1314"/>
    </row>
    <row r="96" spans="18:59" x14ac:dyDescent="0.35">
      <c r="R96" s="1314"/>
      <c r="S96" s="1314"/>
      <c r="W96" s="1314"/>
      <c r="X96" s="1314"/>
      <c r="AE96" s="1314"/>
      <c r="AF96" s="1314"/>
      <c r="AV96" s="1314"/>
      <c r="AW96" s="1314"/>
      <c r="AX96" s="1314"/>
      <c r="AY96" s="1314"/>
      <c r="AZ96" s="1314"/>
      <c r="BA96" s="1314"/>
      <c r="BC96" s="1314"/>
      <c r="BE96" s="1314"/>
      <c r="BF96" s="1314"/>
      <c r="BG96" s="1314"/>
    </row>
    <row r="97" spans="18:59" x14ac:dyDescent="0.35">
      <c r="R97" s="1314"/>
      <c r="S97" s="1314"/>
      <c r="W97" s="1314"/>
      <c r="X97" s="1314"/>
      <c r="AE97" s="1314"/>
      <c r="AF97" s="1314"/>
      <c r="AV97" s="1314"/>
      <c r="AW97" s="1314"/>
      <c r="AX97" s="1314"/>
      <c r="AY97" s="1314"/>
      <c r="AZ97" s="1314"/>
      <c r="BA97" s="1314"/>
      <c r="BC97" s="1314"/>
      <c r="BE97" s="1314"/>
      <c r="BF97" s="1314"/>
      <c r="BG97" s="1314"/>
    </row>
    <row r="98" spans="18:59" x14ac:dyDescent="0.35">
      <c r="R98" s="1314"/>
      <c r="S98" s="1314"/>
      <c r="W98" s="1314"/>
      <c r="X98" s="1314"/>
      <c r="AE98" s="1314"/>
      <c r="AF98" s="1314"/>
      <c r="AV98" s="1314"/>
      <c r="AW98" s="1314"/>
      <c r="AX98" s="1314"/>
      <c r="AY98" s="1314"/>
      <c r="AZ98" s="1314"/>
      <c r="BA98" s="1314"/>
      <c r="BC98" s="1314"/>
      <c r="BE98" s="1314"/>
      <c r="BF98" s="1314"/>
      <c r="BG98" s="1314"/>
    </row>
    <row r="99" spans="18:59" x14ac:dyDescent="0.35">
      <c r="R99" s="1314"/>
      <c r="S99" s="1314"/>
      <c r="W99" s="1314"/>
      <c r="X99" s="1314"/>
      <c r="AE99" s="1314"/>
      <c r="AF99" s="1314"/>
      <c r="AV99" s="1314"/>
      <c r="AW99" s="1314"/>
      <c r="AX99" s="1314"/>
      <c r="AY99" s="1314"/>
      <c r="AZ99" s="1314"/>
      <c r="BA99" s="1314"/>
      <c r="BC99" s="1314"/>
      <c r="BE99" s="1314"/>
      <c r="BF99" s="1314"/>
      <c r="BG99" s="1314"/>
    </row>
    <row r="100" spans="18:59" x14ac:dyDescent="0.35">
      <c r="R100" s="1314"/>
      <c r="S100" s="1314"/>
      <c r="W100" s="1314"/>
      <c r="X100" s="1314"/>
      <c r="AE100" s="1314"/>
      <c r="AF100" s="1314"/>
      <c r="AV100" s="1314"/>
      <c r="AW100" s="1314"/>
      <c r="AX100" s="1314"/>
      <c r="AY100" s="1314"/>
      <c r="AZ100" s="1314"/>
      <c r="BA100" s="1314"/>
      <c r="BC100" s="1314"/>
      <c r="BE100" s="1314"/>
      <c r="BF100" s="1314"/>
      <c r="BG100" s="1314"/>
    </row>
    <row r="101" spans="18:59" x14ac:dyDescent="0.35">
      <c r="R101" s="1314"/>
      <c r="S101" s="1314"/>
      <c r="W101" s="1314"/>
      <c r="X101" s="1314"/>
      <c r="AE101" s="1314"/>
      <c r="AF101" s="1314"/>
      <c r="AV101" s="1314"/>
      <c r="AW101" s="1314"/>
      <c r="AX101" s="1314"/>
      <c r="AY101" s="1314"/>
      <c r="AZ101" s="1314"/>
      <c r="BA101" s="1314"/>
      <c r="BC101" s="1314"/>
      <c r="BE101" s="1314"/>
      <c r="BF101" s="1314"/>
      <c r="BG101" s="1314"/>
    </row>
    <row r="102" spans="18:59" x14ac:dyDescent="0.35">
      <c r="R102" s="1314"/>
      <c r="S102" s="1314"/>
      <c r="W102" s="1314"/>
      <c r="X102" s="1314"/>
      <c r="AE102" s="1314"/>
      <c r="AF102" s="1314"/>
      <c r="AV102" s="1314"/>
      <c r="AW102" s="1314"/>
      <c r="AX102" s="1314"/>
      <c r="AY102" s="1314"/>
      <c r="AZ102" s="1314"/>
      <c r="BA102" s="1314"/>
      <c r="BC102" s="1314"/>
      <c r="BE102" s="1314"/>
      <c r="BF102" s="1314"/>
      <c r="BG102" s="1314"/>
    </row>
    <row r="103" spans="18:59" x14ac:dyDescent="0.35">
      <c r="R103" s="1314"/>
      <c r="S103" s="1314"/>
      <c r="W103" s="1314"/>
      <c r="X103" s="1314"/>
      <c r="AE103" s="1314"/>
      <c r="AF103" s="1314"/>
      <c r="AV103" s="1314"/>
      <c r="AW103" s="1314"/>
      <c r="AX103" s="1314"/>
      <c r="AY103" s="1314"/>
      <c r="AZ103" s="1314"/>
      <c r="BA103" s="1314"/>
      <c r="BC103" s="1314"/>
      <c r="BE103" s="1314"/>
      <c r="BF103" s="1314"/>
      <c r="BG103" s="1314"/>
    </row>
    <row r="104" spans="18:59" x14ac:dyDescent="0.35">
      <c r="R104" s="1314"/>
      <c r="S104" s="1314"/>
      <c r="W104" s="1314"/>
      <c r="X104" s="1314"/>
      <c r="AE104" s="1314"/>
      <c r="AF104" s="1314"/>
      <c r="AV104" s="1314"/>
      <c r="AW104" s="1314"/>
      <c r="AX104" s="1314"/>
      <c r="AY104" s="1314"/>
      <c r="AZ104" s="1314"/>
      <c r="BA104" s="1314"/>
      <c r="BC104" s="1314"/>
      <c r="BE104" s="1314"/>
      <c r="BF104" s="1314"/>
      <c r="BG104" s="1314"/>
    </row>
    <row r="105" spans="18:59" x14ac:dyDescent="0.35">
      <c r="R105" s="1314"/>
      <c r="S105" s="1314"/>
      <c r="W105" s="1314"/>
      <c r="X105" s="1314"/>
      <c r="AE105" s="1314"/>
      <c r="AF105" s="1314"/>
      <c r="AV105" s="1314"/>
      <c r="AW105" s="1314"/>
      <c r="AX105" s="1314"/>
      <c r="AY105" s="1314"/>
      <c r="AZ105" s="1314"/>
      <c r="BA105" s="1314"/>
      <c r="BC105" s="1314"/>
      <c r="BE105" s="1314"/>
      <c r="BF105" s="1314"/>
      <c r="BG105" s="1314"/>
    </row>
    <row r="106" spans="18:59" x14ac:dyDescent="0.35">
      <c r="R106" s="1314"/>
      <c r="S106" s="1314"/>
      <c r="W106" s="1314"/>
      <c r="X106" s="1314"/>
      <c r="AE106" s="1314"/>
      <c r="AF106" s="1314"/>
      <c r="AV106" s="1314"/>
      <c r="AW106" s="1314"/>
      <c r="AX106" s="1314"/>
      <c r="AY106" s="1314"/>
      <c r="AZ106" s="1314"/>
      <c r="BA106" s="1314"/>
      <c r="BC106" s="1314"/>
      <c r="BE106" s="1314"/>
      <c r="BF106" s="1314"/>
      <c r="BG106" s="1314"/>
    </row>
    <row r="107" spans="18:59" x14ac:dyDescent="0.35">
      <c r="R107" s="1314"/>
      <c r="S107" s="1314"/>
      <c r="W107" s="1314"/>
      <c r="X107" s="1314"/>
      <c r="AE107" s="1314"/>
      <c r="AF107" s="1314"/>
      <c r="AV107" s="1314"/>
      <c r="AW107" s="1314"/>
      <c r="AX107" s="1314"/>
      <c r="AY107" s="1314"/>
      <c r="AZ107" s="1314"/>
      <c r="BA107" s="1314"/>
      <c r="BC107" s="1314"/>
      <c r="BE107" s="1314"/>
      <c r="BF107" s="1314"/>
      <c r="BG107" s="1314"/>
    </row>
    <row r="108" spans="18:59" x14ac:dyDescent="0.35">
      <c r="R108" s="1314"/>
      <c r="S108" s="1314"/>
      <c r="W108" s="1314"/>
      <c r="X108" s="1314"/>
      <c r="AE108" s="1314"/>
      <c r="AF108" s="1314"/>
      <c r="AV108" s="1314"/>
      <c r="AW108" s="1314"/>
      <c r="AX108" s="1314"/>
      <c r="AY108" s="1314"/>
      <c r="AZ108" s="1314"/>
      <c r="BA108" s="1314"/>
      <c r="BC108" s="1314"/>
      <c r="BE108" s="1314"/>
      <c r="BF108" s="1314"/>
      <c r="BG108" s="1314"/>
    </row>
    <row r="109" spans="18:59" x14ac:dyDescent="0.35">
      <c r="R109" s="1314"/>
      <c r="S109" s="1314"/>
      <c r="W109" s="1314"/>
      <c r="X109" s="1314"/>
      <c r="AE109" s="1314"/>
      <c r="AF109" s="1314"/>
      <c r="AV109" s="1314"/>
      <c r="AW109" s="1314"/>
      <c r="AX109" s="1314"/>
      <c r="AY109" s="1314"/>
      <c r="AZ109" s="1314"/>
      <c r="BA109" s="1314"/>
      <c r="BC109" s="1314"/>
      <c r="BE109" s="1314"/>
      <c r="BF109" s="1314"/>
      <c r="BG109" s="1314"/>
    </row>
    <row r="110" spans="18:59" x14ac:dyDescent="0.35">
      <c r="R110" s="1314"/>
      <c r="S110" s="1314"/>
      <c r="W110" s="1314"/>
      <c r="X110" s="1314"/>
      <c r="AE110" s="1314"/>
      <c r="AF110" s="1314"/>
      <c r="AV110" s="1314"/>
      <c r="AW110" s="1314"/>
      <c r="AX110" s="1314"/>
      <c r="AY110" s="1314"/>
      <c r="AZ110" s="1314"/>
      <c r="BA110" s="1314"/>
      <c r="BC110" s="1314"/>
      <c r="BE110" s="1314"/>
      <c r="BF110" s="1314"/>
      <c r="BG110" s="1314"/>
    </row>
    <row r="111" spans="18:59" x14ac:dyDescent="0.35">
      <c r="R111" s="1314"/>
      <c r="S111" s="1314"/>
      <c r="W111" s="1314"/>
      <c r="X111" s="1314"/>
      <c r="AE111" s="1314"/>
      <c r="AF111" s="1314"/>
      <c r="AV111" s="1314"/>
      <c r="AW111" s="1314"/>
      <c r="AX111" s="1314"/>
      <c r="AY111" s="1314"/>
      <c r="AZ111" s="1314"/>
      <c r="BA111" s="1314"/>
      <c r="BC111" s="1314"/>
      <c r="BE111" s="1314"/>
      <c r="BF111" s="1314"/>
      <c r="BG111" s="1314"/>
    </row>
    <row r="112" spans="18:59" x14ac:dyDescent="0.35">
      <c r="R112" s="1314"/>
      <c r="S112" s="1314"/>
      <c r="W112" s="1314"/>
      <c r="X112" s="1314"/>
      <c r="AE112" s="1314"/>
      <c r="AF112" s="1314"/>
      <c r="AV112" s="1314"/>
      <c r="AW112" s="1314"/>
      <c r="AX112" s="1314"/>
      <c r="AY112" s="1314"/>
      <c r="AZ112" s="1314"/>
      <c r="BA112" s="1314"/>
      <c r="BC112" s="1314"/>
      <c r="BE112" s="1314"/>
      <c r="BF112" s="1314"/>
      <c r="BG112" s="1314"/>
    </row>
    <row r="113" spans="18:59" x14ac:dyDescent="0.35">
      <c r="R113" s="1314"/>
      <c r="S113" s="1314"/>
      <c r="W113" s="1314"/>
      <c r="X113" s="1314"/>
      <c r="AE113" s="1314"/>
      <c r="AF113" s="1314"/>
      <c r="AV113" s="1314"/>
      <c r="AW113" s="1314"/>
      <c r="AX113" s="1314"/>
      <c r="AY113" s="1314"/>
      <c r="AZ113" s="1314"/>
      <c r="BA113" s="1314"/>
      <c r="BC113" s="1314"/>
      <c r="BE113" s="1314"/>
      <c r="BF113" s="1314"/>
      <c r="BG113" s="1314"/>
    </row>
    <row r="114" spans="18:59" x14ac:dyDescent="0.35">
      <c r="R114" s="1314"/>
      <c r="S114" s="1314"/>
      <c r="W114" s="1314"/>
      <c r="X114" s="1314"/>
      <c r="AE114" s="1314"/>
      <c r="AF114" s="1314"/>
      <c r="AV114" s="1314"/>
      <c r="AW114" s="1314"/>
      <c r="AX114" s="1314"/>
      <c r="AY114" s="1314"/>
      <c r="AZ114" s="1314"/>
      <c r="BA114" s="1314"/>
      <c r="BC114" s="1314"/>
      <c r="BE114" s="1314"/>
      <c r="BF114" s="1314"/>
      <c r="BG114" s="1314"/>
    </row>
    <row r="115" spans="18:59" x14ac:dyDescent="0.35">
      <c r="R115" s="1314"/>
      <c r="S115" s="1314"/>
      <c r="W115" s="1314"/>
      <c r="X115" s="1314"/>
      <c r="AE115" s="1314"/>
      <c r="AF115" s="1314"/>
      <c r="AV115" s="1314"/>
      <c r="AW115" s="1314"/>
      <c r="AX115" s="1314"/>
      <c r="AY115" s="1314"/>
      <c r="AZ115" s="1314"/>
      <c r="BA115" s="1314"/>
      <c r="BC115" s="1314"/>
      <c r="BE115" s="1314"/>
      <c r="BF115" s="1314"/>
      <c r="BG115" s="1314"/>
    </row>
    <row r="116" spans="18:59" x14ac:dyDescent="0.35">
      <c r="R116" s="1314"/>
      <c r="S116" s="1314"/>
      <c r="W116" s="1314"/>
      <c r="X116" s="1314"/>
      <c r="AE116" s="1314"/>
      <c r="AF116" s="1314"/>
      <c r="AV116" s="1314"/>
      <c r="AW116" s="1314"/>
      <c r="AX116" s="1314"/>
      <c r="AY116" s="1314"/>
      <c r="AZ116" s="1314"/>
      <c r="BA116" s="1314"/>
      <c r="BC116" s="1314"/>
      <c r="BE116" s="1314"/>
      <c r="BF116" s="1314"/>
      <c r="BG116" s="1314"/>
    </row>
    <row r="117" spans="18:59" x14ac:dyDescent="0.35">
      <c r="R117" s="1314"/>
      <c r="S117" s="1314"/>
      <c r="W117" s="1314"/>
      <c r="X117" s="1314"/>
      <c r="AE117" s="1314"/>
      <c r="AF117" s="1314"/>
      <c r="AV117" s="1314"/>
      <c r="AW117" s="1314"/>
      <c r="AX117" s="1314"/>
      <c r="AY117" s="1314"/>
      <c r="AZ117" s="1314"/>
      <c r="BA117" s="1314"/>
      <c r="BC117" s="1314"/>
      <c r="BE117" s="1314"/>
      <c r="BF117" s="1314"/>
      <c r="BG117" s="1314"/>
    </row>
    <row r="118" spans="18:59" x14ac:dyDescent="0.35">
      <c r="R118" s="1314"/>
      <c r="S118" s="1314"/>
      <c r="W118" s="1314"/>
      <c r="X118" s="1314"/>
      <c r="AE118" s="1314"/>
      <c r="AF118" s="1314"/>
      <c r="AV118" s="1314"/>
      <c r="AW118" s="1314"/>
      <c r="AX118" s="1314"/>
      <c r="AY118" s="1314"/>
      <c r="AZ118" s="1314"/>
      <c r="BA118" s="1314"/>
      <c r="BC118" s="1314"/>
      <c r="BE118" s="1314"/>
      <c r="BF118" s="1314"/>
      <c r="BG118" s="1314"/>
    </row>
    <row r="119" spans="18:59" x14ac:dyDescent="0.35">
      <c r="R119" s="1314"/>
      <c r="S119" s="1314"/>
      <c r="W119" s="1314"/>
      <c r="X119" s="1314"/>
      <c r="AE119" s="1314"/>
      <c r="AF119" s="1314"/>
      <c r="AV119" s="1314"/>
      <c r="AW119" s="1314"/>
      <c r="AX119" s="1314"/>
      <c r="AY119" s="1314"/>
      <c r="AZ119" s="1314"/>
      <c r="BA119" s="1314"/>
      <c r="BC119" s="1314"/>
      <c r="BE119" s="1314"/>
      <c r="BF119" s="1314"/>
      <c r="BG119" s="1314"/>
    </row>
    <row r="120" spans="18:59" x14ac:dyDescent="0.35">
      <c r="R120" s="1314"/>
      <c r="S120" s="1314"/>
      <c r="W120" s="1314"/>
      <c r="X120" s="1314"/>
      <c r="AE120" s="1314"/>
      <c r="AF120" s="1314"/>
      <c r="AV120" s="1314"/>
      <c r="AW120" s="1314"/>
      <c r="AX120" s="1314"/>
      <c r="AY120" s="1314"/>
      <c r="AZ120" s="1314"/>
      <c r="BA120" s="1314"/>
      <c r="BC120" s="1314"/>
      <c r="BE120" s="1314"/>
      <c r="BF120" s="1314"/>
      <c r="BG120" s="1314"/>
    </row>
    <row r="121" spans="18:59" x14ac:dyDescent="0.35">
      <c r="R121" s="1314"/>
      <c r="S121" s="1314"/>
      <c r="W121" s="1314"/>
      <c r="X121" s="1314"/>
      <c r="AE121" s="1314"/>
      <c r="AF121" s="1314"/>
      <c r="AV121" s="1314"/>
      <c r="AW121" s="1314"/>
      <c r="AX121" s="1314"/>
      <c r="AY121" s="1314"/>
      <c r="AZ121" s="1314"/>
      <c r="BA121" s="1314"/>
      <c r="BC121" s="1314"/>
      <c r="BE121" s="1314"/>
      <c r="BF121" s="1314"/>
      <c r="BG121" s="1314"/>
    </row>
    <row r="122" spans="18:59" x14ac:dyDescent="0.35">
      <c r="R122" s="1314"/>
      <c r="S122" s="1314"/>
      <c r="W122" s="1314"/>
      <c r="X122" s="1314"/>
      <c r="AE122" s="1314"/>
      <c r="AF122" s="1314"/>
      <c r="AV122" s="1314"/>
      <c r="AW122" s="1314"/>
      <c r="AX122" s="1314"/>
      <c r="AY122" s="1314"/>
      <c r="AZ122" s="1314"/>
      <c r="BA122" s="1314"/>
      <c r="BC122" s="1314"/>
      <c r="BE122" s="1314"/>
      <c r="BF122" s="1314"/>
      <c r="BG122" s="1314"/>
    </row>
    <row r="123" spans="18:59" x14ac:dyDescent="0.35">
      <c r="R123" s="1314"/>
      <c r="S123" s="1314"/>
      <c r="W123" s="1314"/>
      <c r="X123" s="1314"/>
      <c r="AE123" s="1314"/>
      <c r="AF123" s="1314"/>
      <c r="AV123" s="1314"/>
      <c r="AW123" s="1314"/>
      <c r="AX123" s="1314"/>
      <c r="AY123" s="1314"/>
      <c r="AZ123" s="1314"/>
      <c r="BA123" s="1314"/>
      <c r="BC123" s="1314"/>
      <c r="BE123" s="1314"/>
      <c r="BF123" s="1314"/>
      <c r="BG123" s="1314"/>
    </row>
    <row r="124" spans="18:59" x14ac:dyDescent="0.35">
      <c r="R124" s="1314"/>
      <c r="S124" s="1314"/>
      <c r="W124" s="1314"/>
      <c r="X124" s="1314"/>
      <c r="AE124" s="1314"/>
      <c r="AF124" s="1314"/>
      <c r="AV124" s="1314"/>
      <c r="AW124" s="1314"/>
      <c r="AX124" s="1314"/>
      <c r="AY124" s="1314"/>
      <c r="AZ124" s="1314"/>
      <c r="BA124" s="1314"/>
      <c r="BC124" s="1314"/>
      <c r="BE124" s="1314"/>
      <c r="BF124" s="1314"/>
      <c r="BG124" s="1314"/>
    </row>
    <row r="125" spans="18:59" x14ac:dyDescent="0.35">
      <c r="R125" s="1314"/>
      <c r="S125" s="1314"/>
      <c r="W125" s="1314"/>
      <c r="X125" s="1314"/>
      <c r="AE125" s="1314"/>
      <c r="AF125" s="1314"/>
      <c r="AV125" s="1314"/>
      <c r="AW125" s="1314"/>
      <c r="AX125" s="1314"/>
      <c r="AY125" s="1314"/>
      <c r="AZ125" s="1314"/>
      <c r="BA125" s="1314"/>
      <c r="BC125" s="1314"/>
      <c r="BE125" s="1314"/>
      <c r="BF125" s="1314"/>
      <c r="BG125" s="1314"/>
    </row>
    <row r="126" spans="18:59" x14ac:dyDescent="0.35">
      <c r="R126" s="1314"/>
      <c r="S126" s="1314"/>
      <c r="W126" s="1314"/>
      <c r="X126" s="1314"/>
      <c r="AE126" s="1314"/>
      <c r="AF126" s="1314"/>
      <c r="AV126" s="1314"/>
      <c r="AW126" s="1314"/>
      <c r="AX126" s="1314"/>
      <c r="AY126" s="1314"/>
      <c r="AZ126" s="1314"/>
      <c r="BA126" s="1314"/>
      <c r="BC126" s="1314"/>
      <c r="BE126" s="1314"/>
      <c r="BF126" s="1314"/>
      <c r="BG126" s="1314"/>
    </row>
    <row r="127" spans="18:59" x14ac:dyDescent="0.35">
      <c r="R127" s="1314"/>
      <c r="S127" s="1314"/>
      <c r="W127" s="1314"/>
      <c r="X127" s="1314"/>
      <c r="AE127" s="1314"/>
      <c r="AF127" s="1314"/>
      <c r="AV127" s="1314"/>
      <c r="AW127" s="1314"/>
      <c r="AX127" s="1314"/>
      <c r="AY127" s="1314"/>
      <c r="AZ127" s="1314"/>
      <c r="BA127" s="1314"/>
      <c r="BC127" s="1314"/>
      <c r="BE127" s="1314"/>
      <c r="BF127" s="1314"/>
      <c r="BG127" s="1314"/>
    </row>
    <row r="128" spans="18:59" x14ac:dyDescent="0.35">
      <c r="R128" s="1314"/>
      <c r="S128" s="1314"/>
      <c r="W128" s="1314"/>
      <c r="X128" s="1314"/>
      <c r="AE128" s="1314"/>
      <c r="AF128" s="1314"/>
      <c r="AV128" s="1314"/>
      <c r="AW128" s="1314"/>
      <c r="AX128" s="1314"/>
      <c r="AY128" s="1314"/>
      <c r="AZ128" s="1314"/>
      <c r="BA128" s="1314"/>
      <c r="BC128" s="1314"/>
      <c r="BE128" s="1314"/>
      <c r="BF128" s="1314"/>
      <c r="BG128" s="1314"/>
    </row>
    <row r="129" spans="18:59" x14ac:dyDescent="0.35">
      <c r="R129" s="1314"/>
      <c r="S129" s="1314"/>
      <c r="W129" s="1314"/>
      <c r="X129" s="1314"/>
      <c r="AE129" s="1314"/>
      <c r="AF129" s="1314"/>
      <c r="AV129" s="1314"/>
      <c r="AW129" s="1314"/>
      <c r="AX129" s="1314"/>
      <c r="AY129" s="1314"/>
      <c r="AZ129" s="1314"/>
      <c r="BA129" s="1314"/>
      <c r="BC129" s="1314"/>
      <c r="BE129" s="1314"/>
      <c r="BF129" s="1314"/>
      <c r="BG129" s="1314"/>
    </row>
    <row r="130" spans="18:59" x14ac:dyDescent="0.35">
      <c r="R130" s="1314"/>
      <c r="S130" s="1314"/>
      <c r="W130" s="1314"/>
      <c r="X130" s="1314"/>
      <c r="AE130" s="1314"/>
      <c r="AF130" s="1314"/>
      <c r="AV130" s="1314"/>
      <c r="AW130" s="1314"/>
      <c r="AX130" s="1314"/>
      <c r="AY130" s="1314"/>
      <c r="AZ130" s="1314"/>
      <c r="BA130" s="1314"/>
      <c r="BC130" s="1314"/>
      <c r="BE130" s="1314"/>
      <c r="BF130" s="1314"/>
      <c r="BG130" s="1314"/>
    </row>
    <row r="131" spans="18:59" x14ac:dyDescent="0.35">
      <c r="R131" s="1314"/>
      <c r="S131" s="1314"/>
      <c r="W131" s="1314"/>
      <c r="X131" s="1314"/>
      <c r="AE131" s="1314"/>
      <c r="AF131" s="1314"/>
      <c r="AV131" s="1314"/>
      <c r="AW131" s="1314"/>
      <c r="AX131" s="1314"/>
      <c r="AY131" s="1314"/>
      <c r="AZ131" s="1314"/>
      <c r="BA131" s="1314"/>
      <c r="BC131" s="1314"/>
      <c r="BE131" s="1314"/>
      <c r="BF131" s="1314"/>
      <c r="BG131" s="1314"/>
    </row>
    <row r="132" spans="18:59" x14ac:dyDescent="0.35">
      <c r="R132" s="1314"/>
      <c r="S132" s="1314"/>
      <c r="W132" s="1314"/>
      <c r="X132" s="1314"/>
      <c r="AE132" s="1314"/>
      <c r="AF132" s="1314"/>
      <c r="AV132" s="1314"/>
      <c r="AW132" s="1314"/>
      <c r="AX132" s="1314"/>
      <c r="AY132" s="1314"/>
      <c r="AZ132" s="1314"/>
      <c r="BA132" s="1314"/>
      <c r="BC132" s="1314"/>
      <c r="BE132" s="1314"/>
      <c r="BF132" s="1314"/>
      <c r="BG132" s="1314"/>
    </row>
    <row r="133" spans="18:59" x14ac:dyDescent="0.35">
      <c r="R133" s="1314"/>
      <c r="S133" s="1314"/>
      <c r="W133" s="1314"/>
      <c r="X133" s="1314"/>
      <c r="AE133" s="1314"/>
      <c r="AF133" s="1314"/>
      <c r="AV133" s="1314"/>
      <c r="AW133" s="1314"/>
      <c r="AX133" s="1314"/>
      <c r="AY133" s="1314"/>
      <c r="AZ133" s="1314"/>
      <c r="BA133" s="1314"/>
      <c r="BC133" s="1314"/>
      <c r="BE133" s="1314"/>
      <c r="BF133" s="1314"/>
      <c r="BG133" s="1314"/>
    </row>
    <row r="134" spans="18:59" x14ac:dyDescent="0.35">
      <c r="R134" s="1314"/>
      <c r="S134" s="1314"/>
      <c r="W134" s="1314"/>
      <c r="X134" s="1314"/>
      <c r="AE134" s="1314"/>
      <c r="AF134" s="1314"/>
      <c r="AV134" s="1314"/>
      <c r="AW134" s="1314"/>
      <c r="AX134" s="1314"/>
      <c r="AY134" s="1314"/>
      <c r="AZ134" s="1314"/>
      <c r="BA134" s="1314"/>
      <c r="BC134" s="1314"/>
      <c r="BE134" s="1314"/>
      <c r="BF134" s="1314"/>
      <c r="BG134" s="1314"/>
    </row>
    <row r="135" spans="18:59" x14ac:dyDescent="0.35">
      <c r="R135" s="1314"/>
      <c r="S135" s="1314"/>
      <c r="W135" s="1314"/>
      <c r="X135" s="1314"/>
      <c r="AE135" s="1314"/>
      <c r="AF135" s="1314"/>
      <c r="AV135" s="1314"/>
      <c r="AW135" s="1314"/>
      <c r="AX135" s="1314"/>
      <c r="AY135" s="1314"/>
      <c r="AZ135" s="1314"/>
      <c r="BA135" s="1314"/>
      <c r="BC135" s="1314"/>
      <c r="BE135" s="1314"/>
      <c r="BF135" s="1314"/>
      <c r="BG135" s="1314"/>
    </row>
    <row r="136" spans="18:59" x14ac:dyDescent="0.35">
      <c r="R136" s="1314"/>
      <c r="S136" s="1314"/>
      <c r="W136" s="1314"/>
      <c r="X136" s="1314"/>
      <c r="AE136" s="1314"/>
      <c r="AF136" s="1314"/>
      <c r="AV136" s="1314"/>
      <c r="AW136" s="1314"/>
      <c r="AX136" s="1314"/>
      <c r="AY136" s="1314"/>
      <c r="AZ136" s="1314"/>
      <c r="BA136" s="1314"/>
      <c r="BC136" s="1314"/>
      <c r="BE136" s="1314"/>
      <c r="BF136" s="1314"/>
      <c r="BG136" s="1314"/>
    </row>
    <row r="137" spans="18:59" x14ac:dyDescent="0.35">
      <c r="R137" s="1314"/>
      <c r="S137" s="1314"/>
      <c r="W137" s="1314"/>
      <c r="X137" s="1314"/>
      <c r="AE137" s="1314"/>
      <c r="AF137" s="1314"/>
      <c r="AV137" s="1314"/>
      <c r="AW137" s="1314"/>
      <c r="AX137" s="1314"/>
      <c r="AY137" s="1314"/>
      <c r="AZ137" s="1314"/>
      <c r="BA137" s="1314"/>
      <c r="BC137" s="1314"/>
      <c r="BE137" s="1314"/>
      <c r="BF137" s="1314"/>
      <c r="BG137" s="1314"/>
    </row>
    <row r="138" spans="18:59" x14ac:dyDescent="0.35">
      <c r="R138" s="1314"/>
      <c r="S138" s="1314"/>
      <c r="W138" s="1314"/>
      <c r="X138" s="1314"/>
      <c r="AE138" s="1314"/>
      <c r="AF138" s="1314"/>
      <c r="AV138" s="1314"/>
      <c r="AW138" s="1314"/>
      <c r="AX138" s="1314"/>
      <c r="AY138" s="1314"/>
      <c r="AZ138" s="1314"/>
      <c r="BA138" s="1314"/>
      <c r="BC138" s="1314"/>
      <c r="BE138" s="1314"/>
      <c r="BF138" s="1314"/>
      <c r="BG138" s="1314"/>
    </row>
    <row r="139" spans="18:59" x14ac:dyDescent="0.35">
      <c r="R139" s="1314"/>
      <c r="S139" s="1314"/>
      <c r="W139" s="1314"/>
      <c r="X139" s="1314"/>
      <c r="AE139" s="1314"/>
      <c r="AF139" s="1314"/>
      <c r="AV139" s="1314"/>
      <c r="AW139" s="1314"/>
      <c r="AX139" s="1314"/>
      <c r="AY139" s="1314"/>
      <c r="AZ139" s="1314"/>
      <c r="BA139" s="1314"/>
      <c r="BC139" s="1314"/>
      <c r="BE139" s="1314"/>
      <c r="BF139" s="1314"/>
      <c r="BG139" s="1314"/>
    </row>
    <row r="140" spans="18:59" x14ac:dyDescent="0.35">
      <c r="R140" s="1314"/>
      <c r="S140" s="1314"/>
      <c r="W140" s="1314"/>
      <c r="X140" s="1314"/>
      <c r="AE140" s="1314"/>
      <c r="AF140" s="1314"/>
      <c r="AV140" s="1314"/>
      <c r="AW140" s="1314"/>
      <c r="AX140" s="1314"/>
      <c r="AY140" s="1314"/>
      <c r="AZ140" s="1314"/>
      <c r="BA140" s="1314"/>
      <c r="BC140" s="1314"/>
      <c r="BE140" s="1314"/>
      <c r="BF140" s="1314"/>
      <c r="BG140" s="1314"/>
    </row>
    <row r="141" spans="18:59" x14ac:dyDescent="0.35">
      <c r="R141" s="1314"/>
      <c r="S141" s="1314"/>
      <c r="W141" s="1314"/>
      <c r="X141" s="1314"/>
      <c r="AE141" s="1314"/>
      <c r="AF141" s="1314"/>
      <c r="AV141" s="1314"/>
      <c r="AW141" s="1314"/>
      <c r="AX141" s="1314"/>
      <c r="AY141" s="1314"/>
      <c r="AZ141" s="1314"/>
      <c r="BA141" s="1314"/>
      <c r="BC141" s="1314"/>
      <c r="BE141" s="1314"/>
      <c r="BF141" s="1314"/>
      <c r="BG141" s="1314"/>
    </row>
    <row r="142" spans="18:59" x14ac:dyDescent="0.35">
      <c r="R142" s="1314"/>
      <c r="S142" s="1314"/>
      <c r="W142" s="1314"/>
      <c r="X142" s="1314"/>
      <c r="AE142" s="1314"/>
      <c r="AF142" s="1314"/>
      <c r="AV142" s="1314"/>
      <c r="AW142" s="1314"/>
      <c r="AX142" s="1314"/>
      <c r="AY142" s="1314"/>
      <c r="AZ142" s="1314"/>
      <c r="BA142" s="1314"/>
      <c r="BC142" s="1314"/>
      <c r="BE142" s="1314"/>
      <c r="BF142" s="1314"/>
      <c r="BG142" s="1314"/>
    </row>
    <row r="143" spans="18:59" x14ac:dyDescent="0.35">
      <c r="R143" s="1314"/>
      <c r="S143" s="1314"/>
      <c r="W143" s="1314"/>
      <c r="X143" s="1314"/>
      <c r="AE143" s="1314"/>
      <c r="AF143" s="1314"/>
      <c r="AV143" s="1314"/>
      <c r="AW143" s="1314"/>
      <c r="AX143" s="1314"/>
      <c r="AY143" s="1314"/>
      <c r="AZ143" s="1314"/>
      <c r="BA143" s="1314"/>
      <c r="BC143" s="1314"/>
      <c r="BE143" s="1314"/>
      <c r="BF143" s="1314"/>
      <c r="BG143" s="1314"/>
    </row>
    <row r="144" spans="18:59" x14ac:dyDescent="0.35">
      <c r="R144" s="1314"/>
      <c r="S144" s="1314"/>
      <c r="W144" s="1314"/>
      <c r="X144" s="1314"/>
      <c r="AE144" s="1314"/>
      <c r="AF144" s="1314"/>
      <c r="AV144" s="1314"/>
      <c r="AW144" s="1314"/>
      <c r="AX144" s="1314"/>
      <c r="AY144" s="1314"/>
      <c r="AZ144" s="1314"/>
      <c r="BA144" s="1314"/>
      <c r="BC144" s="1314"/>
      <c r="BE144" s="1314"/>
      <c r="BF144" s="1314"/>
      <c r="BG144" s="1314"/>
    </row>
    <row r="145" spans="18:59" x14ac:dyDescent="0.35">
      <c r="R145" s="1314"/>
      <c r="S145" s="1314"/>
      <c r="W145" s="1314"/>
      <c r="X145" s="1314"/>
      <c r="AE145" s="1314"/>
      <c r="AF145" s="1314"/>
      <c r="AV145" s="1314"/>
      <c r="AW145" s="1314"/>
      <c r="AX145" s="1314"/>
      <c r="AY145" s="1314"/>
      <c r="AZ145" s="1314"/>
      <c r="BA145" s="1314"/>
      <c r="BC145" s="1314"/>
      <c r="BE145" s="1314"/>
      <c r="BF145" s="1314"/>
      <c r="BG145" s="1314"/>
    </row>
    <row r="146" spans="18:59" x14ac:dyDescent="0.35">
      <c r="R146" s="1314"/>
      <c r="S146" s="1314"/>
      <c r="W146" s="1314"/>
      <c r="X146" s="1314"/>
      <c r="AE146" s="1314"/>
      <c r="AF146" s="1314"/>
      <c r="AV146" s="1314"/>
      <c r="AW146" s="1314"/>
      <c r="AX146" s="1314"/>
      <c r="AY146" s="1314"/>
      <c r="AZ146" s="1314"/>
      <c r="BA146" s="1314"/>
      <c r="BC146" s="1314"/>
      <c r="BE146" s="1314"/>
      <c r="BF146" s="1314"/>
      <c r="BG146" s="1314"/>
    </row>
    <row r="147" spans="18:59" x14ac:dyDescent="0.35">
      <c r="R147" s="1314"/>
      <c r="S147" s="1314"/>
      <c r="W147" s="1314"/>
      <c r="X147" s="1314"/>
      <c r="AE147" s="1314"/>
      <c r="AF147" s="1314"/>
      <c r="AV147" s="1314"/>
      <c r="AW147" s="1314"/>
      <c r="AX147" s="1314"/>
      <c r="AY147" s="1314"/>
      <c r="AZ147" s="1314"/>
      <c r="BA147" s="1314"/>
      <c r="BC147" s="1314"/>
      <c r="BE147" s="1314"/>
      <c r="BF147" s="1314"/>
      <c r="BG147" s="1314"/>
    </row>
    <row r="148" spans="18:59" x14ac:dyDescent="0.35">
      <c r="R148" s="1314"/>
      <c r="S148" s="1314"/>
      <c r="W148" s="1314"/>
      <c r="X148" s="1314"/>
      <c r="AE148" s="1314"/>
      <c r="AF148" s="1314"/>
      <c r="AV148" s="1314"/>
      <c r="AW148" s="1314"/>
      <c r="AX148" s="1314"/>
      <c r="AY148" s="1314"/>
      <c r="AZ148" s="1314"/>
      <c r="BA148" s="1314"/>
      <c r="BC148" s="1314"/>
      <c r="BE148" s="1314"/>
      <c r="BF148" s="1314"/>
      <c r="BG148" s="1314"/>
    </row>
    <row r="149" spans="18:59" x14ac:dyDescent="0.35">
      <c r="R149" s="1314"/>
      <c r="S149" s="1314"/>
      <c r="W149" s="1314"/>
      <c r="X149" s="1314"/>
      <c r="AE149" s="1314"/>
      <c r="AF149" s="1314"/>
      <c r="AV149" s="1314"/>
      <c r="AW149" s="1314"/>
      <c r="AX149" s="1314"/>
      <c r="AY149" s="1314"/>
      <c r="AZ149" s="1314"/>
      <c r="BA149" s="1314"/>
      <c r="BC149" s="1314"/>
      <c r="BE149" s="1314"/>
      <c r="BF149" s="1314"/>
      <c r="BG149" s="1314"/>
    </row>
    <row r="150" spans="18:59" x14ac:dyDescent="0.35">
      <c r="R150" s="1314"/>
      <c r="S150" s="1314"/>
      <c r="W150" s="1314"/>
      <c r="X150" s="1314"/>
      <c r="AE150" s="1314"/>
      <c r="AF150" s="1314"/>
      <c r="AV150" s="1314"/>
      <c r="AW150" s="1314"/>
      <c r="AX150" s="1314"/>
      <c r="AY150" s="1314"/>
      <c r="AZ150" s="1314"/>
      <c r="BA150" s="1314"/>
      <c r="BC150" s="1314"/>
      <c r="BE150" s="1314"/>
      <c r="BF150" s="1314"/>
      <c r="BG150" s="1314"/>
    </row>
    <row r="151" spans="18:59" x14ac:dyDescent="0.35">
      <c r="R151" s="1314"/>
      <c r="S151" s="1314"/>
      <c r="W151" s="1314"/>
      <c r="X151" s="1314"/>
      <c r="AE151" s="1314"/>
      <c r="AF151" s="1314"/>
      <c r="AV151" s="1314"/>
      <c r="AW151" s="1314"/>
      <c r="AX151" s="1314"/>
      <c r="AY151" s="1314"/>
      <c r="AZ151" s="1314"/>
      <c r="BA151" s="1314"/>
      <c r="BC151" s="1314"/>
      <c r="BE151" s="1314"/>
      <c r="BF151" s="1314"/>
      <c r="BG151" s="1314"/>
    </row>
    <row r="152" spans="18:59" x14ac:dyDescent="0.35">
      <c r="R152" s="1314"/>
      <c r="S152" s="1314"/>
      <c r="W152" s="1314"/>
      <c r="X152" s="1314"/>
      <c r="AE152" s="1314"/>
      <c r="AF152" s="1314"/>
      <c r="AV152" s="1314"/>
      <c r="AW152" s="1314"/>
      <c r="AX152" s="1314"/>
      <c r="AY152" s="1314"/>
      <c r="AZ152" s="1314"/>
      <c r="BA152" s="1314"/>
      <c r="BC152" s="1314"/>
      <c r="BE152" s="1314"/>
      <c r="BF152" s="1314"/>
      <c r="BG152" s="1314"/>
    </row>
    <row r="153" spans="18:59" x14ac:dyDescent="0.35">
      <c r="R153" s="1314"/>
      <c r="S153" s="1314"/>
      <c r="W153" s="1314"/>
      <c r="X153" s="1314"/>
      <c r="AE153" s="1314"/>
      <c r="AF153" s="1314"/>
      <c r="AV153" s="1314"/>
      <c r="AW153" s="1314"/>
      <c r="AX153" s="1314"/>
      <c r="AY153" s="1314"/>
      <c r="AZ153" s="1314"/>
      <c r="BA153" s="1314"/>
      <c r="BC153" s="1314"/>
      <c r="BE153" s="1314"/>
      <c r="BF153" s="1314"/>
      <c r="BG153" s="1314"/>
    </row>
    <row r="154" spans="18:59" x14ac:dyDescent="0.35">
      <c r="R154" s="1314"/>
      <c r="S154" s="1314"/>
      <c r="W154" s="1314"/>
      <c r="X154" s="1314"/>
      <c r="AE154" s="1314"/>
      <c r="AF154" s="1314"/>
      <c r="AV154" s="1314"/>
      <c r="AW154" s="1314"/>
      <c r="AX154" s="1314"/>
      <c r="AY154" s="1314"/>
      <c r="AZ154" s="1314"/>
      <c r="BA154" s="1314"/>
      <c r="BC154" s="1314"/>
      <c r="BE154" s="1314"/>
      <c r="BF154" s="1314"/>
      <c r="BG154" s="1314"/>
    </row>
    <row r="155" spans="18:59" x14ac:dyDescent="0.35">
      <c r="R155" s="1314"/>
      <c r="S155" s="1314"/>
      <c r="W155" s="1314"/>
      <c r="X155" s="1314"/>
      <c r="AE155" s="1314"/>
      <c r="AF155" s="1314"/>
      <c r="AV155" s="1314"/>
      <c r="AW155" s="1314"/>
      <c r="AX155" s="1314"/>
      <c r="AY155" s="1314"/>
      <c r="AZ155" s="1314"/>
      <c r="BA155" s="1314"/>
      <c r="BC155" s="1314"/>
      <c r="BE155" s="1314"/>
      <c r="BF155" s="1314"/>
      <c r="BG155" s="1314"/>
    </row>
    <row r="156" spans="18:59" x14ac:dyDescent="0.35">
      <c r="R156" s="1314"/>
      <c r="S156" s="1314"/>
      <c r="W156" s="1314"/>
      <c r="X156" s="1314"/>
      <c r="AE156" s="1314"/>
      <c r="AF156" s="1314"/>
      <c r="AV156" s="1314"/>
      <c r="AW156" s="1314"/>
      <c r="AX156" s="1314"/>
      <c r="AY156" s="1314"/>
      <c r="AZ156" s="1314"/>
      <c r="BA156" s="1314"/>
      <c r="BC156" s="1314"/>
      <c r="BE156" s="1314"/>
      <c r="BF156" s="1314"/>
      <c r="BG156" s="1314"/>
    </row>
    <row r="157" spans="18:59" x14ac:dyDescent="0.35">
      <c r="R157" s="1314"/>
      <c r="S157" s="1314"/>
      <c r="W157" s="1314"/>
      <c r="X157" s="1314"/>
      <c r="AE157" s="1314"/>
      <c r="AF157" s="1314"/>
      <c r="AV157" s="1314"/>
      <c r="AW157" s="1314"/>
      <c r="AX157" s="1314"/>
      <c r="AY157" s="1314"/>
      <c r="AZ157" s="1314"/>
      <c r="BA157" s="1314"/>
      <c r="BC157" s="1314"/>
      <c r="BE157" s="1314"/>
      <c r="BF157" s="1314"/>
      <c r="BG157" s="1314"/>
    </row>
    <row r="158" spans="18:59" x14ac:dyDescent="0.35">
      <c r="R158" s="1314"/>
      <c r="S158" s="1314"/>
      <c r="W158" s="1314"/>
      <c r="X158" s="1314"/>
      <c r="AE158" s="1314"/>
      <c r="AF158" s="1314"/>
      <c r="AV158" s="1314"/>
      <c r="AW158" s="1314"/>
      <c r="AX158" s="1314"/>
      <c r="AY158" s="1314"/>
      <c r="AZ158" s="1314"/>
      <c r="BA158" s="1314"/>
      <c r="BC158" s="1314"/>
      <c r="BE158" s="1314"/>
      <c r="BF158" s="1314"/>
      <c r="BG158" s="1314"/>
    </row>
    <row r="159" spans="18:59" x14ac:dyDescent="0.35">
      <c r="R159" s="1314"/>
      <c r="S159" s="1314"/>
      <c r="W159" s="1314"/>
      <c r="X159" s="1314"/>
      <c r="AE159" s="1314"/>
      <c r="AF159" s="1314"/>
      <c r="AV159" s="1314"/>
      <c r="AW159" s="1314"/>
      <c r="AX159" s="1314"/>
      <c r="AY159" s="1314"/>
      <c r="AZ159" s="1314"/>
      <c r="BA159" s="1314"/>
      <c r="BC159" s="1314"/>
      <c r="BE159" s="1314"/>
      <c r="BF159" s="1314"/>
      <c r="BG159" s="1314"/>
    </row>
    <row r="160" spans="18:59" x14ac:dyDescent="0.35">
      <c r="R160" s="1314"/>
      <c r="S160" s="1314"/>
      <c r="W160" s="1314"/>
      <c r="X160" s="1314"/>
      <c r="AE160" s="1314"/>
      <c r="AF160" s="1314"/>
      <c r="AV160" s="1314"/>
      <c r="AW160" s="1314"/>
      <c r="AX160" s="1314"/>
      <c r="AY160" s="1314"/>
      <c r="AZ160" s="1314"/>
      <c r="BA160" s="1314"/>
      <c r="BC160" s="1314"/>
      <c r="BE160" s="1314"/>
      <c r="BF160" s="1314"/>
      <c r="BG160" s="1314"/>
    </row>
    <row r="161" spans="18:59" x14ac:dyDescent="0.35">
      <c r="R161" s="1314"/>
      <c r="S161" s="1314"/>
      <c r="W161" s="1314"/>
      <c r="X161" s="1314"/>
      <c r="AE161" s="1314"/>
      <c r="AF161" s="1314"/>
      <c r="AV161" s="1314"/>
      <c r="AW161" s="1314"/>
      <c r="AX161" s="1314"/>
      <c r="AY161" s="1314"/>
      <c r="AZ161" s="1314"/>
      <c r="BA161" s="1314"/>
      <c r="BC161" s="1314"/>
      <c r="BE161" s="1314"/>
      <c r="BF161" s="1314"/>
      <c r="BG161" s="1314"/>
    </row>
    <row r="162" spans="18:59" x14ac:dyDescent="0.35">
      <c r="R162" s="1314"/>
      <c r="S162" s="1314"/>
      <c r="W162" s="1314"/>
      <c r="X162" s="1314"/>
      <c r="AE162" s="1314"/>
      <c r="AF162" s="1314"/>
      <c r="AV162" s="1314"/>
      <c r="AW162" s="1314"/>
      <c r="AX162" s="1314"/>
      <c r="AY162" s="1314"/>
      <c r="AZ162" s="1314"/>
      <c r="BA162" s="1314"/>
      <c r="BC162" s="1314"/>
      <c r="BE162" s="1314"/>
      <c r="BF162" s="1314"/>
      <c r="BG162" s="1314"/>
    </row>
    <row r="163" spans="18:59" x14ac:dyDescent="0.35">
      <c r="R163" s="1314"/>
      <c r="S163" s="1314"/>
      <c r="W163" s="1314"/>
      <c r="X163" s="1314"/>
      <c r="AE163" s="1314"/>
      <c r="AF163" s="1314"/>
      <c r="AV163" s="1314"/>
      <c r="AW163" s="1314"/>
      <c r="AX163" s="1314"/>
      <c r="AY163" s="1314"/>
      <c r="AZ163" s="1314"/>
      <c r="BA163" s="1314"/>
      <c r="BC163" s="1314"/>
      <c r="BE163" s="1314"/>
      <c r="BF163" s="1314"/>
      <c r="BG163" s="1314"/>
    </row>
    <row r="164" spans="18:59" x14ac:dyDescent="0.35">
      <c r="R164" s="1314"/>
      <c r="S164" s="1314"/>
      <c r="W164" s="1314"/>
      <c r="X164" s="1314"/>
      <c r="AE164" s="1314"/>
      <c r="AF164" s="1314"/>
      <c r="AV164" s="1314"/>
      <c r="AW164" s="1314"/>
      <c r="AX164" s="1314"/>
      <c r="AY164" s="1314"/>
      <c r="AZ164" s="1314"/>
      <c r="BA164" s="1314"/>
      <c r="BC164" s="1314"/>
      <c r="BE164" s="1314"/>
      <c r="BF164" s="1314"/>
      <c r="BG164" s="1314"/>
    </row>
    <row r="165" spans="18:59" x14ac:dyDescent="0.35">
      <c r="R165" s="1314"/>
      <c r="S165" s="1314"/>
      <c r="W165" s="1314"/>
      <c r="X165" s="1314"/>
      <c r="AE165" s="1314"/>
      <c r="AF165" s="1314"/>
      <c r="AV165" s="1314"/>
      <c r="AW165" s="1314"/>
      <c r="AX165" s="1314"/>
      <c r="AY165" s="1314"/>
      <c r="AZ165" s="1314"/>
      <c r="BA165" s="1314"/>
      <c r="BC165" s="1314"/>
      <c r="BE165" s="1314"/>
      <c r="BF165" s="1314"/>
      <c r="BG165" s="1314"/>
    </row>
    <row r="166" spans="18:59" x14ac:dyDescent="0.35">
      <c r="R166" s="1314"/>
      <c r="S166" s="1314"/>
      <c r="W166" s="1314"/>
      <c r="X166" s="1314"/>
      <c r="AE166" s="1314"/>
      <c r="AF166" s="1314"/>
      <c r="AV166" s="1314"/>
      <c r="AW166" s="1314"/>
      <c r="AX166" s="1314"/>
      <c r="AY166" s="1314"/>
      <c r="AZ166" s="1314"/>
      <c r="BA166" s="1314"/>
      <c r="BC166" s="1314"/>
      <c r="BE166" s="1314"/>
      <c r="BF166" s="1314"/>
      <c r="BG166" s="1314"/>
    </row>
    <row r="167" spans="18:59" x14ac:dyDescent="0.35">
      <c r="R167" s="1314"/>
      <c r="S167" s="1314"/>
      <c r="W167" s="1314"/>
      <c r="X167" s="1314"/>
      <c r="AE167" s="1314"/>
      <c r="AF167" s="1314"/>
      <c r="AV167" s="1314"/>
      <c r="AW167" s="1314"/>
      <c r="AX167" s="1314"/>
      <c r="AY167" s="1314"/>
      <c r="AZ167" s="1314"/>
      <c r="BA167" s="1314"/>
      <c r="BC167" s="1314"/>
      <c r="BE167" s="1314"/>
      <c r="BF167" s="1314"/>
      <c r="BG167" s="1314"/>
    </row>
    <row r="168" spans="18:59" x14ac:dyDescent="0.35">
      <c r="R168" s="1314"/>
      <c r="S168" s="1314"/>
      <c r="W168" s="1314"/>
      <c r="X168" s="1314"/>
      <c r="AE168" s="1314"/>
      <c r="AF168" s="1314"/>
      <c r="AV168" s="1314"/>
      <c r="AW168" s="1314"/>
      <c r="AX168" s="1314"/>
      <c r="AY168" s="1314"/>
      <c r="AZ168" s="1314"/>
      <c r="BA168" s="1314"/>
      <c r="BC168" s="1314"/>
      <c r="BE168" s="1314"/>
      <c r="BF168" s="1314"/>
      <c r="BG168" s="1314"/>
    </row>
    <row r="169" spans="18:59" x14ac:dyDescent="0.35">
      <c r="R169" s="1314"/>
      <c r="S169" s="1314"/>
      <c r="W169" s="1314"/>
      <c r="X169" s="1314"/>
      <c r="AE169" s="1314"/>
      <c r="AF169" s="1314"/>
      <c r="AV169" s="1314"/>
      <c r="AW169" s="1314"/>
      <c r="AX169" s="1314"/>
      <c r="AY169" s="1314"/>
      <c r="AZ169" s="1314"/>
      <c r="BA169" s="1314"/>
      <c r="BC169" s="1314"/>
      <c r="BE169" s="1314"/>
      <c r="BF169" s="1314"/>
      <c r="BG169" s="1314"/>
    </row>
    <row r="170" spans="18:59" x14ac:dyDescent="0.35">
      <c r="R170" s="1314"/>
      <c r="S170" s="1314"/>
      <c r="W170" s="1314"/>
      <c r="X170" s="1314"/>
      <c r="AE170" s="1314"/>
      <c r="AF170" s="1314"/>
      <c r="AV170" s="1314"/>
      <c r="AW170" s="1314"/>
      <c r="AX170" s="1314"/>
      <c r="AY170" s="1314"/>
      <c r="AZ170" s="1314"/>
      <c r="BA170" s="1314"/>
      <c r="BC170" s="1314"/>
      <c r="BE170" s="1314"/>
      <c r="BF170" s="1314"/>
      <c r="BG170" s="1314"/>
    </row>
    <row r="171" spans="18:59" x14ac:dyDescent="0.35">
      <c r="R171" s="1314"/>
      <c r="S171" s="1314"/>
      <c r="W171" s="1314"/>
      <c r="X171" s="1314"/>
      <c r="AE171" s="1314"/>
      <c r="AF171" s="1314"/>
      <c r="AV171" s="1314"/>
      <c r="AW171" s="1314"/>
      <c r="AX171" s="1314"/>
      <c r="AY171" s="1314"/>
      <c r="AZ171" s="1314"/>
      <c r="BA171" s="1314"/>
      <c r="BC171" s="1314"/>
      <c r="BE171" s="1314"/>
      <c r="BF171" s="1314"/>
      <c r="BG171" s="1314"/>
    </row>
    <row r="172" spans="18:59" x14ac:dyDescent="0.35">
      <c r="R172" s="1314"/>
      <c r="S172" s="1314"/>
      <c r="W172" s="1314"/>
      <c r="X172" s="1314"/>
      <c r="AE172" s="1314"/>
      <c r="AF172" s="1314"/>
      <c r="AV172" s="1314"/>
      <c r="AW172" s="1314"/>
      <c r="AX172" s="1314"/>
      <c r="AY172" s="1314"/>
      <c r="AZ172" s="1314"/>
      <c r="BA172" s="1314"/>
      <c r="BC172" s="1314"/>
      <c r="BE172" s="1314"/>
      <c r="BF172" s="1314"/>
      <c r="BG172" s="1314"/>
    </row>
    <row r="173" spans="18:59" x14ac:dyDescent="0.35">
      <c r="R173" s="1314"/>
      <c r="S173" s="1314"/>
      <c r="W173" s="1314"/>
      <c r="X173" s="1314"/>
      <c r="AE173" s="1314"/>
      <c r="AF173" s="1314"/>
      <c r="AV173" s="1314"/>
      <c r="AW173" s="1314"/>
      <c r="AX173" s="1314"/>
      <c r="AY173" s="1314"/>
      <c r="AZ173" s="1314"/>
      <c r="BA173" s="1314"/>
      <c r="BC173" s="1314"/>
      <c r="BE173" s="1314"/>
      <c r="BF173" s="1314"/>
      <c r="BG173" s="1314"/>
    </row>
    <row r="174" spans="18:59" x14ac:dyDescent="0.35">
      <c r="R174" s="1314"/>
      <c r="S174" s="1314"/>
      <c r="W174" s="1314"/>
      <c r="X174" s="1314"/>
      <c r="AE174" s="1314"/>
      <c r="AF174" s="1314"/>
      <c r="AV174" s="1314"/>
      <c r="AW174" s="1314"/>
      <c r="AX174" s="1314"/>
      <c r="AY174" s="1314"/>
      <c r="AZ174" s="1314"/>
      <c r="BA174" s="1314"/>
      <c r="BC174" s="1314"/>
      <c r="BE174" s="1314"/>
      <c r="BF174" s="1314"/>
      <c r="BG174" s="1314"/>
    </row>
    <row r="175" spans="18:59" x14ac:dyDescent="0.35">
      <c r="R175" s="1314"/>
      <c r="S175" s="1314"/>
      <c r="W175" s="1314"/>
      <c r="X175" s="1314"/>
      <c r="AE175" s="1314"/>
      <c r="AF175" s="1314"/>
      <c r="AV175" s="1314"/>
      <c r="AW175" s="1314"/>
      <c r="AX175" s="1314"/>
      <c r="AY175" s="1314"/>
      <c r="AZ175" s="1314"/>
      <c r="BA175" s="1314"/>
      <c r="BC175" s="1314"/>
      <c r="BE175" s="1314"/>
      <c r="BF175" s="1314"/>
      <c r="BG175" s="1314"/>
    </row>
    <row r="176" spans="18:59" x14ac:dyDescent="0.35">
      <c r="R176" s="1314"/>
      <c r="S176" s="1314"/>
      <c r="W176" s="1314"/>
      <c r="X176" s="1314"/>
      <c r="AE176" s="1314"/>
      <c r="AF176" s="1314"/>
      <c r="AV176" s="1314"/>
      <c r="AW176" s="1314"/>
      <c r="AX176" s="1314"/>
      <c r="AY176" s="1314"/>
      <c r="AZ176" s="1314"/>
      <c r="BA176" s="1314"/>
      <c r="BC176" s="1314"/>
      <c r="BE176" s="1314"/>
      <c r="BF176" s="1314"/>
      <c r="BG176" s="1314"/>
    </row>
    <row r="177" spans="18:59" x14ac:dyDescent="0.35">
      <c r="R177" s="1314"/>
      <c r="S177" s="1314"/>
      <c r="W177" s="1314"/>
      <c r="X177" s="1314"/>
      <c r="AE177" s="1314"/>
      <c r="AF177" s="1314"/>
      <c r="AV177" s="1314"/>
      <c r="AW177" s="1314"/>
      <c r="AX177" s="1314"/>
      <c r="AY177" s="1314"/>
      <c r="AZ177" s="1314"/>
      <c r="BA177" s="1314"/>
      <c r="BC177" s="1314"/>
      <c r="BE177" s="1314"/>
      <c r="BF177" s="1314"/>
      <c r="BG177" s="1314"/>
    </row>
    <row r="178" spans="18:59" x14ac:dyDescent="0.35">
      <c r="R178" s="1314"/>
      <c r="S178" s="1314"/>
      <c r="W178" s="1314"/>
      <c r="X178" s="1314"/>
      <c r="AE178" s="1314"/>
      <c r="AF178" s="1314"/>
      <c r="AV178" s="1314"/>
      <c r="AW178" s="1314"/>
      <c r="AX178" s="1314"/>
      <c r="AY178" s="1314"/>
      <c r="AZ178" s="1314"/>
      <c r="BA178" s="1314"/>
      <c r="BC178" s="1314"/>
      <c r="BE178" s="1314"/>
      <c r="BF178" s="1314"/>
      <c r="BG178" s="1314"/>
    </row>
    <row r="179" spans="18:59" x14ac:dyDescent="0.35">
      <c r="R179" s="1314"/>
      <c r="S179" s="1314"/>
      <c r="W179" s="1314"/>
      <c r="X179" s="1314"/>
      <c r="AE179" s="1314"/>
      <c r="AF179" s="1314"/>
      <c r="AV179" s="1314"/>
      <c r="AW179" s="1314"/>
      <c r="AX179" s="1314"/>
      <c r="AY179" s="1314"/>
      <c r="AZ179" s="1314"/>
      <c r="BA179" s="1314"/>
      <c r="BC179" s="1314"/>
      <c r="BE179" s="1314"/>
      <c r="BF179" s="1314"/>
      <c r="BG179" s="1314"/>
    </row>
    <row r="180" spans="18:59" x14ac:dyDescent="0.35">
      <c r="R180" s="1314"/>
      <c r="S180" s="1314"/>
      <c r="W180" s="1314"/>
      <c r="X180" s="1314"/>
      <c r="AE180" s="1314"/>
      <c r="AF180" s="1314"/>
      <c r="AV180" s="1314"/>
      <c r="AW180" s="1314"/>
      <c r="AX180" s="1314"/>
      <c r="AY180" s="1314"/>
      <c r="AZ180" s="1314"/>
      <c r="BA180" s="1314"/>
      <c r="BC180" s="1314"/>
      <c r="BE180" s="1314"/>
      <c r="BF180" s="1314"/>
      <c r="BG180" s="1314"/>
    </row>
    <row r="181" spans="18:59" x14ac:dyDescent="0.35">
      <c r="R181" s="1314"/>
      <c r="S181" s="1314"/>
      <c r="W181" s="1314"/>
      <c r="X181" s="1314"/>
      <c r="AE181" s="1314"/>
      <c r="AF181" s="1314"/>
      <c r="AV181" s="1314"/>
      <c r="AW181" s="1314"/>
      <c r="AX181" s="1314"/>
      <c r="AY181" s="1314"/>
      <c r="AZ181" s="1314"/>
      <c r="BA181" s="1314"/>
      <c r="BC181" s="1314"/>
      <c r="BE181" s="1314"/>
      <c r="BF181" s="1314"/>
      <c r="BG181" s="1314"/>
    </row>
    <row r="182" spans="18:59" x14ac:dyDescent="0.35">
      <c r="R182" s="1314"/>
      <c r="S182" s="1314"/>
      <c r="W182" s="1314"/>
      <c r="X182" s="1314"/>
      <c r="AE182" s="1314"/>
      <c r="AF182" s="1314"/>
      <c r="AV182" s="1314"/>
      <c r="AW182" s="1314"/>
      <c r="AX182" s="1314"/>
      <c r="AY182" s="1314"/>
      <c r="AZ182" s="1314"/>
      <c r="BA182" s="1314"/>
      <c r="BC182" s="1314"/>
      <c r="BE182" s="1314"/>
      <c r="BF182" s="1314"/>
      <c r="BG182" s="1314"/>
    </row>
    <row r="183" spans="18:59" x14ac:dyDescent="0.35">
      <c r="R183" s="1314"/>
      <c r="S183" s="1314"/>
      <c r="W183" s="1314"/>
      <c r="X183" s="1314"/>
      <c r="AE183" s="1314"/>
      <c r="AF183" s="1314"/>
      <c r="AV183" s="1314"/>
      <c r="AW183" s="1314"/>
      <c r="AX183" s="1314"/>
      <c r="AY183" s="1314"/>
      <c r="AZ183" s="1314"/>
      <c r="BA183" s="1314"/>
      <c r="BC183" s="1314"/>
      <c r="BE183" s="1314"/>
      <c r="BF183" s="1314"/>
      <c r="BG183" s="1314"/>
    </row>
    <row r="184" spans="18:59" x14ac:dyDescent="0.35">
      <c r="R184" s="1314"/>
      <c r="S184" s="1314"/>
      <c r="W184" s="1314"/>
      <c r="X184" s="1314"/>
      <c r="AE184" s="1314"/>
      <c r="AF184" s="1314"/>
      <c r="AV184" s="1314"/>
      <c r="AW184" s="1314"/>
      <c r="AX184" s="1314"/>
      <c r="AY184" s="1314"/>
      <c r="AZ184" s="1314"/>
      <c r="BA184" s="1314"/>
      <c r="BC184" s="1314"/>
      <c r="BE184" s="1314"/>
      <c r="BF184" s="1314"/>
      <c r="BG184" s="1314"/>
    </row>
    <row r="185" spans="18:59" x14ac:dyDescent="0.35">
      <c r="R185" s="1314"/>
      <c r="S185" s="1314"/>
      <c r="W185" s="1314"/>
      <c r="X185" s="1314"/>
      <c r="AE185" s="1314"/>
      <c r="AF185" s="1314"/>
      <c r="AV185" s="1314"/>
      <c r="AW185" s="1314"/>
      <c r="AX185" s="1314"/>
      <c r="AY185" s="1314"/>
      <c r="AZ185" s="1314"/>
      <c r="BA185" s="1314"/>
      <c r="BC185" s="1314"/>
      <c r="BE185" s="1314"/>
      <c r="BF185" s="1314"/>
      <c r="BG185" s="1314"/>
    </row>
    <row r="186" spans="18:59" x14ac:dyDescent="0.35">
      <c r="R186" s="1314"/>
      <c r="S186" s="1314"/>
      <c r="W186" s="1314"/>
      <c r="X186" s="1314"/>
      <c r="AE186" s="1314"/>
      <c r="AF186" s="1314"/>
      <c r="AV186" s="1314"/>
      <c r="AW186" s="1314"/>
      <c r="AX186" s="1314"/>
      <c r="AY186" s="1314"/>
      <c r="AZ186" s="1314"/>
      <c r="BA186" s="1314"/>
      <c r="BC186" s="1314"/>
      <c r="BE186" s="1314"/>
      <c r="BF186" s="1314"/>
      <c r="BG186" s="1314"/>
    </row>
    <row r="187" spans="18:59" x14ac:dyDescent="0.35">
      <c r="R187" s="1314"/>
      <c r="S187" s="1314"/>
      <c r="W187" s="1314"/>
      <c r="X187" s="1314"/>
      <c r="AE187" s="1314"/>
      <c r="AF187" s="1314"/>
      <c r="AV187" s="1314"/>
      <c r="AW187" s="1314"/>
      <c r="AX187" s="1314"/>
      <c r="AY187" s="1314"/>
      <c r="AZ187" s="1314"/>
      <c r="BA187" s="1314"/>
      <c r="BC187" s="1314"/>
      <c r="BE187" s="1314"/>
      <c r="BF187" s="1314"/>
      <c r="BG187" s="1314"/>
    </row>
    <row r="188" spans="18:59" x14ac:dyDescent="0.35">
      <c r="R188" s="1314"/>
      <c r="S188" s="1314"/>
      <c r="W188" s="1314"/>
      <c r="X188" s="1314"/>
      <c r="AE188" s="1314"/>
      <c r="AF188" s="1314"/>
      <c r="AV188" s="1314"/>
      <c r="AW188" s="1314"/>
      <c r="AX188" s="1314"/>
      <c r="AY188" s="1314"/>
      <c r="AZ188" s="1314"/>
      <c r="BA188" s="1314"/>
      <c r="BC188" s="1314"/>
      <c r="BE188" s="1314"/>
      <c r="BF188" s="1314"/>
      <c r="BG188" s="1314"/>
    </row>
    <row r="189" spans="18:59" x14ac:dyDescent="0.35">
      <c r="R189" s="1314"/>
      <c r="S189" s="1314"/>
      <c r="W189" s="1314"/>
      <c r="X189" s="1314"/>
      <c r="AE189" s="1314"/>
      <c r="AF189" s="1314"/>
      <c r="AV189" s="1314"/>
      <c r="AW189" s="1314"/>
      <c r="AX189" s="1314"/>
      <c r="AY189" s="1314"/>
      <c r="AZ189" s="1314"/>
      <c r="BA189" s="1314"/>
      <c r="BC189" s="1314"/>
      <c r="BE189" s="1314"/>
      <c r="BF189" s="1314"/>
      <c r="BG189" s="1314"/>
    </row>
    <row r="190" spans="18:59" x14ac:dyDescent="0.35">
      <c r="R190" s="1314"/>
      <c r="S190" s="1314"/>
      <c r="W190" s="1314"/>
      <c r="X190" s="1314"/>
      <c r="AE190" s="1314"/>
      <c r="AF190" s="1314"/>
      <c r="AV190" s="1314"/>
      <c r="AW190" s="1314"/>
      <c r="AX190" s="1314"/>
      <c r="AY190" s="1314"/>
      <c r="AZ190" s="1314"/>
      <c r="BA190" s="1314"/>
      <c r="BC190" s="1314"/>
      <c r="BE190" s="1314"/>
      <c r="BF190" s="1314"/>
      <c r="BG190" s="1314"/>
    </row>
    <row r="191" spans="18:59" x14ac:dyDescent="0.35">
      <c r="R191" s="1314"/>
      <c r="S191" s="1314"/>
      <c r="W191" s="1314"/>
      <c r="X191" s="1314"/>
      <c r="AE191" s="1314"/>
      <c r="AF191" s="1314"/>
      <c r="AV191" s="1314"/>
      <c r="AW191" s="1314"/>
      <c r="AX191" s="1314"/>
      <c r="AY191" s="1314"/>
      <c r="AZ191" s="1314"/>
      <c r="BA191" s="1314"/>
      <c r="BC191" s="1314"/>
      <c r="BE191" s="1314"/>
      <c r="BF191" s="1314"/>
      <c r="BG191" s="1314"/>
    </row>
    <row r="192" spans="18:59" x14ac:dyDescent="0.35">
      <c r="R192" s="1314"/>
      <c r="S192" s="1314"/>
      <c r="W192" s="1314"/>
      <c r="X192" s="1314"/>
      <c r="AE192" s="1314"/>
      <c r="AF192" s="1314"/>
      <c r="AV192" s="1314"/>
      <c r="AW192" s="1314"/>
      <c r="AX192" s="1314"/>
      <c r="AY192" s="1314"/>
      <c r="AZ192" s="1314"/>
      <c r="BA192" s="1314"/>
      <c r="BC192" s="1314"/>
      <c r="BE192" s="1314"/>
      <c r="BF192" s="1314"/>
      <c r="BG192" s="1314"/>
    </row>
    <row r="193" spans="18:59" x14ac:dyDescent="0.35">
      <c r="R193" s="1314"/>
      <c r="S193" s="1314"/>
      <c r="W193" s="1314"/>
      <c r="X193" s="1314"/>
      <c r="AE193" s="1314"/>
      <c r="AF193" s="1314"/>
      <c r="AV193" s="1314"/>
      <c r="AW193" s="1314"/>
      <c r="AX193" s="1314"/>
      <c r="AY193" s="1314"/>
      <c r="AZ193" s="1314"/>
      <c r="BA193" s="1314"/>
      <c r="BC193" s="1314"/>
      <c r="BE193" s="1314"/>
      <c r="BF193" s="1314"/>
      <c r="BG193" s="1314"/>
    </row>
    <row r="194" spans="18:59" x14ac:dyDescent="0.35">
      <c r="R194" s="1314"/>
      <c r="S194" s="1314"/>
      <c r="W194" s="1314"/>
      <c r="X194" s="1314"/>
      <c r="AE194" s="1314"/>
      <c r="AF194" s="1314"/>
      <c r="AV194" s="1314"/>
      <c r="AW194" s="1314"/>
      <c r="AX194" s="1314"/>
      <c r="AY194" s="1314"/>
      <c r="AZ194" s="1314"/>
      <c r="BA194" s="1314"/>
      <c r="BC194" s="1314"/>
      <c r="BE194" s="1314"/>
      <c r="BF194" s="1314"/>
      <c r="BG194" s="1314"/>
    </row>
    <row r="195" spans="18:59" x14ac:dyDescent="0.35">
      <c r="R195" s="1314"/>
      <c r="S195" s="1314"/>
      <c r="W195" s="1314"/>
      <c r="X195" s="1314"/>
      <c r="AE195" s="1314"/>
      <c r="AF195" s="1314"/>
      <c r="AV195" s="1314"/>
      <c r="AW195" s="1314"/>
      <c r="AX195" s="1314"/>
      <c r="AY195" s="1314"/>
      <c r="AZ195" s="1314"/>
      <c r="BA195" s="1314"/>
      <c r="BC195" s="1314"/>
      <c r="BE195" s="1314"/>
      <c r="BF195" s="1314"/>
      <c r="BG195" s="1314"/>
    </row>
    <row r="196" spans="18:59" x14ac:dyDescent="0.35">
      <c r="R196" s="1314"/>
      <c r="S196" s="1314"/>
      <c r="W196" s="1314"/>
      <c r="X196" s="1314"/>
      <c r="AE196" s="1314"/>
      <c r="AF196" s="1314"/>
      <c r="AV196" s="1314"/>
      <c r="AW196" s="1314"/>
      <c r="AX196" s="1314"/>
      <c r="AY196" s="1314"/>
      <c r="AZ196" s="1314"/>
      <c r="BA196" s="1314"/>
      <c r="BC196" s="1314"/>
      <c r="BE196" s="1314"/>
      <c r="BF196" s="1314"/>
      <c r="BG196" s="1314"/>
    </row>
    <row r="197" spans="18:59" x14ac:dyDescent="0.35">
      <c r="R197" s="1314"/>
      <c r="S197" s="1314"/>
      <c r="W197" s="1314"/>
      <c r="X197" s="1314"/>
      <c r="AE197" s="1314"/>
      <c r="AF197" s="1314"/>
      <c r="AV197" s="1314"/>
      <c r="AW197" s="1314"/>
      <c r="AX197" s="1314"/>
      <c r="AY197" s="1314"/>
      <c r="AZ197" s="1314"/>
      <c r="BA197" s="1314"/>
      <c r="BC197" s="1314"/>
      <c r="BE197" s="1314"/>
      <c r="BF197" s="1314"/>
      <c r="BG197" s="1314"/>
    </row>
    <row r="198" spans="18:59" x14ac:dyDescent="0.35">
      <c r="R198" s="1314"/>
      <c r="S198" s="1314"/>
      <c r="W198" s="1314"/>
      <c r="X198" s="1314"/>
      <c r="AE198" s="1314"/>
      <c r="AF198" s="1314"/>
      <c r="AV198" s="1314"/>
      <c r="AW198" s="1314"/>
      <c r="AX198" s="1314"/>
      <c r="AY198" s="1314"/>
      <c r="AZ198" s="1314"/>
      <c r="BA198" s="1314"/>
      <c r="BC198" s="1314"/>
      <c r="BE198" s="1314"/>
      <c r="BF198" s="1314"/>
      <c r="BG198" s="1314"/>
    </row>
    <row r="199" spans="18:59" x14ac:dyDescent="0.35">
      <c r="R199" s="1314"/>
      <c r="S199" s="1314"/>
      <c r="W199" s="1314"/>
      <c r="X199" s="1314"/>
      <c r="AE199" s="1314"/>
      <c r="AF199" s="1314"/>
      <c r="AV199" s="1314"/>
      <c r="AW199" s="1314"/>
      <c r="AX199" s="1314"/>
      <c r="AY199" s="1314"/>
      <c r="AZ199" s="1314"/>
      <c r="BA199" s="1314"/>
      <c r="BC199" s="1314"/>
      <c r="BE199" s="1314"/>
      <c r="BF199" s="1314"/>
      <c r="BG199" s="1314"/>
    </row>
    <row r="200" spans="18:59" x14ac:dyDescent="0.35">
      <c r="R200" s="1314"/>
      <c r="S200" s="1314"/>
      <c r="W200" s="1314"/>
      <c r="X200" s="1314"/>
      <c r="AE200" s="1314"/>
      <c r="AF200" s="1314"/>
      <c r="AV200" s="1314"/>
      <c r="AW200" s="1314"/>
      <c r="AX200" s="1314"/>
      <c r="AY200" s="1314"/>
      <c r="AZ200" s="1314"/>
      <c r="BA200" s="1314"/>
      <c r="BC200" s="1314"/>
      <c r="BE200" s="1314"/>
      <c r="BF200" s="1314"/>
      <c r="BG200" s="1314"/>
    </row>
    <row r="201" spans="18:59" x14ac:dyDescent="0.35">
      <c r="R201" s="1314"/>
      <c r="S201" s="1314"/>
      <c r="W201" s="1314"/>
      <c r="X201" s="1314"/>
      <c r="AE201" s="1314"/>
      <c r="AF201" s="1314"/>
      <c r="AV201" s="1314"/>
      <c r="AW201" s="1314"/>
      <c r="AX201" s="1314"/>
      <c r="AY201" s="1314"/>
      <c r="AZ201" s="1314"/>
      <c r="BA201" s="1314"/>
      <c r="BC201" s="1314"/>
      <c r="BE201" s="1314"/>
      <c r="BF201" s="1314"/>
      <c r="BG201" s="1314"/>
    </row>
    <row r="202" spans="18:59" x14ac:dyDescent="0.35">
      <c r="R202" s="1314"/>
      <c r="S202" s="1314"/>
      <c r="W202" s="1314"/>
      <c r="X202" s="1314"/>
      <c r="AE202" s="1314"/>
      <c r="AF202" s="1314"/>
      <c r="AV202" s="1314"/>
      <c r="AW202" s="1314"/>
      <c r="AX202" s="1314"/>
      <c r="AY202" s="1314"/>
      <c r="AZ202" s="1314"/>
      <c r="BA202" s="1314"/>
      <c r="BC202" s="1314"/>
      <c r="BE202" s="1314"/>
      <c r="BF202" s="1314"/>
      <c r="BG202" s="1314"/>
    </row>
    <row r="203" spans="18:59" x14ac:dyDescent="0.35">
      <c r="R203" s="1314"/>
      <c r="S203" s="1314"/>
      <c r="W203" s="1314"/>
      <c r="X203" s="1314"/>
      <c r="AE203" s="1314"/>
      <c r="AF203" s="1314"/>
      <c r="AV203" s="1314"/>
      <c r="AW203" s="1314"/>
      <c r="AX203" s="1314"/>
      <c r="AY203" s="1314"/>
      <c r="AZ203" s="1314"/>
      <c r="BA203" s="1314"/>
      <c r="BC203" s="1314"/>
      <c r="BE203" s="1314"/>
      <c r="BF203" s="1314"/>
      <c r="BG203" s="1314"/>
    </row>
    <row r="204" spans="18:59" x14ac:dyDescent="0.35">
      <c r="R204" s="1314"/>
      <c r="S204" s="1314"/>
      <c r="W204" s="1314"/>
      <c r="X204" s="1314"/>
      <c r="AE204" s="1314"/>
      <c r="AF204" s="1314"/>
      <c r="AV204" s="1314"/>
      <c r="AW204" s="1314"/>
      <c r="AX204" s="1314"/>
      <c r="AY204" s="1314"/>
      <c r="AZ204" s="1314"/>
      <c r="BA204" s="1314"/>
      <c r="BC204" s="1314"/>
      <c r="BE204" s="1314"/>
      <c r="BF204" s="1314"/>
      <c r="BG204" s="1314"/>
    </row>
    <row r="205" spans="18:59" x14ac:dyDescent="0.35">
      <c r="R205" s="1314"/>
      <c r="S205" s="1314"/>
      <c r="W205" s="1314"/>
      <c r="X205" s="1314"/>
      <c r="AE205" s="1314"/>
      <c r="AF205" s="1314"/>
      <c r="AV205" s="1314"/>
      <c r="AW205" s="1314"/>
      <c r="AX205" s="1314"/>
      <c r="AY205" s="1314"/>
      <c r="AZ205" s="1314"/>
      <c r="BA205" s="1314"/>
      <c r="BC205" s="1314"/>
      <c r="BE205" s="1314"/>
      <c r="BF205" s="1314"/>
      <c r="BG205" s="1314"/>
    </row>
    <row r="206" spans="18:59" x14ac:dyDescent="0.35">
      <c r="R206" s="1314"/>
      <c r="S206" s="1314"/>
      <c r="W206" s="1314"/>
      <c r="X206" s="1314"/>
      <c r="AE206" s="1314"/>
      <c r="AF206" s="1314"/>
      <c r="AV206" s="1314"/>
      <c r="AW206" s="1314"/>
      <c r="AX206" s="1314"/>
      <c r="AY206" s="1314"/>
      <c r="AZ206" s="1314"/>
      <c r="BA206" s="1314"/>
      <c r="BC206" s="1314"/>
      <c r="BE206" s="1314"/>
      <c r="BF206" s="1314"/>
      <c r="BG206" s="1314"/>
    </row>
    <row r="207" spans="18:59" x14ac:dyDescent="0.35">
      <c r="R207" s="1314"/>
      <c r="S207" s="1314"/>
      <c r="W207" s="1314"/>
      <c r="X207" s="1314"/>
      <c r="AE207" s="1314"/>
      <c r="AF207" s="1314"/>
      <c r="AV207" s="1314"/>
      <c r="AW207" s="1314"/>
      <c r="AX207" s="1314"/>
      <c r="AY207" s="1314"/>
      <c r="AZ207" s="1314"/>
      <c r="BA207" s="1314"/>
      <c r="BC207" s="1314"/>
      <c r="BE207" s="1314"/>
      <c r="BF207" s="1314"/>
      <c r="BG207" s="1314"/>
    </row>
    <row r="208" spans="18:59" x14ac:dyDescent="0.35">
      <c r="R208" s="1314"/>
      <c r="S208" s="1314"/>
      <c r="W208" s="1314"/>
      <c r="X208" s="1314"/>
      <c r="AE208" s="1314"/>
      <c r="AF208" s="1314"/>
      <c r="AV208" s="1314"/>
      <c r="AW208" s="1314"/>
      <c r="AX208" s="1314"/>
      <c r="AY208" s="1314"/>
      <c r="AZ208" s="1314"/>
      <c r="BA208" s="1314"/>
      <c r="BC208" s="1314"/>
      <c r="BE208" s="1314"/>
      <c r="BF208" s="1314"/>
      <c r="BG208" s="1314"/>
    </row>
    <row r="209" spans="18:59" x14ac:dyDescent="0.35">
      <c r="R209" s="1314"/>
      <c r="S209" s="1314"/>
      <c r="W209" s="1314"/>
      <c r="X209" s="1314"/>
      <c r="AE209" s="1314"/>
      <c r="AF209" s="1314"/>
      <c r="AV209" s="1314"/>
      <c r="AW209" s="1314"/>
      <c r="AX209" s="1314"/>
      <c r="AY209" s="1314"/>
      <c r="AZ209" s="1314"/>
      <c r="BA209" s="1314"/>
      <c r="BC209" s="1314"/>
      <c r="BE209" s="1314"/>
      <c r="BF209" s="1314"/>
      <c r="BG209" s="1314"/>
    </row>
    <row r="210" spans="18:59" x14ac:dyDescent="0.35">
      <c r="R210" s="1314"/>
      <c r="S210" s="1314"/>
      <c r="W210" s="1314"/>
      <c r="X210" s="1314"/>
      <c r="AE210" s="1314"/>
      <c r="AF210" s="1314"/>
      <c r="AV210" s="1314"/>
      <c r="AW210" s="1314"/>
      <c r="AX210" s="1314"/>
      <c r="AY210" s="1314"/>
      <c r="AZ210" s="1314"/>
      <c r="BA210" s="1314"/>
      <c r="BC210" s="1314"/>
      <c r="BE210" s="1314"/>
      <c r="BF210" s="1314"/>
      <c r="BG210" s="1314"/>
    </row>
    <row r="211" spans="18:59" x14ac:dyDescent="0.35">
      <c r="R211" s="1314"/>
      <c r="S211" s="1314"/>
      <c r="W211" s="1314"/>
      <c r="X211" s="1314"/>
      <c r="AE211" s="1314"/>
      <c r="AF211" s="1314"/>
      <c r="AV211" s="1314"/>
      <c r="AW211" s="1314"/>
      <c r="AX211" s="1314"/>
      <c r="AY211" s="1314"/>
      <c r="AZ211" s="1314"/>
      <c r="BA211" s="1314"/>
      <c r="BC211" s="1314"/>
      <c r="BE211" s="1314"/>
      <c r="BF211" s="1314"/>
      <c r="BG211" s="1314"/>
    </row>
    <row r="212" spans="18:59" x14ac:dyDescent="0.35">
      <c r="R212" s="1314"/>
      <c r="S212" s="1314"/>
      <c r="W212" s="1314"/>
      <c r="X212" s="1314"/>
      <c r="AE212" s="1314"/>
      <c r="AF212" s="1314"/>
      <c r="AV212" s="1314"/>
      <c r="AW212" s="1314"/>
      <c r="AX212" s="1314"/>
      <c r="AY212" s="1314"/>
      <c r="AZ212" s="1314"/>
      <c r="BA212" s="1314"/>
      <c r="BC212" s="1314"/>
      <c r="BE212" s="1314"/>
      <c r="BF212" s="1314"/>
      <c r="BG212" s="1314"/>
    </row>
    <row r="213" spans="18:59" x14ac:dyDescent="0.35">
      <c r="R213" s="1314"/>
      <c r="S213" s="1314"/>
      <c r="W213" s="1314"/>
      <c r="X213" s="1314"/>
      <c r="AE213" s="1314"/>
      <c r="AF213" s="1314"/>
      <c r="AV213" s="1314"/>
      <c r="AW213" s="1314"/>
      <c r="AX213" s="1314"/>
      <c r="AY213" s="1314"/>
      <c r="AZ213" s="1314"/>
      <c r="BA213" s="1314"/>
      <c r="BC213" s="1314"/>
      <c r="BE213" s="1314"/>
      <c r="BF213" s="1314"/>
      <c r="BG213" s="1314"/>
    </row>
    <row r="214" spans="18:59" x14ac:dyDescent="0.35">
      <c r="R214" s="1314"/>
      <c r="S214" s="1314"/>
      <c r="W214" s="1314"/>
      <c r="X214" s="1314"/>
      <c r="AE214" s="1314"/>
      <c r="AF214" s="1314"/>
      <c r="AV214" s="1314"/>
      <c r="AW214" s="1314"/>
      <c r="AX214" s="1314"/>
      <c r="AY214" s="1314"/>
      <c r="AZ214" s="1314"/>
      <c r="BA214" s="1314"/>
      <c r="BC214" s="1314"/>
      <c r="BE214" s="1314"/>
      <c r="BF214" s="1314"/>
      <c r="BG214" s="1314"/>
    </row>
    <row r="215" spans="18:59" x14ac:dyDescent="0.35">
      <c r="R215" s="1314"/>
      <c r="S215" s="1314"/>
      <c r="W215" s="1314"/>
      <c r="X215" s="1314"/>
      <c r="AE215" s="1314"/>
      <c r="AF215" s="1314"/>
      <c r="AV215" s="1314"/>
      <c r="AW215" s="1314"/>
      <c r="AX215" s="1314"/>
      <c r="AY215" s="1314"/>
      <c r="AZ215" s="1314"/>
      <c r="BA215" s="1314"/>
      <c r="BC215" s="1314"/>
      <c r="BE215" s="1314"/>
      <c r="BF215" s="1314"/>
      <c r="BG215" s="1314"/>
    </row>
    <row r="216" spans="18:59" x14ac:dyDescent="0.35">
      <c r="R216" s="1314"/>
      <c r="S216" s="1314"/>
      <c r="W216" s="1314"/>
      <c r="X216" s="1314"/>
      <c r="AE216" s="1314"/>
      <c r="AF216" s="1314"/>
      <c r="AV216" s="1314"/>
      <c r="AW216" s="1314"/>
      <c r="AX216" s="1314"/>
      <c r="AY216" s="1314"/>
      <c r="AZ216" s="1314"/>
      <c r="BA216" s="1314"/>
      <c r="BC216" s="1314"/>
      <c r="BE216" s="1314"/>
      <c r="BF216" s="1314"/>
      <c r="BG216" s="1314"/>
    </row>
    <row r="217" spans="18:59" x14ac:dyDescent="0.35">
      <c r="R217" s="1314"/>
      <c r="S217" s="1314"/>
      <c r="W217" s="1314"/>
      <c r="X217" s="1314"/>
      <c r="AE217" s="1314"/>
      <c r="AF217" s="1314"/>
      <c r="AV217" s="1314"/>
      <c r="AW217" s="1314"/>
      <c r="AX217" s="1314"/>
      <c r="AY217" s="1314"/>
      <c r="AZ217" s="1314"/>
      <c r="BA217" s="1314"/>
      <c r="BC217" s="1314"/>
      <c r="BE217" s="1314"/>
      <c r="BF217" s="1314"/>
      <c r="BG217" s="1314"/>
    </row>
    <row r="218" spans="18:59" x14ac:dyDescent="0.35">
      <c r="R218" s="1314"/>
      <c r="S218" s="1314"/>
      <c r="W218" s="1314"/>
      <c r="X218" s="1314"/>
      <c r="AE218" s="1314"/>
      <c r="AF218" s="1314"/>
      <c r="AV218" s="1314"/>
      <c r="AW218" s="1314"/>
      <c r="AX218" s="1314"/>
      <c r="AY218" s="1314"/>
      <c r="AZ218" s="1314"/>
      <c r="BA218" s="1314"/>
      <c r="BC218" s="1314"/>
      <c r="BE218" s="1314"/>
      <c r="BF218" s="1314"/>
      <c r="BG218" s="1314"/>
    </row>
    <row r="219" spans="18:59" x14ac:dyDescent="0.35">
      <c r="R219" s="1314"/>
      <c r="S219" s="1314"/>
      <c r="W219" s="1314"/>
      <c r="X219" s="1314"/>
      <c r="AE219" s="1314"/>
      <c r="AF219" s="1314"/>
      <c r="AV219" s="1314"/>
      <c r="AW219" s="1314"/>
      <c r="AX219" s="1314"/>
      <c r="AY219" s="1314"/>
      <c r="AZ219" s="1314"/>
      <c r="BA219" s="1314"/>
      <c r="BC219" s="1314"/>
      <c r="BE219" s="1314"/>
      <c r="BF219" s="1314"/>
      <c r="BG219" s="1314"/>
    </row>
    <row r="220" spans="18:59" x14ac:dyDescent="0.35">
      <c r="R220" s="1314"/>
      <c r="S220" s="1314"/>
      <c r="W220" s="1314"/>
      <c r="X220" s="1314"/>
      <c r="AE220" s="1314"/>
      <c r="AF220" s="1314"/>
      <c r="AV220" s="1314"/>
      <c r="AW220" s="1314"/>
      <c r="AX220" s="1314"/>
      <c r="AY220" s="1314"/>
      <c r="AZ220" s="1314"/>
      <c r="BA220" s="1314"/>
      <c r="BC220" s="1314"/>
      <c r="BE220" s="1314"/>
      <c r="BF220" s="1314"/>
      <c r="BG220" s="1314"/>
    </row>
    <row r="221" spans="18:59" x14ac:dyDescent="0.35">
      <c r="R221" s="1314"/>
      <c r="S221" s="1314"/>
      <c r="W221" s="1314"/>
      <c r="X221" s="1314"/>
      <c r="AE221" s="1314"/>
      <c r="AF221" s="1314"/>
      <c r="AV221" s="1314"/>
      <c r="AW221" s="1314"/>
      <c r="AX221" s="1314"/>
      <c r="AY221" s="1314"/>
      <c r="AZ221" s="1314"/>
      <c r="BA221" s="1314"/>
      <c r="BC221" s="1314"/>
      <c r="BE221" s="1314"/>
      <c r="BF221" s="1314"/>
      <c r="BG221" s="1314"/>
    </row>
    <row r="222" spans="18:59" x14ac:dyDescent="0.35">
      <c r="R222" s="1314"/>
      <c r="S222" s="1314"/>
      <c r="W222" s="1314"/>
      <c r="X222" s="1314"/>
      <c r="AE222" s="1314"/>
      <c r="AF222" s="1314"/>
      <c r="AV222" s="1314"/>
      <c r="AW222" s="1314"/>
      <c r="AX222" s="1314"/>
      <c r="AY222" s="1314"/>
      <c r="AZ222" s="1314"/>
      <c r="BA222" s="1314"/>
      <c r="BC222" s="1314"/>
      <c r="BE222" s="1314"/>
      <c r="BF222" s="1314"/>
      <c r="BG222" s="1314"/>
    </row>
    <row r="223" spans="18:59" x14ac:dyDescent="0.35">
      <c r="R223" s="1314"/>
      <c r="S223" s="1314"/>
      <c r="W223" s="1314"/>
      <c r="X223" s="1314"/>
      <c r="AE223" s="1314"/>
      <c r="AF223" s="1314"/>
      <c r="AV223" s="1314"/>
      <c r="AW223" s="1314"/>
      <c r="AX223" s="1314"/>
      <c r="AY223" s="1314"/>
      <c r="AZ223" s="1314"/>
      <c r="BA223" s="1314"/>
      <c r="BC223" s="1314"/>
      <c r="BE223" s="1314"/>
      <c r="BF223" s="1314"/>
      <c r="BG223" s="1314"/>
    </row>
    <row r="224" spans="18:59" x14ac:dyDescent="0.35">
      <c r="R224" s="1314"/>
      <c r="S224" s="1314"/>
      <c r="W224" s="1314"/>
      <c r="X224" s="1314"/>
      <c r="AE224" s="1314"/>
      <c r="AF224" s="1314"/>
      <c r="AV224" s="1314"/>
      <c r="AW224" s="1314"/>
      <c r="AX224" s="1314"/>
      <c r="AY224" s="1314"/>
      <c r="AZ224" s="1314"/>
      <c r="BA224" s="1314"/>
      <c r="BC224" s="1314"/>
      <c r="BE224" s="1314"/>
      <c r="BF224" s="1314"/>
      <c r="BG224" s="1314"/>
    </row>
    <row r="225" spans="18:59" x14ac:dyDescent="0.35">
      <c r="R225" s="1314"/>
      <c r="S225" s="1314"/>
      <c r="W225" s="1314"/>
      <c r="X225" s="1314"/>
      <c r="AE225" s="1314"/>
      <c r="AF225" s="1314"/>
      <c r="AV225" s="1314"/>
      <c r="AW225" s="1314"/>
      <c r="AX225" s="1314"/>
      <c r="AY225" s="1314"/>
      <c r="AZ225" s="1314"/>
      <c r="BA225" s="1314"/>
      <c r="BC225" s="1314"/>
      <c r="BE225" s="1314"/>
      <c r="BF225" s="1314"/>
      <c r="BG225" s="1314"/>
    </row>
    <row r="226" spans="18:59" x14ac:dyDescent="0.35">
      <c r="R226" s="1314"/>
      <c r="S226" s="1314"/>
      <c r="W226" s="1314"/>
      <c r="X226" s="1314"/>
      <c r="AE226" s="1314"/>
      <c r="AF226" s="1314"/>
      <c r="AV226" s="1314"/>
      <c r="AW226" s="1314"/>
      <c r="AX226" s="1314"/>
      <c r="AY226" s="1314"/>
      <c r="AZ226" s="1314"/>
      <c r="BA226" s="1314"/>
      <c r="BC226" s="1314"/>
      <c r="BE226" s="1314"/>
      <c r="BF226" s="1314"/>
      <c r="BG226" s="1314"/>
    </row>
    <row r="227" spans="18:59" x14ac:dyDescent="0.35">
      <c r="R227" s="1314"/>
      <c r="S227" s="1314"/>
      <c r="W227" s="1314"/>
      <c r="X227" s="1314"/>
      <c r="AE227" s="1314"/>
      <c r="AF227" s="1314"/>
      <c r="AV227" s="1314"/>
      <c r="AW227" s="1314"/>
      <c r="AX227" s="1314"/>
      <c r="AY227" s="1314"/>
      <c r="AZ227" s="1314"/>
      <c r="BA227" s="1314"/>
      <c r="BC227" s="1314"/>
      <c r="BE227" s="1314"/>
      <c r="BF227" s="1314"/>
      <c r="BG227" s="1314"/>
    </row>
    <row r="228" spans="18:59" x14ac:dyDescent="0.35">
      <c r="R228" s="1314"/>
      <c r="S228" s="1314"/>
      <c r="W228" s="1314"/>
      <c r="X228" s="1314"/>
      <c r="AE228" s="1314"/>
      <c r="AF228" s="1314"/>
      <c r="AV228" s="1314"/>
      <c r="AW228" s="1314"/>
      <c r="AX228" s="1314"/>
      <c r="AY228" s="1314"/>
      <c r="AZ228" s="1314"/>
      <c r="BA228" s="1314"/>
      <c r="BC228" s="1314"/>
      <c r="BE228" s="1314"/>
      <c r="BF228" s="1314"/>
      <c r="BG228" s="1314"/>
    </row>
    <row r="229" spans="18:59" x14ac:dyDescent="0.35">
      <c r="R229" s="1314"/>
      <c r="S229" s="1314"/>
      <c r="W229" s="1314"/>
      <c r="X229" s="1314"/>
      <c r="AE229" s="1314"/>
      <c r="AF229" s="1314"/>
      <c r="AV229" s="1314"/>
      <c r="AW229" s="1314"/>
      <c r="AX229" s="1314"/>
      <c r="AY229" s="1314"/>
      <c r="AZ229" s="1314"/>
      <c r="BA229" s="1314"/>
      <c r="BC229" s="1314"/>
      <c r="BE229" s="1314"/>
      <c r="BF229" s="1314"/>
      <c r="BG229" s="1314"/>
    </row>
    <row r="230" spans="18:59" x14ac:dyDescent="0.35">
      <c r="R230" s="1314"/>
      <c r="S230" s="1314"/>
      <c r="W230" s="1314"/>
      <c r="X230" s="1314"/>
      <c r="AE230" s="1314"/>
      <c r="AF230" s="1314"/>
      <c r="AV230" s="1314"/>
      <c r="AW230" s="1314"/>
      <c r="AX230" s="1314"/>
      <c r="AY230" s="1314"/>
      <c r="AZ230" s="1314"/>
      <c r="BA230" s="1314"/>
      <c r="BC230" s="1314"/>
      <c r="BE230" s="1314"/>
      <c r="BF230" s="1314"/>
      <c r="BG230" s="1314"/>
    </row>
    <row r="231" spans="18:59" x14ac:dyDescent="0.35">
      <c r="R231" s="1314"/>
      <c r="S231" s="1314"/>
      <c r="W231" s="1314"/>
      <c r="X231" s="1314"/>
      <c r="AE231" s="1314"/>
      <c r="AF231" s="1314"/>
      <c r="AV231" s="1314"/>
      <c r="AW231" s="1314"/>
      <c r="AX231" s="1314"/>
      <c r="AY231" s="1314"/>
      <c r="AZ231" s="1314"/>
      <c r="BA231" s="1314"/>
      <c r="BC231" s="1314"/>
      <c r="BE231" s="1314"/>
      <c r="BF231" s="1314"/>
      <c r="BG231" s="1314"/>
    </row>
    <row r="232" spans="18:59" x14ac:dyDescent="0.35">
      <c r="R232" s="1314"/>
      <c r="S232" s="1314"/>
      <c r="W232" s="1314"/>
      <c r="X232" s="1314"/>
      <c r="AE232" s="1314"/>
      <c r="AF232" s="1314"/>
      <c r="AV232" s="1314"/>
      <c r="AW232" s="1314"/>
      <c r="AX232" s="1314"/>
      <c r="AY232" s="1314"/>
      <c r="AZ232" s="1314"/>
      <c r="BA232" s="1314"/>
      <c r="BC232" s="1314"/>
      <c r="BE232" s="1314"/>
      <c r="BF232" s="1314"/>
      <c r="BG232" s="1314"/>
    </row>
    <row r="233" spans="18:59" x14ac:dyDescent="0.35">
      <c r="R233" s="1314"/>
      <c r="S233" s="1314"/>
      <c r="W233" s="1314"/>
      <c r="X233" s="1314"/>
      <c r="AE233" s="1314"/>
      <c r="AF233" s="1314"/>
      <c r="AV233" s="1314"/>
      <c r="AW233" s="1314"/>
      <c r="AX233" s="1314"/>
      <c r="AY233" s="1314"/>
      <c r="AZ233" s="1314"/>
      <c r="BA233" s="1314"/>
      <c r="BC233" s="1314"/>
      <c r="BE233" s="1314"/>
      <c r="BF233" s="1314"/>
      <c r="BG233" s="1314"/>
    </row>
    <row r="234" spans="18:59" x14ac:dyDescent="0.35">
      <c r="R234" s="1314"/>
      <c r="S234" s="1314"/>
      <c r="W234" s="1314"/>
      <c r="X234" s="1314"/>
      <c r="AE234" s="1314"/>
      <c r="AF234" s="1314"/>
      <c r="AV234" s="1314"/>
      <c r="AW234" s="1314"/>
      <c r="AX234" s="1314"/>
      <c r="AY234" s="1314"/>
      <c r="AZ234" s="1314"/>
      <c r="BA234" s="1314"/>
      <c r="BC234" s="1314"/>
      <c r="BE234" s="1314"/>
      <c r="BF234" s="1314"/>
      <c r="BG234" s="1314"/>
    </row>
    <row r="235" spans="18:59" x14ac:dyDescent="0.35">
      <c r="R235" s="1314"/>
      <c r="S235" s="1314"/>
      <c r="W235" s="1314"/>
      <c r="X235" s="1314"/>
      <c r="AE235" s="1314"/>
      <c r="AF235" s="1314"/>
      <c r="AV235" s="1314"/>
      <c r="AW235" s="1314"/>
      <c r="AX235" s="1314"/>
      <c r="AY235" s="1314"/>
      <c r="AZ235" s="1314"/>
      <c r="BA235" s="1314"/>
      <c r="BC235" s="1314"/>
      <c r="BE235" s="1314"/>
      <c r="BF235" s="1314"/>
      <c r="BG235" s="1314"/>
    </row>
    <row r="236" spans="18:59" x14ac:dyDescent="0.35">
      <c r="R236" s="1314"/>
      <c r="S236" s="1314"/>
      <c r="W236" s="1314"/>
      <c r="X236" s="1314"/>
      <c r="AE236" s="1314"/>
      <c r="AF236" s="1314"/>
      <c r="AV236" s="1314"/>
      <c r="AW236" s="1314"/>
      <c r="AX236" s="1314"/>
      <c r="AY236" s="1314"/>
      <c r="AZ236" s="1314"/>
      <c r="BA236" s="1314"/>
      <c r="BC236" s="1314"/>
      <c r="BE236" s="1314"/>
      <c r="BF236" s="1314"/>
      <c r="BG236" s="1314"/>
    </row>
    <row r="237" spans="18:59" x14ac:dyDescent="0.35">
      <c r="R237" s="1314"/>
      <c r="S237" s="1314"/>
      <c r="W237" s="1314"/>
      <c r="X237" s="1314"/>
      <c r="AE237" s="1314"/>
      <c r="AF237" s="1314"/>
      <c r="AV237" s="1314"/>
      <c r="AW237" s="1314"/>
      <c r="AX237" s="1314"/>
      <c r="AY237" s="1314"/>
      <c r="AZ237" s="1314"/>
      <c r="BA237" s="1314"/>
      <c r="BC237" s="1314"/>
      <c r="BE237" s="1314"/>
      <c r="BF237" s="1314"/>
      <c r="BG237" s="1314"/>
    </row>
    <row r="238" spans="18:59" x14ac:dyDescent="0.35">
      <c r="R238" s="1314"/>
      <c r="S238" s="1314"/>
      <c r="W238" s="1314"/>
      <c r="X238" s="1314"/>
      <c r="AE238" s="1314"/>
      <c r="AF238" s="1314"/>
      <c r="AV238" s="1314"/>
      <c r="AW238" s="1314"/>
      <c r="AX238" s="1314"/>
      <c r="AY238" s="1314"/>
      <c r="AZ238" s="1314"/>
      <c r="BA238" s="1314"/>
      <c r="BC238" s="1314"/>
      <c r="BE238" s="1314"/>
      <c r="BF238" s="1314"/>
      <c r="BG238" s="1314"/>
    </row>
    <row r="239" spans="18:59" x14ac:dyDescent="0.35">
      <c r="R239" s="1314"/>
      <c r="S239" s="1314"/>
      <c r="W239" s="1314"/>
      <c r="X239" s="1314"/>
      <c r="AE239" s="1314"/>
      <c r="AF239" s="1314"/>
      <c r="AV239" s="1314"/>
      <c r="AW239" s="1314"/>
      <c r="AX239" s="1314"/>
      <c r="AY239" s="1314"/>
      <c r="AZ239" s="1314"/>
      <c r="BA239" s="1314"/>
      <c r="BC239" s="1314"/>
      <c r="BE239" s="1314"/>
      <c r="BF239" s="1314"/>
      <c r="BG239" s="1314"/>
    </row>
    <row r="240" spans="18:59" x14ac:dyDescent="0.35">
      <c r="R240" s="1314"/>
      <c r="S240" s="1314"/>
      <c r="W240" s="1314"/>
      <c r="X240" s="1314"/>
      <c r="AE240" s="1314"/>
      <c r="AF240" s="1314"/>
      <c r="AV240" s="1314"/>
      <c r="AW240" s="1314"/>
      <c r="AX240" s="1314"/>
      <c r="AY240" s="1314"/>
      <c r="AZ240" s="1314"/>
      <c r="BA240" s="1314"/>
      <c r="BC240" s="1314"/>
      <c r="BE240" s="1314"/>
      <c r="BF240" s="1314"/>
      <c r="BG240" s="1314"/>
    </row>
    <row r="241" spans="18:59" x14ac:dyDescent="0.35">
      <c r="R241" s="1314"/>
      <c r="S241" s="1314"/>
      <c r="W241" s="1314"/>
      <c r="X241" s="1314"/>
      <c r="AE241" s="1314"/>
      <c r="AF241" s="1314"/>
      <c r="AV241" s="1314"/>
      <c r="AW241" s="1314"/>
      <c r="AX241" s="1314"/>
      <c r="AY241" s="1314"/>
      <c r="AZ241" s="1314"/>
      <c r="BA241" s="1314"/>
      <c r="BC241" s="1314"/>
      <c r="BE241" s="1314"/>
      <c r="BF241" s="1314"/>
      <c r="BG241" s="1314"/>
    </row>
    <row r="242" spans="18:59" x14ac:dyDescent="0.35">
      <c r="R242" s="1314"/>
      <c r="S242" s="1314"/>
      <c r="W242" s="1314"/>
      <c r="X242" s="1314"/>
      <c r="AE242" s="1314"/>
      <c r="AF242" s="1314"/>
      <c r="AV242" s="1314"/>
      <c r="AW242" s="1314"/>
      <c r="AX242" s="1314"/>
      <c r="AY242" s="1314"/>
      <c r="AZ242" s="1314"/>
      <c r="BA242" s="1314"/>
      <c r="BC242" s="1314"/>
      <c r="BE242" s="1314"/>
      <c r="BF242" s="1314"/>
      <c r="BG242" s="1314"/>
    </row>
    <row r="243" spans="18:59" x14ac:dyDescent="0.35">
      <c r="R243" s="1314"/>
      <c r="S243" s="1314"/>
      <c r="W243" s="1314"/>
      <c r="X243" s="1314"/>
      <c r="AE243" s="1314"/>
      <c r="AF243" s="1314"/>
      <c r="AV243" s="1314"/>
      <c r="AW243" s="1314"/>
      <c r="AX243" s="1314"/>
      <c r="AY243" s="1314"/>
      <c r="AZ243" s="1314"/>
      <c r="BA243" s="1314"/>
      <c r="BC243" s="1314"/>
      <c r="BE243" s="1314"/>
      <c r="BF243" s="1314"/>
      <c r="BG243" s="1314"/>
    </row>
    <row r="244" spans="18:59" x14ac:dyDescent="0.35">
      <c r="R244" s="1314"/>
      <c r="S244" s="1314"/>
      <c r="W244" s="1314"/>
      <c r="X244" s="1314"/>
      <c r="AE244" s="1314"/>
      <c r="AF244" s="1314"/>
      <c r="AV244" s="1314"/>
      <c r="AW244" s="1314"/>
      <c r="AX244" s="1314"/>
      <c r="AY244" s="1314"/>
      <c r="AZ244" s="1314"/>
      <c r="BA244" s="1314"/>
      <c r="BC244" s="1314"/>
      <c r="BE244" s="1314"/>
      <c r="BF244" s="1314"/>
      <c r="BG244" s="1314"/>
    </row>
    <row r="245" spans="18:59" x14ac:dyDescent="0.35">
      <c r="R245" s="1314"/>
      <c r="S245" s="1314"/>
      <c r="W245" s="1314"/>
      <c r="X245" s="1314"/>
      <c r="AE245" s="1314"/>
      <c r="AF245" s="1314"/>
      <c r="AV245" s="1314"/>
      <c r="AW245" s="1314"/>
      <c r="AX245" s="1314"/>
      <c r="AY245" s="1314"/>
      <c r="AZ245" s="1314"/>
      <c r="BA245" s="1314"/>
      <c r="BC245" s="1314"/>
      <c r="BE245" s="1314"/>
      <c r="BF245" s="1314"/>
      <c r="BG245" s="1314"/>
    </row>
    <row r="246" spans="18:59" x14ac:dyDescent="0.35">
      <c r="R246" s="1314"/>
      <c r="S246" s="1314"/>
      <c r="W246" s="1314"/>
      <c r="X246" s="1314"/>
      <c r="AE246" s="1314"/>
      <c r="AF246" s="1314"/>
      <c r="AV246" s="1314"/>
      <c r="AW246" s="1314"/>
      <c r="AX246" s="1314"/>
      <c r="AY246" s="1314"/>
      <c r="AZ246" s="1314"/>
      <c r="BA246" s="1314"/>
      <c r="BC246" s="1314"/>
      <c r="BE246" s="1314"/>
      <c r="BF246" s="1314"/>
      <c r="BG246" s="1314"/>
    </row>
    <row r="247" spans="18:59" x14ac:dyDescent="0.35">
      <c r="R247" s="1314"/>
      <c r="S247" s="1314"/>
      <c r="W247" s="1314"/>
      <c r="X247" s="1314"/>
      <c r="AE247" s="1314"/>
      <c r="AF247" s="1314"/>
      <c r="AV247" s="1314"/>
      <c r="AW247" s="1314"/>
      <c r="AX247" s="1314"/>
      <c r="AY247" s="1314"/>
      <c r="AZ247" s="1314"/>
      <c r="BA247" s="1314"/>
      <c r="BC247" s="1314"/>
      <c r="BE247" s="1314"/>
      <c r="BF247" s="1314"/>
      <c r="BG247" s="1314"/>
    </row>
    <row r="248" spans="18:59" x14ac:dyDescent="0.35">
      <c r="R248" s="1314"/>
      <c r="S248" s="1314"/>
      <c r="W248" s="1314"/>
      <c r="X248" s="1314"/>
      <c r="AE248" s="1314"/>
      <c r="AF248" s="1314"/>
      <c r="AV248" s="1314"/>
      <c r="AW248" s="1314"/>
      <c r="AX248" s="1314"/>
      <c r="AY248" s="1314"/>
      <c r="AZ248" s="1314"/>
      <c r="BA248" s="1314"/>
      <c r="BC248" s="1314"/>
      <c r="BE248" s="1314"/>
      <c r="BF248" s="1314"/>
      <c r="BG248" s="1314"/>
    </row>
    <row r="249" spans="18:59" x14ac:dyDescent="0.35">
      <c r="R249" s="1314"/>
      <c r="S249" s="1314"/>
      <c r="W249" s="1314"/>
      <c r="X249" s="1314"/>
      <c r="AE249" s="1314"/>
      <c r="AF249" s="1314"/>
      <c r="AV249" s="1314"/>
      <c r="AW249" s="1314"/>
      <c r="AX249" s="1314"/>
      <c r="AY249" s="1314"/>
      <c r="AZ249" s="1314"/>
      <c r="BA249" s="1314"/>
      <c r="BC249" s="1314"/>
      <c r="BE249" s="1314"/>
      <c r="BF249" s="1314"/>
      <c r="BG249" s="1314"/>
    </row>
    <row r="250" spans="18:59" x14ac:dyDescent="0.35">
      <c r="R250" s="1314"/>
      <c r="S250" s="1314"/>
      <c r="W250" s="1314"/>
      <c r="X250" s="1314"/>
      <c r="AE250" s="1314"/>
      <c r="AF250" s="1314"/>
      <c r="AV250" s="1314"/>
      <c r="AW250" s="1314"/>
      <c r="AX250" s="1314"/>
      <c r="AY250" s="1314"/>
      <c r="AZ250" s="1314"/>
      <c r="BA250" s="1314"/>
      <c r="BC250" s="1314"/>
      <c r="BE250" s="1314"/>
      <c r="BF250" s="1314"/>
      <c r="BG250" s="1314"/>
    </row>
    <row r="251" spans="18:59" x14ac:dyDescent="0.35">
      <c r="R251" s="1314"/>
      <c r="S251" s="1314"/>
      <c r="W251" s="1314"/>
      <c r="X251" s="1314"/>
      <c r="AE251" s="1314"/>
      <c r="AF251" s="1314"/>
      <c r="AV251" s="1314"/>
      <c r="AW251" s="1314"/>
      <c r="AX251" s="1314"/>
      <c r="AY251" s="1314"/>
      <c r="AZ251" s="1314"/>
      <c r="BA251" s="1314"/>
      <c r="BC251" s="1314"/>
      <c r="BE251" s="1314"/>
      <c r="BF251" s="1314"/>
      <c r="BG251" s="1314"/>
    </row>
    <row r="252" spans="18:59" x14ac:dyDescent="0.35">
      <c r="R252" s="1314"/>
      <c r="S252" s="1314"/>
      <c r="W252" s="1314"/>
      <c r="X252" s="1314"/>
      <c r="AE252" s="1314"/>
      <c r="AF252" s="1314"/>
      <c r="AV252" s="1314"/>
      <c r="AW252" s="1314"/>
      <c r="AX252" s="1314"/>
      <c r="AY252" s="1314"/>
      <c r="AZ252" s="1314"/>
      <c r="BA252" s="1314"/>
      <c r="BC252" s="1314"/>
      <c r="BE252" s="1314"/>
      <c r="BF252" s="1314"/>
      <c r="BG252" s="1314"/>
    </row>
    <row r="253" spans="18:59" x14ac:dyDescent="0.35">
      <c r="R253" s="1314"/>
      <c r="S253" s="1314"/>
      <c r="W253" s="1314"/>
      <c r="X253" s="1314"/>
      <c r="AE253" s="1314"/>
      <c r="AF253" s="1314"/>
      <c r="AV253" s="1314"/>
      <c r="AW253" s="1314"/>
      <c r="AX253" s="1314"/>
      <c r="AY253" s="1314"/>
      <c r="AZ253" s="1314"/>
      <c r="BA253" s="1314"/>
      <c r="BC253" s="1314"/>
      <c r="BE253" s="1314"/>
      <c r="BF253" s="1314"/>
      <c r="BG253" s="1314"/>
    </row>
    <row r="254" spans="18:59" x14ac:dyDescent="0.35">
      <c r="R254" s="1314"/>
      <c r="S254" s="1314"/>
      <c r="W254" s="1314"/>
      <c r="X254" s="1314"/>
      <c r="AE254" s="1314"/>
      <c r="AF254" s="1314"/>
      <c r="AV254" s="1314"/>
      <c r="AW254" s="1314"/>
      <c r="AX254" s="1314"/>
      <c r="AY254" s="1314"/>
      <c r="AZ254" s="1314"/>
      <c r="BA254" s="1314"/>
      <c r="BC254" s="1314"/>
      <c r="BE254" s="1314"/>
      <c r="BF254" s="1314"/>
      <c r="BG254" s="1314"/>
    </row>
    <row r="255" spans="18:59" x14ac:dyDescent="0.35">
      <c r="R255" s="1314"/>
      <c r="S255" s="1314"/>
      <c r="W255" s="1314"/>
      <c r="X255" s="1314"/>
      <c r="AE255" s="1314"/>
      <c r="AF255" s="1314"/>
      <c r="AV255" s="1314"/>
      <c r="AW255" s="1314"/>
      <c r="AX255" s="1314"/>
      <c r="AY255" s="1314"/>
      <c r="AZ255" s="1314"/>
      <c r="BA255" s="1314"/>
      <c r="BC255" s="1314"/>
      <c r="BE255" s="1314"/>
      <c r="BF255" s="1314"/>
      <c r="BG255" s="1314"/>
    </row>
    <row r="256" spans="18:59" x14ac:dyDescent="0.35">
      <c r="R256" s="1314"/>
      <c r="S256" s="1314"/>
      <c r="W256" s="1314"/>
      <c r="X256" s="1314"/>
      <c r="AE256" s="1314"/>
      <c r="AF256" s="1314"/>
      <c r="AV256" s="1314"/>
      <c r="AW256" s="1314"/>
      <c r="AX256" s="1314"/>
      <c r="AY256" s="1314"/>
      <c r="AZ256" s="1314"/>
      <c r="BA256" s="1314"/>
      <c r="BC256" s="1314"/>
      <c r="BE256" s="1314"/>
      <c r="BF256" s="1314"/>
      <c r="BG256" s="1314"/>
    </row>
    <row r="257" spans="18:59" x14ac:dyDescent="0.35">
      <c r="R257" s="1314"/>
      <c r="S257" s="1314"/>
      <c r="W257" s="1314"/>
      <c r="X257" s="1314"/>
      <c r="AE257" s="1314"/>
      <c r="AF257" s="1314"/>
      <c r="AV257" s="1314"/>
      <c r="AW257" s="1314"/>
      <c r="AX257" s="1314"/>
      <c r="AY257" s="1314"/>
      <c r="AZ257" s="1314"/>
      <c r="BA257" s="1314"/>
      <c r="BC257" s="1314"/>
      <c r="BE257" s="1314"/>
      <c r="BF257" s="1314"/>
      <c r="BG257" s="1314"/>
    </row>
    <row r="258" spans="18:59" x14ac:dyDescent="0.35">
      <c r="R258" s="1314"/>
      <c r="S258" s="1314"/>
      <c r="W258" s="1314"/>
      <c r="X258" s="1314"/>
      <c r="AE258" s="1314"/>
      <c r="AF258" s="1314"/>
      <c r="AV258" s="1314"/>
      <c r="AW258" s="1314"/>
      <c r="AX258" s="1314"/>
      <c r="AY258" s="1314"/>
      <c r="AZ258" s="1314"/>
      <c r="BA258" s="1314"/>
      <c r="BC258" s="1314"/>
      <c r="BE258" s="1314"/>
      <c r="BF258" s="1314"/>
      <c r="BG258" s="1314"/>
    </row>
    <row r="259" spans="18:59" x14ac:dyDescent="0.35">
      <c r="R259" s="1314"/>
      <c r="S259" s="1314"/>
      <c r="W259" s="1314"/>
      <c r="X259" s="1314"/>
      <c r="AE259" s="1314"/>
      <c r="AF259" s="1314"/>
      <c r="AV259" s="1314"/>
      <c r="AW259" s="1314"/>
      <c r="AX259" s="1314"/>
      <c r="AY259" s="1314"/>
      <c r="AZ259" s="1314"/>
      <c r="BA259" s="1314"/>
      <c r="BC259" s="1314"/>
      <c r="BE259" s="1314"/>
      <c r="BF259" s="1314"/>
      <c r="BG259" s="1314"/>
    </row>
    <row r="260" spans="18:59" x14ac:dyDescent="0.35">
      <c r="R260" s="1314"/>
      <c r="S260" s="1314"/>
      <c r="W260" s="1314"/>
      <c r="X260" s="1314"/>
      <c r="AE260" s="1314"/>
      <c r="AF260" s="1314"/>
      <c r="AV260" s="1314"/>
      <c r="AW260" s="1314"/>
      <c r="AX260" s="1314"/>
      <c r="AY260" s="1314"/>
      <c r="AZ260" s="1314"/>
      <c r="BA260" s="1314"/>
      <c r="BC260" s="1314"/>
      <c r="BE260" s="1314"/>
      <c r="BF260" s="1314"/>
      <c r="BG260" s="1314"/>
    </row>
    <row r="261" spans="18:59" x14ac:dyDescent="0.35">
      <c r="R261" s="1314"/>
      <c r="S261" s="1314"/>
      <c r="W261" s="1314"/>
      <c r="X261" s="1314"/>
      <c r="AE261" s="1314"/>
      <c r="AF261" s="1314"/>
      <c r="AV261" s="1314"/>
      <c r="AW261" s="1314"/>
      <c r="AX261" s="1314"/>
      <c r="AY261" s="1314"/>
      <c r="AZ261" s="1314"/>
      <c r="BA261" s="1314"/>
      <c r="BC261" s="1314"/>
      <c r="BE261" s="1314"/>
      <c r="BF261" s="1314"/>
      <c r="BG261" s="1314"/>
    </row>
    <row r="262" spans="18:59" x14ac:dyDescent="0.35">
      <c r="R262" s="1314"/>
      <c r="S262" s="1314"/>
      <c r="W262" s="1314"/>
      <c r="X262" s="1314"/>
      <c r="AE262" s="1314"/>
      <c r="AF262" s="1314"/>
      <c r="AV262" s="1314"/>
      <c r="AW262" s="1314"/>
      <c r="AX262" s="1314"/>
      <c r="AY262" s="1314"/>
      <c r="AZ262" s="1314"/>
      <c r="BA262" s="1314"/>
      <c r="BC262" s="1314"/>
      <c r="BE262" s="1314"/>
      <c r="BF262" s="1314"/>
      <c r="BG262" s="1314"/>
    </row>
    <row r="263" spans="18:59" x14ac:dyDescent="0.35">
      <c r="R263" s="1314"/>
      <c r="S263" s="1314"/>
      <c r="W263" s="1314"/>
      <c r="X263" s="1314"/>
      <c r="AE263" s="1314"/>
      <c r="AF263" s="1314"/>
      <c r="AV263" s="1314"/>
      <c r="AW263" s="1314"/>
      <c r="AX263" s="1314"/>
      <c r="AY263" s="1314"/>
      <c r="AZ263" s="1314"/>
      <c r="BA263" s="1314"/>
      <c r="BC263" s="1314"/>
      <c r="BE263" s="1314"/>
      <c r="BF263" s="1314"/>
      <c r="BG263" s="1314"/>
    </row>
    <row r="264" spans="18:59" x14ac:dyDescent="0.35">
      <c r="R264" s="1314"/>
      <c r="S264" s="1314"/>
      <c r="W264" s="1314"/>
      <c r="X264" s="1314"/>
      <c r="AE264" s="1314"/>
      <c r="AF264" s="1314"/>
      <c r="AV264" s="1314"/>
      <c r="AW264" s="1314"/>
      <c r="AX264" s="1314"/>
      <c r="AY264" s="1314"/>
      <c r="AZ264" s="1314"/>
      <c r="BA264" s="1314"/>
      <c r="BC264" s="1314"/>
      <c r="BE264" s="1314"/>
      <c r="BF264" s="1314"/>
      <c r="BG264" s="1314"/>
    </row>
    <row r="265" spans="18:59" x14ac:dyDescent="0.35">
      <c r="R265" s="1314"/>
      <c r="S265" s="1314"/>
      <c r="W265" s="1314"/>
      <c r="X265" s="1314"/>
      <c r="AE265" s="1314"/>
      <c r="AF265" s="1314"/>
      <c r="AV265" s="1314"/>
      <c r="AW265" s="1314"/>
      <c r="AX265" s="1314"/>
      <c r="AY265" s="1314"/>
      <c r="AZ265" s="1314"/>
      <c r="BA265" s="1314"/>
      <c r="BC265" s="1314"/>
      <c r="BE265" s="1314"/>
      <c r="BF265" s="1314"/>
      <c r="BG265" s="1314"/>
    </row>
    <row r="266" spans="18:59" x14ac:dyDescent="0.35">
      <c r="R266" s="1314"/>
      <c r="S266" s="1314"/>
      <c r="W266" s="1314"/>
      <c r="X266" s="1314"/>
      <c r="AE266" s="1314"/>
      <c r="AF266" s="1314"/>
      <c r="AV266" s="1314"/>
      <c r="AW266" s="1314"/>
      <c r="AX266" s="1314"/>
      <c r="AY266" s="1314"/>
      <c r="AZ266" s="1314"/>
      <c r="BA266" s="1314"/>
      <c r="BC266" s="1314"/>
      <c r="BE266" s="1314"/>
      <c r="BF266" s="1314"/>
      <c r="BG266" s="1314"/>
    </row>
    <row r="267" spans="18:59" x14ac:dyDescent="0.35">
      <c r="R267" s="1314"/>
      <c r="S267" s="1314"/>
      <c r="W267" s="1314"/>
      <c r="X267" s="1314"/>
      <c r="AE267" s="1314"/>
      <c r="AF267" s="1314"/>
      <c r="AV267" s="1314"/>
      <c r="AW267" s="1314"/>
      <c r="AX267" s="1314"/>
      <c r="AY267" s="1314"/>
      <c r="AZ267" s="1314"/>
      <c r="BA267" s="1314"/>
      <c r="BC267" s="1314"/>
      <c r="BE267" s="1314"/>
      <c r="BF267" s="1314"/>
      <c r="BG267" s="1314"/>
    </row>
    <row r="268" spans="18:59" x14ac:dyDescent="0.35">
      <c r="R268" s="1314"/>
      <c r="S268" s="1314"/>
      <c r="W268" s="1314"/>
      <c r="X268" s="1314"/>
      <c r="AE268" s="1314"/>
      <c r="AF268" s="1314"/>
      <c r="AV268" s="1314"/>
      <c r="AW268" s="1314"/>
      <c r="AX268" s="1314"/>
      <c r="AY268" s="1314"/>
      <c r="AZ268" s="1314"/>
      <c r="BA268" s="1314"/>
      <c r="BC268" s="1314"/>
      <c r="BE268" s="1314"/>
      <c r="BF268" s="1314"/>
      <c r="BG268" s="1314"/>
    </row>
    <row r="269" spans="18:59" x14ac:dyDescent="0.35">
      <c r="R269" s="1314"/>
      <c r="S269" s="1314"/>
      <c r="W269" s="1314"/>
      <c r="X269" s="1314"/>
      <c r="AE269" s="1314"/>
      <c r="AF269" s="1314"/>
      <c r="AV269" s="1314"/>
      <c r="AW269" s="1314"/>
      <c r="AX269" s="1314"/>
      <c r="AY269" s="1314"/>
      <c r="AZ269" s="1314"/>
      <c r="BA269" s="1314"/>
      <c r="BC269" s="1314"/>
      <c r="BE269" s="1314"/>
      <c r="BF269" s="1314"/>
      <c r="BG269" s="1314"/>
    </row>
    <row r="270" spans="18:59" x14ac:dyDescent="0.35">
      <c r="R270" s="1314"/>
      <c r="S270" s="1314"/>
      <c r="W270" s="1314"/>
      <c r="X270" s="1314"/>
      <c r="AE270" s="1314"/>
      <c r="AF270" s="1314"/>
      <c r="AV270" s="1314"/>
      <c r="AW270" s="1314"/>
      <c r="AX270" s="1314"/>
      <c r="AY270" s="1314"/>
      <c r="AZ270" s="1314"/>
      <c r="BA270" s="1314"/>
      <c r="BC270" s="1314"/>
      <c r="BE270" s="1314"/>
      <c r="BF270" s="1314"/>
      <c r="BG270" s="1314"/>
    </row>
    <row r="271" spans="18:59" x14ac:dyDescent="0.35">
      <c r="R271" s="1314"/>
      <c r="S271" s="1314"/>
      <c r="W271" s="1314"/>
      <c r="X271" s="1314"/>
      <c r="AE271" s="1314"/>
      <c r="AF271" s="1314"/>
      <c r="AV271" s="1314"/>
      <c r="AW271" s="1314"/>
      <c r="AX271" s="1314"/>
      <c r="AY271" s="1314"/>
      <c r="AZ271" s="1314"/>
      <c r="BA271" s="1314"/>
      <c r="BC271" s="1314"/>
      <c r="BE271" s="1314"/>
      <c r="BF271" s="1314"/>
      <c r="BG271" s="1314"/>
    </row>
    <row r="272" spans="18:59" x14ac:dyDescent="0.35">
      <c r="R272" s="1314"/>
      <c r="S272" s="1314"/>
      <c r="W272" s="1314"/>
      <c r="X272" s="1314"/>
      <c r="AE272" s="1314"/>
      <c r="AF272" s="1314"/>
      <c r="AV272" s="1314"/>
      <c r="AW272" s="1314"/>
      <c r="AX272" s="1314"/>
      <c r="AY272" s="1314"/>
      <c r="AZ272" s="1314"/>
      <c r="BA272" s="1314"/>
      <c r="BC272" s="1314"/>
      <c r="BE272" s="1314"/>
      <c r="BF272" s="1314"/>
      <c r="BG272" s="1314"/>
    </row>
    <row r="273" spans="18:59" x14ac:dyDescent="0.35">
      <c r="R273" s="1314"/>
      <c r="S273" s="1314"/>
      <c r="W273" s="1314"/>
      <c r="X273" s="1314"/>
      <c r="AE273" s="1314"/>
      <c r="AF273" s="1314"/>
      <c r="AV273" s="1314"/>
      <c r="AW273" s="1314"/>
      <c r="AX273" s="1314"/>
      <c r="AY273" s="1314"/>
      <c r="AZ273" s="1314"/>
      <c r="BA273" s="1314"/>
      <c r="BC273" s="1314"/>
      <c r="BE273" s="1314"/>
      <c r="BF273" s="1314"/>
      <c r="BG273" s="1314"/>
    </row>
    <row r="274" spans="18:59" x14ac:dyDescent="0.35">
      <c r="R274" s="1314"/>
      <c r="S274" s="1314"/>
      <c r="W274" s="1314"/>
      <c r="X274" s="1314"/>
      <c r="AE274" s="1314"/>
      <c r="AF274" s="1314"/>
      <c r="AV274" s="1314"/>
      <c r="AW274" s="1314"/>
      <c r="AX274" s="1314"/>
      <c r="AY274" s="1314"/>
      <c r="AZ274" s="1314"/>
      <c r="BA274" s="1314"/>
      <c r="BC274" s="1314"/>
      <c r="BE274" s="1314"/>
      <c r="BF274" s="1314"/>
      <c r="BG274" s="1314"/>
    </row>
    <row r="275" spans="18:59" x14ac:dyDescent="0.35">
      <c r="R275" s="1314"/>
      <c r="S275" s="1314"/>
      <c r="W275" s="1314"/>
      <c r="X275" s="1314"/>
      <c r="AE275" s="1314"/>
      <c r="AF275" s="1314"/>
      <c r="AV275" s="1314"/>
      <c r="AW275" s="1314"/>
      <c r="AX275" s="1314"/>
      <c r="AY275" s="1314"/>
      <c r="AZ275" s="1314"/>
      <c r="BA275" s="1314"/>
      <c r="BC275" s="1314"/>
      <c r="BE275" s="1314"/>
      <c r="BF275" s="1314"/>
      <c r="BG275" s="1314"/>
    </row>
    <row r="276" spans="18:59" x14ac:dyDescent="0.35">
      <c r="R276" s="1314"/>
      <c r="S276" s="1314"/>
      <c r="W276" s="1314"/>
      <c r="X276" s="1314"/>
      <c r="AE276" s="1314"/>
      <c r="AF276" s="1314"/>
      <c r="AV276" s="1314"/>
      <c r="AW276" s="1314"/>
      <c r="AX276" s="1314"/>
      <c r="AY276" s="1314"/>
      <c r="AZ276" s="1314"/>
      <c r="BA276" s="1314"/>
      <c r="BC276" s="1314"/>
      <c r="BE276" s="1314"/>
      <c r="BF276" s="1314"/>
      <c r="BG276" s="1314"/>
    </row>
    <row r="277" spans="18:59" x14ac:dyDescent="0.35">
      <c r="R277" s="1314"/>
      <c r="S277" s="1314"/>
      <c r="W277" s="1314"/>
      <c r="X277" s="1314"/>
      <c r="AE277" s="1314"/>
      <c r="AF277" s="1314"/>
      <c r="AV277" s="1314"/>
      <c r="AW277" s="1314"/>
      <c r="AX277" s="1314"/>
      <c r="AY277" s="1314"/>
      <c r="AZ277" s="1314"/>
      <c r="BA277" s="1314"/>
      <c r="BC277" s="1314"/>
      <c r="BE277" s="1314"/>
      <c r="BF277" s="1314"/>
      <c r="BG277" s="1314"/>
    </row>
    <row r="278" spans="18:59" x14ac:dyDescent="0.35">
      <c r="R278" s="1314"/>
      <c r="S278" s="1314"/>
      <c r="W278" s="1314"/>
      <c r="X278" s="1314"/>
      <c r="AE278" s="1314"/>
      <c r="AF278" s="1314"/>
      <c r="AV278" s="1314"/>
      <c r="AW278" s="1314"/>
      <c r="AX278" s="1314"/>
      <c r="AY278" s="1314"/>
      <c r="AZ278" s="1314"/>
      <c r="BA278" s="1314"/>
      <c r="BC278" s="1314"/>
      <c r="BE278" s="1314"/>
      <c r="BF278" s="1314"/>
      <c r="BG278" s="1314"/>
    </row>
    <row r="279" spans="18:59" x14ac:dyDescent="0.35">
      <c r="R279" s="1314"/>
      <c r="S279" s="1314"/>
      <c r="W279" s="1314"/>
      <c r="X279" s="1314"/>
      <c r="AE279" s="1314"/>
      <c r="AF279" s="1314"/>
      <c r="AV279" s="1314"/>
      <c r="AW279" s="1314"/>
      <c r="AX279" s="1314"/>
      <c r="AY279" s="1314"/>
      <c r="AZ279" s="1314"/>
      <c r="BA279" s="1314"/>
      <c r="BC279" s="1314"/>
      <c r="BE279" s="1314"/>
      <c r="BF279" s="1314"/>
      <c r="BG279" s="1314"/>
    </row>
    <row r="280" spans="18:59" x14ac:dyDescent="0.35">
      <c r="R280" s="1314"/>
      <c r="S280" s="1314"/>
      <c r="W280" s="1314"/>
      <c r="X280" s="1314"/>
      <c r="AE280" s="1314"/>
      <c r="AF280" s="1314"/>
      <c r="AV280" s="1314"/>
      <c r="AW280" s="1314"/>
      <c r="AX280" s="1314"/>
      <c r="AY280" s="1314"/>
      <c r="AZ280" s="1314"/>
      <c r="BA280" s="1314"/>
      <c r="BC280" s="1314"/>
      <c r="BE280" s="1314"/>
      <c r="BF280" s="1314"/>
      <c r="BG280" s="1314"/>
    </row>
    <row r="281" spans="18:59" x14ac:dyDescent="0.35">
      <c r="R281" s="1314"/>
      <c r="S281" s="1314"/>
      <c r="W281" s="1314"/>
      <c r="X281" s="1314"/>
      <c r="AE281" s="1314"/>
      <c r="AF281" s="1314"/>
      <c r="AV281" s="1314"/>
      <c r="AW281" s="1314"/>
      <c r="AX281" s="1314"/>
      <c r="AY281" s="1314"/>
      <c r="AZ281" s="1314"/>
      <c r="BA281" s="1314"/>
      <c r="BC281" s="1314"/>
      <c r="BE281" s="1314"/>
      <c r="BF281" s="1314"/>
      <c r="BG281" s="1314"/>
    </row>
    <row r="282" spans="18:59" x14ac:dyDescent="0.35">
      <c r="R282" s="1314"/>
      <c r="S282" s="1314"/>
      <c r="W282" s="1314"/>
      <c r="X282" s="1314"/>
      <c r="AE282" s="1314"/>
      <c r="AF282" s="1314"/>
      <c r="AV282" s="1314"/>
      <c r="AW282" s="1314"/>
      <c r="AX282" s="1314"/>
      <c r="AY282" s="1314"/>
      <c r="AZ282" s="1314"/>
      <c r="BA282" s="1314"/>
      <c r="BC282" s="1314"/>
      <c r="BE282" s="1314"/>
      <c r="BF282" s="1314"/>
      <c r="BG282" s="1314"/>
    </row>
    <row r="283" spans="18:59" x14ac:dyDescent="0.35">
      <c r="R283" s="1314"/>
      <c r="S283" s="1314"/>
      <c r="W283" s="1314"/>
      <c r="X283" s="1314"/>
      <c r="AE283" s="1314"/>
      <c r="AF283" s="1314"/>
      <c r="AV283" s="1314"/>
      <c r="AW283" s="1314"/>
      <c r="AX283" s="1314"/>
      <c r="AY283" s="1314"/>
      <c r="AZ283" s="1314"/>
      <c r="BA283" s="1314"/>
      <c r="BC283" s="1314"/>
      <c r="BE283" s="1314"/>
      <c r="BF283" s="1314"/>
      <c r="BG283" s="1314"/>
    </row>
    <row r="284" spans="18:59" x14ac:dyDescent="0.35">
      <c r="R284" s="1314"/>
      <c r="S284" s="1314"/>
      <c r="W284" s="1314"/>
      <c r="X284" s="1314"/>
      <c r="AE284" s="1314"/>
      <c r="AF284" s="1314"/>
      <c r="AV284" s="1314"/>
      <c r="AW284" s="1314"/>
      <c r="AX284" s="1314"/>
      <c r="AY284" s="1314"/>
      <c r="AZ284" s="1314"/>
      <c r="BA284" s="1314"/>
      <c r="BC284" s="1314"/>
      <c r="BE284" s="1314"/>
      <c r="BF284" s="1314"/>
      <c r="BG284" s="1314"/>
    </row>
    <row r="285" spans="18:59" x14ac:dyDescent="0.35">
      <c r="R285" s="1314"/>
      <c r="S285" s="1314"/>
      <c r="W285" s="1314"/>
      <c r="X285" s="1314"/>
      <c r="AE285" s="1314"/>
      <c r="AF285" s="1314"/>
      <c r="AV285" s="1314"/>
      <c r="AW285" s="1314"/>
      <c r="AX285" s="1314"/>
      <c r="AY285" s="1314"/>
      <c r="AZ285" s="1314"/>
      <c r="BA285" s="1314"/>
      <c r="BC285" s="1314"/>
      <c r="BE285" s="1314"/>
      <c r="BF285" s="1314"/>
      <c r="BG285" s="1314"/>
    </row>
    <row r="286" spans="18:59" x14ac:dyDescent="0.35">
      <c r="R286" s="1314"/>
      <c r="S286" s="1314"/>
      <c r="W286" s="1314"/>
      <c r="X286" s="1314"/>
      <c r="AE286" s="1314"/>
      <c r="AF286" s="1314"/>
      <c r="AV286" s="1314"/>
      <c r="AW286" s="1314"/>
      <c r="AX286" s="1314"/>
      <c r="AY286" s="1314"/>
      <c r="AZ286" s="1314"/>
      <c r="BA286" s="1314"/>
      <c r="BC286" s="1314"/>
      <c r="BE286" s="1314"/>
      <c r="BF286" s="1314"/>
      <c r="BG286" s="1314"/>
    </row>
    <row r="287" spans="18:59" x14ac:dyDescent="0.35">
      <c r="R287" s="1314"/>
      <c r="S287" s="1314"/>
      <c r="W287" s="1314"/>
      <c r="X287" s="1314"/>
      <c r="AE287" s="1314"/>
      <c r="AF287" s="1314"/>
      <c r="AV287" s="1314"/>
      <c r="AW287" s="1314"/>
      <c r="AX287" s="1314"/>
      <c r="AY287" s="1314"/>
      <c r="AZ287" s="1314"/>
      <c r="BA287" s="1314"/>
      <c r="BC287" s="1314"/>
      <c r="BE287" s="1314"/>
      <c r="BF287" s="1314"/>
      <c r="BG287" s="1314"/>
    </row>
    <row r="288" spans="18:59" x14ac:dyDescent="0.35">
      <c r="R288" s="1314"/>
      <c r="S288" s="1314"/>
      <c r="W288" s="1314"/>
      <c r="X288" s="1314"/>
      <c r="AE288" s="1314"/>
      <c r="AF288" s="1314"/>
      <c r="AV288" s="1314"/>
      <c r="AW288" s="1314"/>
      <c r="AX288" s="1314"/>
      <c r="AY288" s="1314"/>
      <c r="AZ288" s="1314"/>
      <c r="BA288" s="1314"/>
      <c r="BC288" s="1314"/>
      <c r="BE288" s="1314"/>
      <c r="BF288" s="1314"/>
      <c r="BG288" s="1314"/>
    </row>
    <row r="289" spans="18:59" x14ac:dyDescent="0.35">
      <c r="R289" s="1314"/>
      <c r="S289" s="1314"/>
      <c r="W289" s="1314"/>
      <c r="X289" s="1314"/>
      <c r="AE289" s="1314"/>
      <c r="AF289" s="1314"/>
      <c r="AV289" s="1314"/>
      <c r="AW289" s="1314"/>
      <c r="AX289" s="1314"/>
      <c r="AY289" s="1314"/>
      <c r="AZ289" s="1314"/>
      <c r="BA289" s="1314"/>
      <c r="BC289" s="1314"/>
      <c r="BE289" s="1314"/>
      <c r="BF289" s="1314"/>
      <c r="BG289" s="1314"/>
    </row>
    <row r="290" spans="18:59" x14ac:dyDescent="0.35">
      <c r="R290" s="1314"/>
      <c r="S290" s="1314"/>
      <c r="W290" s="1314"/>
      <c r="X290" s="1314"/>
      <c r="AE290" s="1314"/>
      <c r="AF290" s="1314"/>
      <c r="AV290" s="1314"/>
      <c r="AW290" s="1314"/>
      <c r="AX290" s="1314"/>
      <c r="AY290" s="1314"/>
      <c r="AZ290" s="1314"/>
      <c r="BA290" s="1314"/>
      <c r="BC290" s="1314"/>
      <c r="BE290" s="1314"/>
      <c r="BF290" s="1314"/>
      <c r="BG290" s="1314"/>
    </row>
    <row r="291" spans="18:59" x14ac:dyDescent="0.35">
      <c r="R291" s="1314"/>
      <c r="S291" s="1314"/>
      <c r="W291" s="1314"/>
      <c r="X291" s="1314"/>
      <c r="AE291" s="1314"/>
      <c r="AF291" s="1314"/>
      <c r="AV291" s="1314"/>
      <c r="AW291" s="1314"/>
      <c r="AX291" s="1314"/>
      <c r="AY291" s="1314"/>
      <c r="AZ291" s="1314"/>
      <c r="BA291" s="1314"/>
      <c r="BC291" s="1314"/>
      <c r="BE291" s="1314"/>
      <c r="BF291" s="1314"/>
      <c r="BG291" s="1314"/>
    </row>
    <row r="292" spans="18:59" x14ac:dyDescent="0.35">
      <c r="R292" s="1314"/>
      <c r="S292" s="1314"/>
      <c r="W292" s="1314"/>
      <c r="X292" s="1314"/>
      <c r="AE292" s="1314"/>
      <c r="AF292" s="1314"/>
      <c r="AV292" s="1314"/>
      <c r="AW292" s="1314"/>
      <c r="AX292" s="1314"/>
      <c r="AY292" s="1314"/>
      <c r="AZ292" s="1314"/>
      <c r="BA292" s="1314"/>
      <c r="BC292" s="1314"/>
      <c r="BE292" s="1314"/>
      <c r="BF292" s="1314"/>
      <c r="BG292" s="1314"/>
    </row>
    <row r="293" spans="18:59" x14ac:dyDescent="0.35">
      <c r="R293" s="1314"/>
      <c r="S293" s="1314"/>
      <c r="W293" s="1314"/>
      <c r="X293" s="1314"/>
      <c r="AE293" s="1314"/>
      <c r="AF293" s="1314"/>
      <c r="AV293" s="1314"/>
      <c r="AW293" s="1314"/>
      <c r="AX293" s="1314"/>
      <c r="AY293" s="1314"/>
      <c r="AZ293" s="1314"/>
      <c r="BA293" s="1314"/>
      <c r="BC293" s="1314"/>
      <c r="BE293" s="1314"/>
      <c r="BF293" s="1314"/>
      <c r="BG293" s="1314"/>
    </row>
    <row r="294" spans="18:59" x14ac:dyDescent="0.35">
      <c r="R294" s="1314"/>
      <c r="S294" s="1314"/>
      <c r="W294" s="1314"/>
      <c r="X294" s="1314"/>
      <c r="AE294" s="1314"/>
      <c r="AF294" s="1314"/>
      <c r="AV294" s="1314"/>
      <c r="AW294" s="1314"/>
      <c r="AX294" s="1314"/>
      <c r="AY294" s="1314"/>
      <c r="AZ294" s="1314"/>
      <c r="BA294" s="1314"/>
      <c r="BC294" s="1314"/>
      <c r="BE294" s="1314"/>
      <c r="BF294" s="1314"/>
      <c r="BG294" s="1314"/>
    </row>
    <row r="295" spans="18:59" x14ac:dyDescent="0.35">
      <c r="R295" s="1314"/>
      <c r="S295" s="1314"/>
      <c r="W295" s="1314"/>
      <c r="X295" s="1314"/>
      <c r="AE295" s="1314"/>
      <c r="AF295" s="1314"/>
      <c r="AV295" s="1314"/>
      <c r="AW295" s="1314"/>
      <c r="AX295" s="1314"/>
      <c r="AY295" s="1314"/>
      <c r="AZ295" s="1314"/>
      <c r="BA295" s="1314"/>
      <c r="BC295" s="1314"/>
      <c r="BE295" s="1314"/>
      <c r="BF295" s="1314"/>
      <c r="BG295" s="1314"/>
    </row>
    <row r="296" spans="18:59" x14ac:dyDescent="0.35">
      <c r="R296" s="1314"/>
      <c r="S296" s="1314"/>
      <c r="W296" s="1314"/>
      <c r="X296" s="1314"/>
      <c r="AE296" s="1314"/>
      <c r="AF296" s="1314"/>
      <c r="AV296" s="1314"/>
      <c r="AW296" s="1314"/>
      <c r="AX296" s="1314"/>
      <c r="AY296" s="1314"/>
      <c r="AZ296" s="1314"/>
      <c r="BA296" s="1314"/>
      <c r="BC296" s="1314"/>
      <c r="BE296" s="1314"/>
      <c r="BF296" s="1314"/>
      <c r="BG296" s="1314"/>
    </row>
    <row r="297" spans="18:59" x14ac:dyDescent="0.35">
      <c r="R297" s="1314"/>
      <c r="S297" s="1314"/>
      <c r="W297" s="1314"/>
      <c r="X297" s="1314"/>
      <c r="AE297" s="1314"/>
      <c r="AF297" s="1314"/>
      <c r="AV297" s="1314"/>
      <c r="AW297" s="1314"/>
      <c r="AX297" s="1314"/>
      <c r="AY297" s="1314"/>
      <c r="AZ297" s="1314"/>
      <c r="BA297" s="1314"/>
      <c r="BC297" s="1314"/>
      <c r="BE297" s="1314"/>
      <c r="BF297" s="1314"/>
      <c r="BG297" s="1314"/>
    </row>
    <row r="298" spans="18:59" x14ac:dyDescent="0.35">
      <c r="R298" s="1314"/>
      <c r="S298" s="1314"/>
      <c r="W298" s="1314"/>
      <c r="X298" s="1314"/>
      <c r="AE298" s="1314"/>
      <c r="AF298" s="1314"/>
      <c r="AV298" s="1314"/>
      <c r="AW298" s="1314"/>
      <c r="AX298" s="1314"/>
      <c r="AY298" s="1314"/>
      <c r="AZ298" s="1314"/>
      <c r="BA298" s="1314"/>
      <c r="BC298" s="1314"/>
      <c r="BE298" s="1314"/>
      <c r="BF298" s="1314"/>
      <c r="BG298" s="1314"/>
    </row>
    <row r="299" spans="18:59" x14ac:dyDescent="0.35">
      <c r="R299" s="1314"/>
      <c r="S299" s="1314"/>
      <c r="W299" s="1314"/>
      <c r="X299" s="1314"/>
      <c r="AE299" s="1314"/>
      <c r="AF299" s="1314"/>
      <c r="AV299" s="1314"/>
      <c r="AW299" s="1314"/>
      <c r="AX299" s="1314"/>
      <c r="AY299" s="1314"/>
      <c r="AZ299" s="1314"/>
      <c r="BA299" s="1314"/>
      <c r="BC299" s="1314"/>
      <c r="BE299" s="1314"/>
      <c r="BF299" s="1314"/>
      <c r="BG299" s="1314"/>
    </row>
    <row r="300" spans="18:59" x14ac:dyDescent="0.35">
      <c r="R300" s="1314"/>
      <c r="S300" s="1314"/>
      <c r="W300" s="1314"/>
      <c r="X300" s="1314"/>
      <c r="AE300" s="1314"/>
      <c r="AF300" s="1314"/>
      <c r="AV300" s="1314"/>
      <c r="AW300" s="1314"/>
      <c r="AX300" s="1314"/>
      <c r="AY300" s="1314"/>
      <c r="AZ300" s="1314"/>
      <c r="BA300" s="1314"/>
      <c r="BC300" s="1314"/>
      <c r="BE300" s="1314"/>
      <c r="BF300" s="1314"/>
      <c r="BG300" s="1314"/>
    </row>
    <row r="301" spans="18:59" x14ac:dyDescent="0.35">
      <c r="R301" s="1314"/>
      <c r="S301" s="1314"/>
      <c r="W301" s="1314"/>
      <c r="X301" s="1314"/>
      <c r="AE301" s="1314"/>
      <c r="AF301" s="1314"/>
      <c r="AV301" s="1314"/>
      <c r="AW301" s="1314"/>
      <c r="AX301" s="1314"/>
      <c r="AY301" s="1314"/>
      <c r="AZ301" s="1314"/>
      <c r="BA301" s="1314"/>
      <c r="BC301" s="1314"/>
      <c r="BE301" s="1314"/>
      <c r="BF301" s="1314"/>
      <c r="BG301" s="1314"/>
    </row>
    <row r="302" spans="18:59" x14ac:dyDescent="0.35">
      <c r="R302" s="1314"/>
      <c r="S302" s="1314"/>
      <c r="W302" s="1314"/>
      <c r="X302" s="1314"/>
      <c r="AE302" s="1314"/>
      <c r="AF302" s="1314"/>
      <c r="AV302" s="1314"/>
      <c r="AW302" s="1314"/>
      <c r="AX302" s="1314"/>
      <c r="AY302" s="1314"/>
      <c r="AZ302" s="1314"/>
      <c r="BA302" s="1314"/>
      <c r="BC302" s="1314"/>
      <c r="BE302" s="1314"/>
      <c r="BF302" s="1314"/>
      <c r="BG302" s="1314"/>
    </row>
    <row r="303" spans="18:59" x14ac:dyDescent="0.35">
      <c r="R303" s="1314"/>
      <c r="S303" s="1314"/>
      <c r="W303" s="1314"/>
      <c r="X303" s="1314"/>
      <c r="AE303" s="1314"/>
      <c r="AF303" s="1314"/>
      <c r="AV303" s="1314"/>
      <c r="AW303" s="1314"/>
      <c r="AX303" s="1314"/>
      <c r="AY303" s="1314"/>
      <c r="AZ303" s="1314"/>
      <c r="BA303" s="1314"/>
      <c r="BC303" s="1314"/>
      <c r="BE303" s="1314"/>
      <c r="BF303" s="1314"/>
      <c r="BG303" s="1314"/>
    </row>
    <row r="304" spans="18:59" x14ac:dyDescent="0.35">
      <c r="R304" s="1314"/>
      <c r="S304" s="1314"/>
      <c r="W304" s="1314"/>
      <c r="X304" s="1314"/>
      <c r="AE304" s="1314"/>
      <c r="AF304" s="1314"/>
      <c r="AV304" s="1314"/>
      <c r="AW304" s="1314"/>
      <c r="AX304" s="1314"/>
      <c r="AY304" s="1314"/>
      <c r="AZ304" s="1314"/>
      <c r="BA304" s="1314"/>
      <c r="BC304" s="1314"/>
      <c r="BE304" s="1314"/>
      <c r="BF304" s="1314"/>
      <c r="BG304" s="1314"/>
    </row>
    <row r="305" spans="18:59" x14ac:dyDescent="0.35">
      <c r="R305" s="1314"/>
      <c r="S305" s="1314"/>
      <c r="W305" s="1314"/>
      <c r="X305" s="1314"/>
      <c r="AE305" s="1314"/>
      <c r="AF305" s="1314"/>
      <c r="AV305" s="1314"/>
      <c r="AW305" s="1314"/>
      <c r="AX305" s="1314"/>
      <c r="AY305" s="1314"/>
      <c r="AZ305" s="1314"/>
      <c r="BA305" s="1314"/>
      <c r="BC305" s="1314"/>
      <c r="BE305" s="1314"/>
      <c r="BF305" s="1314"/>
      <c r="BG305" s="1314"/>
    </row>
    <row r="306" spans="18:59" x14ac:dyDescent="0.35">
      <c r="R306" s="1314"/>
      <c r="S306" s="1314"/>
      <c r="W306" s="1314"/>
      <c r="X306" s="1314"/>
      <c r="AE306" s="1314"/>
      <c r="AF306" s="1314"/>
      <c r="AV306" s="1314"/>
      <c r="AW306" s="1314"/>
      <c r="AX306" s="1314"/>
      <c r="AY306" s="1314"/>
      <c r="AZ306" s="1314"/>
      <c r="BA306" s="1314"/>
      <c r="BC306" s="1314"/>
      <c r="BE306" s="1314"/>
      <c r="BF306" s="1314"/>
      <c r="BG306" s="1314"/>
    </row>
    <row r="307" spans="18:59" x14ac:dyDescent="0.35">
      <c r="R307" s="1314"/>
      <c r="S307" s="1314"/>
      <c r="W307" s="1314"/>
      <c r="X307" s="1314"/>
      <c r="AE307" s="1314"/>
      <c r="AF307" s="1314"/>
      <c r="AV307" s="1314"/>
      <c r="AW307" s="1314"/>
      <c r="AX307" s="1314"/>
      <c r="AY307" s="1314"/>
      <c r="AZ307" s="1314"/>
      <c r="BA307" s="1314"/>
      <c r="BC307" s="1314"/>
      <c r="BE307" s="1314"/>
      <c r="BF307" s="1314"/>
      <c r="BG307" s="1314"/>
    </row>
    <row r="308" spans="18:59" x14ac:dyDescent="0.35">
      <c r="R308" s="1314"/>
      <c r="S308" s="1314"/>
      <c r="W308" s="1314"/>
      <c r="X308" s="1314"/>
      <c r="AE308" s="1314"/>
      <c r="AF308" s="1314"/>
      <c r="AV308" s="1314"/>
      <c r="AW308" s="1314"/>
      <c r="AX308" s="1314"/>
      <c r="AY308" s="1314"/>
      <c r="AZ308" s="1314"/>
      <c r="BA308" s="1314"/>
      <c r="BC308" s="1314"/>
      <c r="BE308" s="1314"/>
      <c r="BF308" s="1314"/>
      <c r="BG308" s="1314"/>
    </row>
    <row r="309" spans="18:59" x14ac:dyDescent="0.35">
      <c r="R309" s="1314"/>
      <c r="S309" s="1314"/>
      <c r="W309" s="1314"/>
      <c r="X309" s="1314"/>
      <c r="AE309" s="1314"/>
      <c r="AF309" s="1314"/>
      <c r="AV309" s="1314"/>
      <c r="AW309" s="1314"/>
      <c r="AX309" s="1314"/>
      <c r="AY309" s="1314"/>
      <c r="AZ309" s="1314"/>
      <c r="BA309" s="1314"/>
      <c r="BC309" s="1314"/>
      <c r="BE309" s="1314"/>
      <c r="BF309" s="1314"/>
      <c r="BG309" s="1314"/>
    </row>
    <row r="310" spans="18:59" x14ac:dyDescent="0.35">
      <c r="R310" s="1314"/>
      <c r="S310" s="1314"/>
      <c r="W310" s="1314"/>
      <c r="X310" s="1314"/>
      <c r="AE310" s="1314"/>
      <c r="AF310" s="1314"/>
      <c r="AV310" s="1314"/>
      <c r="AW310" s="1314"/>
      <c r="AX310" s="1314"/>
      <c r="AY310" s="1314"/>
      <c r="AZ310" s="1314"/>
      <c r="BA310" s="1314"/>
      <c r="BC310" s="1314"/>
      <c r="BE310" s="1314"/>
      <c r="BF310" s="1314"/>
      <c r="BG310" s="1314"/>
    </row>
    <row r="311" spans="18:59" x14ac:dyDescent="0.35">
      <c r="R311" s="1314"/>
      <c r="S311" s="1314"/>
      <c r="W311" s="1314"/>
      <c r="X311" s="1314"/>
      <c r="AE311" s="1314"/>
      <c r="AF311" s="1314"/>
      <c r="AV311" s="1314"/>
      <c r="AW311" s="1314"/>
      <c r="AX311" s="1314"/>
      <c r="AY311" s="1314"/>
      <c r="AZ311" s="1314"/>
      <c r="BA311" s="1314"/>
      <c r="BC311" s="1314"/>
      <c r="BE311" s="1314"/>
      <c r="BF311" s="1314"/>
      <c r="BG311" s="1314"/>
    </row>
    <row r="312" spans="18:59" x14ac:dyDescent="0.35">
      <c r="R312" s="1314"/>
      <c r="S312" s="1314"/>
      <c r="W312" s="1314"/>
      <c r="X312" s="1314"/>
      <c r="AE312" s="1314"/>
      <c r="AF312" s="1314"/>
      <c r="AV312" s="1314"/>
      <c r="AW312" s="1314"/>
      <c r="AX312" s="1314"/>
      <c r="AY312" s="1314"/>
      <c r="AZ312" s="1314"/>
      <c r="BA312" s="1314"/>
      <c r="BC312" s="1314"/>
      <c r="BE312" s="1314"/>
      <c r="BF312" s="1314"/>
      <c r="BG312" s="1314"/>
    </row>
    <row r="313" spans="18:59" x14ac:dyDescent="0.35">
      <c r="R313" s="1314"/>
      <c r="S313" s="1314"/>
      <c r="W313" s="1314"/>
      <c r="X313" s="1314"/>
      <c r="AE313" s="1314"/>
      <c r="AF313" s="1314"/>
      <c r="AV313" s="1314"/>
      <c r="AW313" s="1314"/>
      <c r="AX313" s="1314"/>
      <c r="AY313" s="1314"/>
      <c r="AZ313" s="1314"/>
      <c r="BA313" s="1314"/>
      <c r="BC313" s="1314"/>
      <c r="BE313" s="1314"/>
      <c r="BF313" s="1314"/>
      <c r="BG313" s="1314"/>
    </row>
    <row r="314" spans="18:59" x14ac:dyDescent="0.35">
      <c r="R314" s="1314"/>
      <c r="S314" s="1314"/>
      <c r="W314" s="1314"/>
      <c r="X314" s="1314"/>
      <c r="AE314" s="1314"/>
      <c r="AF314" s="1314"/>
      <c r="AV314" s="1314"/>
      <c r="AW314" s="1314"/>
      <c r="AX314" s="1314"/>
      <c r="AY314" s="1314"/>
      <c r="AZ314" s="1314"/>
      <c r="BA314" s="1314"/>
      <c r="BC314" s="1314"/>
      <c r="BE314" s="1314"/>
      <c r="BF314" s="1314"/>
      <c r="BG314" s="1314"/>
    </row>
    <row r="315" spans="18:59" x14ac:dyDescent="0.35">
      <c r="R315" s="1314"/>
      <c r="S315" s="1314"/>
      <c r="W315" s="1314"/>
      <c r="X315" s="1314"/>
      <c r="AE315" s="1314"/>
      <c r="AF315" s="1314"/>
      <c r="AV315" s="1314"/>
      <c r="AW315" s="1314"/>
      <c r="AX315" s="1314"/>
      <c r="AY315" s="1314"/>
      <c r="AZ315" s="1314"/>
      <c r="BA315" s="1314"/>
      <c r="BC315" s="1314"/>
      <c r="BE315" s="1314"/>
      <c r="BF315" s="1314"/>
      <c r="BG315" s="1314"/>
    </row>
    <row r="316" spans="18:59" x14ac:dyDescent="0.35">
      <c r="R316" s="1314"/>
      <c r="S316" s="1314"/>
      <c r="W316" s="1314"/>
      <c r="X316" s="1314"/>
      <c r="AE316" s="1314"/>
      <c r="AF316" s="1314"/>
      <c r="AV316" s="1314"/>
      <c r="AW316" s="1314"/>
      <c r="AX316" s="1314"/>
      <c r="AY316" s="1314"/>
      <c r="AZ316" s="1314"/>
      <c r="BA316" s="1314"/>
      <c r="BC316" s="1314"/>
      <c r="BE316" s="1314"/>
      <c r="BF316" s="1314"/>
      <c r="BG316" s="1314"/>
    </row>
    <row r="317" spans="18:59" x14ac:dyDescent="0.35">
      <c r="R317" s="1314"/>
      <c r="S317" s="1314"/>
      <c r="W317" s="1314"/>
      <c r="X317" s="1314"/>
      <c r="AE317" s="1314"/>
      <c r="AF317" s="1314"/>
      <c r="AV317" s="1314"/>
      <c r="AW317" s="1314"/>
      <c r="AX317" s="1314"/>
      <c r="AY317" s="1314"/>
      <c r="AZ317" s="1314"/>
      <c r="BA317" s="1314"/>
      <c r="BC317" s="1314"/>
      <c r="BE317" s="1314"/>
      <c r="BF317" s="1314"/>
      <c r="BG317" s="1314"/>
    </row>
    <row r="318" spans="18:59" x14ac:dyDescent="0.35">
      <c r="R318" s="1314"/>
      <c r="S318" s="1314"/>
      <c r="W318" s="1314"/>
      <c r="X318" s="1314"/>
      <c r="AE318" s="1314"/>
      <c r="AF318" s="1314"/>
      <c r="AV318" s="1314"/>
      <c r="AW318" s="1314"/>
      <c r="AX318" s="1314"/>
      <c r="AY318" s="1314"/>
      <c r="AZ318" s="1314"/>
      <c r="BA318" s="1314"/>
      <c r="BC318" s="1314"/>
      <c r="BE318" s="1314"/>
      <c r="BF318" s="1314"/>
      <c r="BG318" s="1314"/>
    </row>
    <row r="319" spans="18:59" x14ac:dyDescent="0.35">
      <c r="R319" s="1314"/>
      <c r="S319" s="1314"/>
      <c r="W319" s="1314"/>
      <c r="X319" s="1314"/>
      <c r="AE319" s="1314"/>
      <c r="AF319" s="1314"/>
      <c r="AV319" s="1314"/>
      <c r="AW319" s="1314"/>
      <c r="AX319" s="1314"/>
      <c r="AY319" s="1314"/>
      <c r="AZ319" s="1314"/>
      <c r="BA319" s="1314"/>
      <c r="BC319" s="1314"/>
      <c r="BE319" s="1314"/>
      <c r="BF319" s="1314"/>
      <c r="BG319" s="1314"/>
    </row>
    <row r="320" spans="18:59" x14ac:dyDescent="0.35">
      <c r="R320" s="1314"/>
      <c r="S320" s="1314"/>
      <c r="W320" s="1314"/>
      <c r="X320" s="1314"/>
      <c r="AE320" s="1314"/>
      <c r="AF320" s="1314"/>
      <c r="AV320" s="1314"/>
      <c r="AW320" s="1314"/>
      <c r="AX320" s="1314"/>
      <c r="AY320" s="1314"/>
      <c r="AZ320" s="1314"/>
      <c r="BA320" s="1314"/>
      <c r="BC320" s="1314"/>
      <c r="BE320" s="1314"/>
      <c r="BF320" s="1314"/>
      <c r="BG320" s="1314"/>
    </row>
    <row r="321" spans="18:59" x14ac:dyDescent="0.35">
      <c r="R321" s="1314"/>
      <c r="S321" s="1314"/>
      <c r="W321" s="1314"/>
      <c r="X321" s="1314"/>
      <c r="AE321" s="1314"/>
      <c r="AF321" s="1314"/>
      <c r="AV321" s="1314"/>
      <c r="AW321" s="1314"/>
      <c r="AX321" s="1314"/>
      <c r="AY321" s="1314"/>
      <c r="AZ321" s="1314"/>
      <c r="BA321" s="1314"/>
      <c r="BC321" s="1314"/>
      <c r="BE321" s="1314"/>
      <c r="BF321" s="1314"/>
      <c r="BG321" s="1314"/>
    </row>
    <row r="322" spans="18:59" x14ac:dyDescent="0.35">
      <c r="R322" s="1314"/>
      <c r="S322" s="1314"/>
      <c r="W322" s="1314"/>
      <c r="X322" s="1314"/>
      <c r="AE322" s="1314"/>
      <c r="AF322" s="1314"/>
      <c r="AV322" s="1314"/>
      <c r="AW322" s="1314"/>
      <c r="AX322" s="1314"/>
      <c r="AY322" s="1314"/>
      <c r="AZ322" s="1314"/>
      <c r="BA322" s="1314"/>
      <c r="BC322" s="1314"/>
      <c r="BE322" s="1314"/>
      <c r="BF322" s="1314"/>
      <c r="BG322" s="1314"/>
    </row>
    <row r="323" spans="18:59" x14ac:dyDescent="0.35">
      <c r="R323" s="1314"/>
      <c r="S323" s="1314"/>
      <c r="W323" s="1314"/>
      <c r="X323" s="1314"/>
      <c r="AE323" s="1314"/>
      <c r="AF323" s="1314"/>
      <c r="AV323" s="1314"/>
      <c r="AW323" s="1314"/>
      <c r="AX323" s="1314"/>
      <c r="AY323" s="1314"/>
      <c r="AZ323" s="1314"/>
      <c r="BA323" s="1314"/>
      <c r="BC323" s="1314"/>
      <c r="BE323" s="1314"/>
      <c r="BF323" s="1314"/>
      <c r="BG323" s="1314"/>
    </row>
    <row r="324" spans="18:59" x14ac:dyDescent="0.35">
      <c r="R324" s="1314"/>
      <c r="S324" s="1314"/>
      <c r="W324" s="1314"/>
      <c r="X324" s="1314"/>
      <c r="AE324" s="1314"/>
      <c r="AF324" s="1314"/>
      <c r="AV324" s="1314"/>
      <c r="AW324" s="1314"/>
      <c r="AX324" s="1314"/>
      <c r="AY324" s="1314"/>
      <c r="AZ324" s="1314"/>
      <c r="BA324" s="1314"/>
      <c r="BC324" s="1314"/>
      <c r="BE324" s="1314"/>
      <c r="BF324" s="1314"/>
      <c r="BG324" s="1314"/>
    </row>
    <row r="325" spans="18:59" x14ac:dyDescent="0.35">
      <c r="R325" s="1314"/>
      <c r="S325" s="1314"/>
      <c r="W325" s="1314"/>
      <c r="X325" s="1314"/>
      <c r="AE325" s="1314"/>
      <c r="AF325" s="1314"/>
      <c r="AV325" s="1314"/>
      <c r="AW325" s="1314"/>
      <c r="AX325" s="1314"/>
      <c r="AY325" s="1314"/>
      <c r="AZ325" s="1314"/>
      <c r="BA325" s="1314"/>
      <c r="BC325" s="1314"/>
      <c r="BE325" s="1314"/>
      <c r="BF325" s="1314"/>
      <c r="BG325" s="1314"/>
    </row>
    <row r="326" spans="18:59" x14ac:dyDescent="0.35">
      <c r="R326" s="1314"/>
      <c r="S326" s="1314"/>
      <c r="W326" s="1314"/>
      <c r="X326" s="1314"/>
      <c r="AE326" s="1314"/>
      <c r="AF326" s="1314"/>
      <c r="AV326" s="1314"/>
      <c r="AW326" s="1314"/>
      <c r="AX326" s="1314"/>
      <c r="AY326" s="1314"/>
      <c r="AZ326" s="1314"/>
      <c r="BA326" s="1314"/>
      <c r="BC326" s="1314"/>
      <c r="BE326" s="1314"/>
      <c r="BF326" s="1314"/>
      <c r="BG326" s="1314"/>
    </row>
    <row r="327" spans="18:59" x14ac:dyDescent="0.35">
      <c r="R327" s="1314"/>
      <c r="S327" s="1314"/>
      <c r="W327" s="1314"/>
      <c r="X327" s="1314"/>
      <c r="AE327" s="1314"/>
      <c r="AF327" s="1314"/>
      <c r="AV327" s="1314"/>
      <c r="AW327" s="1314"/>
      <c r="AX327" s="1314"/>
      <c r="AY327" s="1314"/>
      <c r="AZ327" s="1314"/>
      <c r="BA327" s="1314"/>
      <c r="BC327" s="1314"/>
      <c r="BE327" s="1314"/>
      <c r="BF327" s="1314"/>
      <c r="BG327" s="1314"/>
    </row>
    <row r="328" spans="18:59" x14ac:dyDescent="0.35">
      <c r="R328" s="1314"/>
      <c r="S328" s="1314"/>
      <c r="W328" s="1314"/>
      <c r="X328" s="1314"/>
      <c r="AE328" s="1314"/>
      <c r="AF328" s="1314"/>
      <c r="AV328" s="1314"/>
      <c r="AW328" s="1314"/>
      <c r="AX328" s="1314"/>
      <c r="AY328" s="1314"/>
      <c r="AZ328" s="1314"/>
      <c r="BA328" s="1314"/>
      <c r="BC328" s="1314"/>
      <c r="BE328" s="1314"/>
      <c r="BF328" s="1314"/>
      <c r="BG328" s="1314"/>
    </row>
    <row r="329" spans="18:59" x14ac:dyDescent="0.35">
      <c r="R329" s="1314"/>
      <c r="S329" s="1314"/>
      <c r="W329" s="1314"/>
      <c r="X329" s="1314"/>
      <c r="AE329" s="1314"/>
      <c r="AF329" s="1314"/>
      <c r="AV329" s="1314"/>
      <c r="AW329" s="1314"/>
      <c r="AX329" s="1314"/>
      <c r="AY329" s="1314"/>
      <c r="AZ329" s="1314"/>
      <c r="BA329" s="1314"/>
      <c r="BC329" s="1314"/>
      <c r="BE329" s="1314"/>
      <c r="BF329" s="1314"/>
      <c r="BG329" s="1314"/>
    </row>
    <row r="330" spans="18:59" x14ac:dyDescent="0.35">
      <c r="R330" s="1314"/>
      <c r="S330" s="1314"/>
      <c r="W330" s="1314"/>
      <c r="X330" s="1314"/>
      <c r="AE330" s="1314"/>
      <c r="AF330" s="1314"/>
      <c r="AV330" s="1314"/>
      <c r="AW330" s="1314"/>
      <c r="AX330" s="1314"/>
      <c r="AY330" s="1314"/>
      <c r="AZ330" s="1314"/>
      <c r="BA330" s="1314"/>
      <c r="BC330" s="1314"/>
      <c r="BE330" s="1314"/>
      <c r="BF330" s="1314"/>
      <c r="BG330" s="1314"/>
    </row>
    <row r="331" spans="18:59" x14ac:dyDescent="0.35">
      <c r="R331" s="1314"/>
      <c r="S331" s="1314"/>
      <c r="W331" s="1314"/>
      <c r="X331" s="1314"/>
      <c r="AE331" s="1314"/>
      <c r="AF331" s="1314"/>
      <c r="AV331" s="1314"/>
      <c r="AW331" s="1314"/>
      <c r="AX331" s="1314"/>
      <c r="AY331" s="1314"/>
      <c r="AZ331" s="1314"/>
      <c r="BA331" s="1314"/>
      <c r="BC331" s="1314"/>
      <c r="BE331" s="1314"/>
      <c r="BF331" s="1314"/>
      <c r="BG331" s="1314"/>
    </row>
    <row r="332" spans="18:59" x14ac:dyDescent="0.35">
      <c r="R332" s="1314"/>
      <c r="S332" s="1314"/>
      <c r="W332" s="1314"/>
      <c r="X332" s="1314"/>
      <c r="AE332" s="1314"/>
      <c r="AF332" s="1314"/>
      <c r="AV332" s="1314"/>
      <c r="AW332" s="1314"/>
      <c r="AX332" s="1314"/>
      <c r="AY332" s="1314"/>
      <c r="AZ332" s="1314"/>
      <c r="BA332" s="1314"/>
      <c r="BC332" s="1314"/>
      <c r="BE332" s="1314"/>
      <c r="BF332" s="1314"/>
      <c r="BG332" s="1314"/>
    </row>
    <row r="333" spans="18:59" x14ac:dyDescent="0.35">
      <c r="R333" s="1314"/>
      <c r="S333" s="1314"/>
      <c r="W333" s="1314"/>
      <c r="X333" s="1314"/>
      <c r="AE333" s="1314"/>
      <c r="AF333" s="1314"/>
      <c r="AV333" s="1314"/>
      <c r="AW333" s="1314"/>
      <c r="AX333" s="1314"/>
      <c r="AY333" s="1314"/>
      <c r="AZ333" s="1314"/>
      <c r="BA333" s="1314"/>
      <c r="BC333" s="1314"/>
      <c r="BE333" s="1314"/>
      <c r="BF333" s="1314"/>
      <c r="BG333" s="1314"/>
    </row>
    <row r="334" spans="18:59" x14ac:dyDescent="0.35">
      <c r="R334" s="1314"/>
      <c r="S334" s="1314"/>
      <c r="W334" s="1314"/>
      <c r="X334" s="1314"/>
      <c r="AE334" s="1314"/>
      <c r="AF334" s="1314"/>
      <c r="AV334" s="1314"/>
      <c r="AW334" s="1314"/>
      <c r="AX334" s="1314"/>
      <c r="AY334" s="1314"/>
      <c r="AZ334" s="1314"/>
      <c r="BA334" s="1314"/>
      <c r="BC334" s="1314"/>
      <c r="BE334" s="1314"/>
      <c r="BF334" s="1314"/>
      <c r="BG334" s="1314"/>
    </row>
    <row r="335" spans="18:59" x14ac:dyDescent="0.35">
      <c r="R335" s="1314"/>
      <c r="S335" s="1314"/>
      <c r="W335" s="1314"/>
      <c r="X335" s="1314"/>
      <c r="AE335" s="1314"/>
      <c r="AF335" s="1314"/>
      <c r="AV335" s="1314"/>
      <c r="AW335" s="1314"/>
      <c r="AX335" s="1314"/>
      <c r="AY335" s="1314"/>
      <c r="AZ335" s="1314"/>
      <c r="BA335" s="1314"/>
      <c r="BC335" s="1314"/>
      <c r="BE335" s="1314"/>
      <c r="BF335" s="1314"/>
      <c r="BG335" s="1314"/>
    </row>
    <row r="336" spans="18:59" x14ac:dyDescent="0.35">
      <c r="R336" s="1314"/>
      <c r="S336" s="1314"/>
      <c r="W336" s="1314"/>
      <c r="X336" s="1314"/>
      <c r="AE336" s="1314"/>
      <c r="AF336" s="1314"/>
      <c r="AV336" s="1314"/>
      <c r="AW336" s="1314"/>
      <c r="AX336" s="1314"/>
      <c r="AY336" s="1314"/>
      <c r="AZ336" s="1314"/>
      <c r="BA336" s="1314"/>
      <c r="BC336" s="1314"/>
      <c r="BE336" s="1314"/>
      <c r="BF336" s="1314"/>
      <c r="BG336" s="1314"/>
    </row>
    <row r="337" spans="18:59" x14ac:dyDescent="0.35">
      <c r="R337" s="1314"/>
      <c r="S337" s="1314"/>
      <c r="W337" s="1314"/>
      <c r="X337" s="1314"/>
      <c r="AE337" s="1314"/>
      <c r="AF337" s="1314"/>
      <c r="AV337" s="1314"/>
      <c r="AW337" s="1314"/>
      <c r="AX337" s="1314"/>
      <c r="AY337" s="1314"/>
      <c r="AZ337" s="1314"/>
      <c r="BA337" s="1314"/>
      <c r="BC337" s="1314"/>
      <c r="BE337" s="1314"/>
      <c r="BF337" s="1314"/>
      <c r="BG337" s="1314"/>
    </row>
    <row r="338" spans="18:59" x14ac:dyDescent="0.35">
      <c r="R338" s="1314"/>
      <c r="S338" s="1314"/>
      <c r="W338" s="1314"/>
      <c r="X338" s="1314"/>
      <c r="AE338" s="1314"/>
      <c r="AF338" s="1314"/>
      <c r="AV338" s="1314"/>
      <c r="AW338" s="1314"/>
      <c r="AX338" s="1314"/>
      <c r="AY338" s="1314"/>
      <c r="AZ338" s="1314"/>
      <c r="BA338" s="1314"/>
      <c r="BC338" s="1314"/>
      <c r="BE338" s="1314"/>
      <c r="BF338" s="1314"/>
      <c r="BG338" s="1314"/>
    </row>
    <row r="339" spans="18:59" x14ac:dyDescent="0.35">
      <c r="R339" s="1314"/>
      <c r="S339" s="1314"/>
      <c r="W339" s="1314"/>
      <c r="X339" s="1314"/>
      <c r="AE339" s="1314"/>
      <c r="AF339" s="1314"/>
      <c r="AV339" s="1314"/>
      <c r="AW339" s="1314"/>
      <c r="AX339" s="1314"/>
      <c r="AY339" s="1314"/>
      <c r="AZ339" s="1314"/>
      <c r="BA339" s="1314"/>
      <c r="BC339" s="1314"/>
      <c r="BE339" s="1314"/>
      <c r="BF339" s="1314"/>
      <c r="BG339" s="1314"/>
    </row>
    <row r="340" spans="18:59" x14ac:dyDescent="0.35">
      <c r="R340" s="1314"/>
      <c r="S340" s="1314"/>
      <c r="W340" s="1314"/>
      <c r="X340" s="1314"/>
      <c r="AE340" s="1314"/>
      <c r="AF340" s="1314"/>
      <c r="AV340" s="1314"/>
      <c r="AW340" s="1314"/>
      <c r="AX340" s="1314"/>
      <c r="AY340" s="1314"/>
      <c r="AZ340" s="1314"/>
      <c r="BA340" s="1314"/>
      <c r="BC340" s="1314"/>
      <c r="BE340" s="1314"/>
      <c r="BF340" s="1314"/>
      <c r="BG340" s="1314"/>
    </row>
    <row r="341" spans="18:59" x14ac:dyDescent="0.35">
      <c r="R341" s="1314"/>
      <c r="S341" s="1314"/>
      <c r="W341" s="1314"/>
      <c r="X341" s="1314"/>
      <c r="AE341" s="1314"/>
      <c r="AF341" s="1314"/>
      <c r="AV341" s="1314"/>
      <c r="AW341" s="1314"/>
      <c r="AX341" s="1314"/>
      <c r="AY341" s="1314"/>
      <c r="AZ341" s="1314"/>
      <c r="BA341" s="1314"/>
      <c r="BC341" s="1314"/>
      <c r="BE341" s="1314"/>
      <c r="BF341" s="1314"/>
      <c r="BG341" s="1314"/>
    </row>
    <row r="342" spans="18:59" x14ac:dyDescent="0.35">
      <c r="R342" s="1314"/>
      <c r="S342" s="1314"/>
      <c r="W342" s="1314"/>
      <c r="X342" s="1314"/>
      <c r="AE342" s="1314"/>
      <c r="AF342" s="1314"/>
      <c r="AV342" s="1314"/>
      <c r="AW342" s="1314"/>
      <c r="AX342" s="1314"/>
      <c r="AY342" s="1314"/>
      <c r="AZ342" s="1314"/>
      <c r="BA342" s="1314"/>
      <c r="BC342" s="1314"/>
      <c r="BE342" s="1314"/>
      <c r="BF342" s="1314"/>
      <c r="BG342" s="1314"/>
    </row>
    <row r="343" spans="18:59" x14ac:dyDescent="0.35">
      <c r="R343" s="1314"/>
      <c r="S343" s="1314"/>
      <c r="W343" s="1314"/>
      <c r="X343" s="1314"/>
      <c r="AE343" s="1314"/>
      <c r="AF343" s="1314"/>
      <c r="AV343" s="1314"/>
      <c r="AW343" s="1314"/>
      <c r="AX343" s="1314"/>
      <c r="AY343" s="1314"/>
      <c r="AZ343" s="1314"/>
      <c r="BA343" s="1314"/>
      <c r="BC343" s="1314"/>
      <c r="BE343" s="1314"/>
      <c r="BF343" s="1314"/>
      <c r="BG343" s="1314"/>
    </row>
    <row r="344" spans="18:59" x14ac:dyDescent="0.35">
      <c r="R344" s="1314"/>
      <c r="S344" s="1314"/>
      <c r="W344" s="1314"/>
      <c r="X344" s="1314"/>
      <c r="AE344" s="1314"/>
      <c r="AF344" s="1314"/>
      <c r="AV344" s="1314"/>
      <c r="AW344" s="1314"/>
      <c r="AX344" s="1314"/>
      <c r="AY344" s="1314"/>
      <c r="AZ344" s="1314"/>
      <c r="BA344" s="1314"/>
      <c r="BC344" s="1314"/>
      <c r="BE344" s="1314"/>
      <c r="BF344" s="1314"/>
      <c r="BG344" s="1314"/>
    </row>
    <row r="345" spans="18:59" x14ac:dyDescent="0.35">
      <c r="R345" s="1314"/>
      <c r="S345" s="1314"/>
      <c r="W345" s="1314"/>
      <c r="X345" s="1314"/>
      <c r="AE345" s="1314"/>
      <c r="AF345" s="1314"/>
      <c r="AV345" s="1314"/>
      <c r="AW345" s="1314"/>
      <c r="AX345" s="1314"/>
      <c r="AY345" s="1314"/>
      <c r="AZ345" s="1314"/>
      <c r="BA345" s="1314"/>
      <c r="BC345" s="1314"/>
      <c r="BE345" s="1314"/>
      <c r="BF345" s="1314"/>
      <c r="BG345" s="1314"/>
    </row>
    <row r="346" spans="18:59" x14ac:dyDescent="0.35">
      <c r="R346" s="1314"/>
      <c r="S346" s="1314"/>
      <c r="W346" s="1314"/>
      <c r="X346" s="1314"/>
      <c r="AE346" s="1314"/>
      <c r="AF346" s="1314"/>
      <c r="AV346" s="1314"/>
      <c r="AW346" s="1314"/>
      <c r="AX346" s="1314"/>
      <c r="AY346" s="1314"/>
      <c r="AZ346" s="1314"/>
      <c r="BA346" s="1314"/>
      <c r="BC346" s="1314"/>
      <c r="BE346" s="1314"/>
      <c r="BF346" s="1314"/>
      <c r="BG346" s="1314"/>
    </row>
    <row r="347" spans="18:59" x14ac:dyDescent="0.35">
      <c r="R347" s="1314"/>
      <c r="S347" s="1314"/>
      <c r="W347" s="1314"/>
      <c r="X347" s="1314"/>
      <c r="AE347" s="1314"/>
      <c r="AF347" s="1314"/>
      <c r="AV347" s="1314"/>
      <c r="AW347" s="1314"/>
      <c r="AX347" s="1314"/>
      <c r="AY347" s="1314"/>
      <c r="AZ347" s="1314"/>
      <c r="BA347" s="1314"/>
      <c r="BC347" s="1314"/>
      <c r="BE347" s="1314"/>
      <c r="BF347" s="1314"/>
      <c r="BG347" s="1314"/>
    </row>
    <row r="348" spans="18:59" x14ac:dyDescent="0.35">
      <c r="R348" s="1314"/>
      <c r="S348" s="1314"/>
      <c r="W348" s="1314"/>
      <c r="X348" s="1314"/>
      <c r="AE348" s="1314"/>
      <c r="AF348" s="1314"/>
      <c r="AV348" s="1314"/>
      <c r="AW348" s="1314"/>
      <c r="AX348" s="1314"/>
      <c r="AY348" s="1314"/>
      <c r="AZ348" s="1314"/>
      <c r="BA348" s="1314"/>
      <c r="BC348" s="1314"/>
      <c r="BE348" s="1314"/>
      <c r="BF348" s="1314"/>
      <c r="BG348" s="1314"/>
    </row>
    <row r="349" spans="18:59" x14ac:dyDescent="0.35">
      <c r="R349" s="1314"/>
      <c r="S349" s="1314"/>
      <c r="W349" s="1314"/>
      <c r="X349" s="1314"/>
      <c r="AE349" s="1314"/>
      <c r="AF349" s="1314"/>
      <c r="AV349" s="1314"/>
      <c r="AW349" s="1314"/>
      <c r="AX349" s="1314"/>
      <c r="AY349" s="1314"/>
      <c r="AZ349" s="1314"/>
      <c r="BA349" s="1314"/>
      <c r="BC349" s="1314"/>
      <c r="BE349" s="1314"/>
      <c r="BF349" s="1314"/>
      <c r="BG349" s="1314"/>
    </row>
    <row r="350" spans="18:59" x14ac:dyDescent="0.35">
      <c r="R350" s="1314"/>
      <c r="S350" s="1314"/>
      <c r="W350" s="1314"/>
      <c r="X350" s="1314"/>
      <c r="AE350" s="1314"/>
      <c r="AF350" s="1314"/>
      <c r="AV350" s="1314"/>
      <c r="AW350" s="1314"/>
      <c r="AX350" s="1314"/>
      <c r="AY350" s="1314"/>
      <c r="AZ350" s="1314"/>
      <c r="BA350" s="1314"/>
      <c r="BC350" s="1314"/>
      <c r="BE350" s="1314"/>
      <c r="BF350" s="1314"/>
      <c r="BG350" s="1314"/>
    </row>
    <row r="351" spans="18:59" x14ac:dyDescent="0.35">
      <c r="R351" s="1314"/>
      <c r="S351" s="1314"/>
      <c r="W351" s="1314"/>
      <c r="X351" s="1314"/>
      <c r="AE351" s="1314"/>
      <c r="AF351" s="1314"/>
      <c r="AV351" s="1314"/>
      <c r="AW351" s="1314"/>
      <c r="AX351" s="1314"/>
      <c r="AY351" s="1314"/>
      <c r="AZ351" s="1314"/>
      <c r="BA351" s="1314"/>
      <c r="BC351" s="1314"/>
      <c r="BE351" s="1314"/>
      <c r="BF351" s="1314"/>
      <c r="BG351" s="1314"/>
    </row>
    <row r="352" spans="18:59" x14ac:dyDescent="0.35">
      <c r="R352" s="1314"/>
      <c r="S352" s="1314"/>
      <c r="W352" s="1314"/>
      <c r="X352" s="1314"/>
      <c r="AE352" s="1314"/>
      <c r="AF352" s="1314"/>
      <c r="AV352" s="1314"/>
      <c r="AW352" s="1314"/>
      <c r="AX352" s="1314"/>
      <c r="AY352" s="1314"/>
      <c r="AZ352" s="1314"/>
      <c r="BA352" s="1314"/>
      <c r="BC352" s="1314"/>
      <c r="BE352" s="1314"/>
      <c r="BF352" s="1314"/>
      <c r="BG352" s="1314"/>
    </row>
    <row r="353" spans="18:59" x14ac:dyDescent="0.35">
      <c r="R353" s="1314"/>
      <c r="S353" s="1314"/>
      <c r="W353" s="1314"/>
      <c r="X353" s="1314"/>
      <c r="AE353" s="1314"/>
      <c r="AF353" s="1314"/>
      <c r="AV353" s="1314"/>
      <c r="AW353" s="1314"/>
      <c r="AX353" s="1314"/>
      <c r="AY353" s="1314"/>
      <c r="AZ353" s="1314"/>
      <c r="BA353" s="1314"/>
      <c r="BC353" s="1314"/>
      <c r="BE353" s="1314"/>
      <c r="BF353" s="1314"/>
      <c r="BG353" s="1314"/>
    </row>
    <row r="354" spans="18:59" x14ac:dyDescent="0.35">
      <c r="R354" s="1314"/>
      <c r="S354" s="1314"/>
      <c r="W354" s="1314"/>
      <c r="X354" s="1314"/>
      <c r="AE354" s="1314"/>
      <c r="AF354" s="1314"/>
      <c r="AV354" s="1314"/>
      <c r="AW354" s="1314"/>
      <c r="AX354" s="1314"/>
      <c r="AY354" s="1314"/>
      <c r="AZ354" s="1314"/>
      <c r="BA354" s="1314"/>
      <c r="BC354" s="1314"/>
      <c r="BE354" s="1314"/>
      <c r="BF354" s="1314"/>
      <c r="BG354" s="1314"/>
    </row>
    <row r="355" spans="18:59" x14ac:dyDescent="0.35">
      <c r="R355" s="1314"/>
      <c r="S355" s="1314"/>
      <c r="W355" s="1314"/>
      <c r="X355" s="1314"/>
      <c r="AE355" s="1314"/>
      <c r="AF355" s="1314"/>
      <c r="AV355" s="1314"/>
      <c r="AW355" s="1314"/>
      <c r="AX355" s="1314"/>
      <c r="AY355" s="1314"/>
      <c r="AZ355" s="1314"/>
      <c r="BA355" s="1314"/>
      <c r="BC355" s="1314"/>
      <c r="BE355" s="1314"/>
      <c r="BF355" s="1314"/>
      <c r="BG355" s="1314"/>
    </row>
    <row r="356" spans="18:59" x14ac:dyDescent="0.35">
      <c r="R356" s="1314"/>
      <c r="S356" s="1314"/>
      <c r="W356" s="1314"/>
      <c r="X356" s="1314"/>
      <c r="AE356" s="1314"/>
      <c r="AF356" s="1314"/>
      <c r="AV356" s="1314"/>
      <c r="AW356" s="1314"/>
      <c r="AX356" s="1314"/>
      <c r="AY356" s="1314"/>
      <c r="AZ356" s="1314"/>
      <c r="BA356" s="1314"/>
      <c r="BC356" s="1314"/>
      <c r="BE356" s="1314"/>
      <c r="BF356" s="1314"/>
      <c r="BG356" s="1314"/>
    </row>
    <row r="357" spans="18:59" x14ac:dyDescent="0.35">
      <c r="R357" s="1314"/>
      <c r="S357" s="1314"/>
      <c r="W357" s="1314"/>
      <c r="X357" s="1314"/>
      <c r="AE357" s="1314"/>
      <c r="AF357" s="1314"/>
      <c r="AV357" s="1314"/>
      <c r="AW357" s="1314"/>
      <c r="AX357" s="1314"/>
      <c r="AY357" s="1314"/>
      <c r="AZ357" s="1314"/>
      <c r="BA357" s="1314"/>
      <c r="BC357" s="1314"/>
      <c r="BE357" s="1314"/>
      <c r="BF357" s="1314"/>
      <c r="BG357" s="1314"/>
    </row>
    <row r="358" spans="18:59" x14ac:dyDescent="0.35">
      <c r="R358" s="1314"/>
      <c r="S358" s="1314"/>
      <c r="W358" s="1314"/>
      <c r="X358" s="1314"/>
      <c r="AE358" s="1314"/>
      <c r="AF358" s="1314"/>
      <c r="AV358" s="1314"/>
      <c r="AW358" s="1314"/>
      <c r="AX358" s="1314"/>
      <c r="AY358" s="1314"/>
      <c r="AZ358" s="1314"/>
      <c r="BA358" s="1314"/>
      <c r="BC358" s="1314"/>
      <c r="BE358" s="1314"/>
      <c r="BF358" s="1314"/>
      <c r="BG358" s="1314"/>
    </row>
    <row r="359" spans="18:59" x14ac:dyDescent="0.35">
      <c r="R359" s="1314"/>
      <c r="S359" s="1314"/>
      <c r="W359" s="1314"/>
      <c r="X359" s="1314"/>
      <c r="AE359" s="1314"/>
      <c r="AF359" s="1314"/>
      <c r="AV359" s="1314"/>
      <c r="AW359" s="1314"/>
      <c r="AX359" s="1314"/>
      <c r="AY359" s="1314"/>
      <c r="AZ359" s="1314"/>
      <c r="BA359" s="1314"/>
      <c r="BC359" s="1314"/>
      <c r="BE359" s="1314"/>
      <c r="BF359" s="1314"/>
      <c r="BG359" s="1314"/>
    </row>
    <row r="360" spans="18:59" x14ac:dyDescent="0.35">
      <c r="R360" s="1314"/>
      <c r="S360" s="1314"/>
      <c r="W360" s="1314"/>
      <c r="X360" s="1314"/>
      <c r="AE360" s="1314"/>
      <c r="AF360" s="1314"/>
      <c r="AV360" s="1314"/>
      <c r="AW360" s="1314"/>
      <c r="AX360" s="1314"/>
      <c r="AY360" s="1314"/>
      <c r="AZ360" s="1314"/>
      <c r="BA360" s="1314"/>
      <c r="BC360" s="1314"/>
      <c r="BE360" s="1314"/>
      <c r="BF360" s="1314"/>
      <c r="BG360" s="1314"/>
    </row>
    <row r="361" spans="18:59" x14ac:dyDescent="0.35">
      <c r="R361" s="1314"/>
      <c r="S361" s="1314"/>
      <c r="W361" s="1314"/>
      <c r="X361" s="1314"/>
      <c r="AE361" s="1314"/>
      <c r="AF361" s="1314"/>
      <c r="AV361" s="1314"/>
      <c r="AW361" s="1314"/>
      <c r="AX361" s="1314"/>
      <c r="AY361" s="1314"/>
      <c r="AZ361" s="1314"/>
      <c r="BA361" s="1314"/>
      <c r="BC361" s="1314"/>
      <c r="BE361" s="1314"/>
      <c r="BF361" s="1314"/>
      <c r="BG361" s="1314"/>
    </row>
    <row r="362" spans="18:59" x14ac:dyDescent="0.35">
      <c r="R362" s="1314"/>
      <c r="S362" s="1314"/>
      <c r="W362" s="1314"/>
      <c r="X362" s="1314"/>
      <c r="AE362" s="1314"/>
      <c r="AF362" s="1314"/>
      <c r="AV362" s="1314"/>
      <c r="AW362" s="1314"/>
      <c r="AX362" s="1314"/>
      <c r="AY362" s="1314"/>
      <c r="AZ362" s="1314"/>
      <c r="BA362" s="1314"/>
      <c r="BC362" s="1314"/>
      <c r="BE362" s="1314"/>
      <c r="BF362" s="1314"/>
      <c r="BG362" s="1314"/>
    </row>
    <row r="363" spans="18:59" x14ac:dyDescent="0.35">
      <c r="R363" s="1314"/>
      <c r="S363" s="1314"/>
      <c r="W363" s="1314"/>
      <c r="X363" s="1314"/>
      <c r="AE363" s="1314"/>
      <c r="AF363" s="1314"/>
      <c r="AV363" s="1314"/>
      <c r="AW363" s="1314"/>
      <c r="AX363" s="1314"/>
      <c r="AY363" s="1314"/>
      <c r="AZ363" s="1314"/>
      <c r="BA363" s="1314"/>
      <c r="BC363" s="1314"/>
      <c r="BE363" s="1314"/>
      <c r="BF363" s="1314"/>
      <c r="BG363" s="1314"/>
    </row>
    <row r="364" spans="18:59" x14ac:dyDescent="0.35">
      <c r="R364" s="1314"/>
      <c r="S364" s="1314"/>
      <c r="W364" s="1314"/>
      <c r="X364" s="1314"/>
      <c r="AE364" s="1314"/>
      <c r="AF364" s="1314"/>
      <c r="AV364" s="1314"/>
      <c r="AW364" s="1314"/>
      <c r="AX364" s="1314"/>
      <c r="AY364" s="1314"/>
      <c r="AZ364" s="1314"/>
      <c r="BA364" s="1314"/>
      <c r="BC364" s="1314"/>
      <c r="BE364" s="1314"/>
      <c r="BF364" s="1314"/>
      <c r="BG364" s="1314"/>
    </row>
    <row r="365" spans="18:59" x14ac:dyDescent="0.35">
      <c r="R365" s="1314"/>
      <c r="S365" s="1314"/>
      <c r="W365" s="1314"/>
      <c r="X365" s="1314"/>
      <c r="AE365" s="1314"/>
      <c r="AF365" s="1314"/>
      <c r="AV365" s="1314"/>
      <c r="AW365" s="1314"/>
      <c r="AX365" s="1314"/>
      <c r="AY365" s="1314"/>
      <c r="AZ365" s="1314"/>
      <c r="BA365" s="1314"/>
      <c r="BC365" s="1314"/>
      <c r="BE365" s="1314"/>
      <c r="BF365" s="1314"/>
      <c r="BG365" s="1314"/>
    </row>
    <row r="366" spans="18:59" x14ac:dyDescent="0.35">
      <c r="R366" s="1314"/>
      <c r="S366" s="1314"/>
      <c r="W366" s="1314"/>
      <c r="X366" s="1314"/>
      <c r="AE366" s="1314"/>
      <c r="AF366" s="1314"/>
      <c r="AV366" s="1314"/>
      <c r="AW366" s="1314"/>
      <c r="AX366" s="1314"/>
      <c r="AY366" s="1314"/>
      <c r="AZ366" s="1314"/>
      <c r="BA366" s="1314"/>
      <c r="BC366" s="1314"/>
      <c r="BE366" s="1314"/>
      <c r="BF366" s="1314"/>
      <c r="BG366" s="1314"/>
    </row>
    <row r="367" spans="18:59" x14ac:dyDescent="0.35">
      <c r="R367" s="1314"/>
      <c r="S367" s="1314"/>
      <c r="W367" s="1314"/>
      <c r="X367" s="1314"/>
      <c r="AE367" s="1314"/>
      <c r="AF367" s="1314"/>
      <c r="AV367" s="1314"/>
      <c r="AW367" s="1314"/>
      <c r="AX367" s="1314"/>
      <c r="AY367" s="1314"/>
      <c r="AZ367" s="1314"/>
      <c r="BA367" s="1314"/>
      <c r="BC367" s="1314"/>
      <c r="BE367" s="1314"/>
      <c r="BF367" s="1314"/>
      <c r="BG367" s="1314"/>
    </row>
    <row r="368" spans="18:59" x14ac:dyDescent="0.35">
      <c r="R368" s="1314"/>
      <c r="S368" s="1314"/>
      <c r="W368" s="1314"/>
      <c r="X368" s="1314"/>
      <c r="AE368" s="1314"/>
      <c r="AF368" s="1314"/>
      <c r="AV368" s="1314"/>
      <c r="AW368" s="1314"/>
      <c r="AX368" s="1314"/>
      <c r="AY368" s="1314"/>
      <c r="AZ368" s="1314"/>
      <c r="BA368" s="1314"/>
      <c r="BC368" s="1314"/>
      <c r="BE368" s="1314"/>
      <c r="BF368" s="1314"/>
      <c r="BG368" s="1314"/>
    </row>
    <row r="369" spans="18:59" x14ac:dyDescent="0.35">
      <c r="R369" s="1314"/>
      <c r="S369" s="1314"/>
      <c r="W369" s="1314"/>
      <c r="X369" s="1314"/>
      <c r="AE369" s="1314"/>
      <c r="AF369" s="1314"/>
      <c r="AV369" s="1314"/>
      <c r="AW369" s="1314"/>
      <c r="AX369" s="1314"/>
      <c r="AY369" s="1314"/>
      <c r="AZ369" s="1314"/>
      <c r="BA369" s="1314"/>
      <c r="BC369" s="1314"/>
      <c r="BE369" s="1314"/>
      <c r="BF369" s="1314"/>
      <c r="BG369" s="1314"/>
    </row>
    <row r="370" spans="18:59" x14ac:dyDescent="0.35">
      <c r="R370" s="1314"/>
      <c r="S370" s="1314"/>
      <c r="W370" s="1314"/>
      <c r="X370" s="1314"/>
      <c r="AE370" s="1314"/>
      <c r="AF370" s="1314"/>
      <c r="AV370" s="1314"/>
      <c r="AW370" s="1314"/>
      <c r="AX370" s="1314"/>
      <c r="AY370" s="1314"/>
      <c r="AZ370" s="1314"/>
      <c r="BA370" s="1314"/>
      <c r="BC370" s="1314"/>
      <c r="BE370" s="1314"/>
      <c r="BF370" s="1314"/>
      <c r="BG370" s="1314"/>
    </row>
    <row r="371" spans="18:59" x14ac:dyDescent="0.35">
      <c r="R371" s="1314"/>
      <c r="S371" s="1314"/>
      <c r="W371" s="1314"/>
      <c r="X371" s="1314"/>
      <c r="AE371" s="1314"/>
      <c r="AF371" s="1314"/>
      <c r="AV371" s="1314"/>
      <c r="AW371" s="1314"/>
      <c r="AX371" s="1314"/>
      <c r="AY371" s="1314"/>
      <c r="AZ371" s="1314"/>
      <c r="BA371" s="1314"/>
      <c r="BC371" s="1314"/>
      <c r="BE371" s="1314"/>
      <c r="BF371" s="1314"/>
      <c r="BG371" s="1314"/>
    </row>
    <row r="372" spans="18:59" x14ac:dyDescent="0.35">
      <c r="R372" s="1314"/>
      <c r="S372" s="1314"/>
      <c r="W372" s="1314"/>
      <c r="X372" s="1314"/>
      <c r="AE372" s="1314"/>
      <c r="AF372" s="1314"/>
      <c r="AV372" s="1314"/>
      <c r="AW372" s="1314"/>
      <c r="AX372" s="1314"/>
      <c r="AY372" s="1314"/>
      <c r="AZ372" s="1314"/>
      <c r="BA372" s="1314"/>
      <c r="BC372" s="1314"/>
      <c r="BE372" s="1314"/>
      <c r="BF372" s="1314"/>
      <c r="BG372" s="1314"/>
    </row>
    <row r="373" spans="18:59" x14ac:dyDescent="0.35">
      <c r="R373" s="1314"/>
      <c r="S373" s="1314"/>
      <c r="W373" s="1314"/>
      <c r="X373" s="1314"/>
      <c r="AE373" s="1314"/>
      <c r="AF373" s="1314"/>
      <c r="AV373" s="1314"/>
      <c r="AW373" s="1314"/>
      <c r="AX373" s="1314"/>
      <c r="AY373" s="1314"/>
      <c r="AZ373" s="1314"/>
      <c r="BA373" s="1314"/>
      <c r="BC373" s="1314"/>
      <c r="BE373" s="1314"/>
      <c r="BF373" s="1314"/>
      <c r="BG373" s="1314"/>
    </row>
    <row r="374" spans="18:59" x14ac:dyDescent="0.35">
      <c r="R374" s="1314"/>
      <c r="S374" s="1314"/>
      <c r="W374" s="1314"/>
      <c r="X374" s="1314"/>
      <c r="AE374" s="1314"/>
      <c r="AF374" s="1314"/>
      <c r="AV374" s="1314"/>
      <c r="AW374" s="1314"/>
      <c r="AX374" s="1314"/>
      <c r="AY374" s="1314"/>
      <c r="AZ374" s="1314"/>
      <c r="BA374" s="1314"/>
      <c r="BC374" s="1314"/>
      <c r="BE374" s="1314"/>
      <c r="BF374" s="1314"/>
      <c r="BG374" s="1314"/>
    </row>
    <row r="375" spans="18:59" x14ac:dyDescent="0.35">
      <c r="R375" s="1314"/>
      <c r="S375" s="1314"/>
      <c r="W375" s="1314"/>
      <c r="X375" s="1314"/>
      <c r="AE375" s="1314"/>
      <c r="AF375" s="1314"/>
      <c r="AV375" s="1314"/>
      <c r="AW375" s="1314"/>
      <c r="AX375" s="1314"/>
      <c r="AY375" s="1314"/>
      <c r="AZ375" s="1314"/>
      <c r="BA375" s="1314"/>
      <c r="BC375" s="1314"/>
      <c r="BE375" s="1314"/>
      <c r="BF375" s="1314"/>
      <c r="BG375" s="1314"/>
    </row>
    <row r="376" spans="18:59" x14ac:dyDescent="0.35">
      <c r="R376" s="1314"/>
      <c r="S376" s="1314"/>
      <c r="W376" s="1314"/>
      <c r="X376" s="1314"/>
      <c r="AE376" s="1314"/>
      <c r="AF376" s="1314"/>
      <c r="AV376" s="1314"/>
      <c r="AW376" s="1314"/>
      <c r="AX376" s="1314"/>
      <c r="AY376" s="1314"/>
      <c r="AZ376" s="1314"/>
      <c r="BA376" s="1314"/>
      <c r="BC376" s="1314"/>
      <c r="BE376" s="1314"/>
      <c r="BF376" s="1314"/>
      <c r="BG376" s="1314"/>
    </row>
    <row r="377" spans="18:59" x14ac:dyDescent="0.35">
      <c r="R377" s="1314"/>
      <c r="S377" s="1314"/>
      <c r="W377" s="1314"/>
      <c r="X377" s="1314"/>
      <c r="AE377" s="1314"/>
      <c r="AF377" s="1314"/>
      <c r="AV377" s="1314"/>
      <c r="AW377" s="1314"/>
      <c r="AX377" s="1314"/>
      <c r="AY377" s="1314"/>
      <c r="AZ377" s="1314"/>
      <c r="BA377" s="1314"/>
      <c r="BC377" s="1314"/>
      <c r="BE377" s="1314"/>
      <c r="BF377" s="1314"/>
      <c r="BG377" s="1314"/>
    </row>
    <row r="378" spans="18:59" x14ac:dyDescent="0.35">
      <c r="R378" s="1314"/>
      <c r="S378" s="1314"/>
      <c r="W378" s="1314"/>
      <c r="X378" s="1314"/>
      <c r="AE378" s="1314"/>
      <c r="AF378" s="1314"/>
      <c r="AV378" s="1314"/>
      <c r="AW378" s="1314"/>
      <c r="AX378" s="1314"/>
      <c r="AY378" s="1314"/>
      <c r="AZ378" s="1314"/>
      <c r="BA378" s="1314"/>
      <c r="BC378" s="1314"/>
      <c r="BE378" s="1314"/>
      <c r="BF378" s="1314"/>
      <c r="BG378" s="1314"/>
    </row>
    <row r="379" spans="18:59" x14ac:dyDescent="0.35">
      <c r="R379" s="1314"/>
      <c r="S379" s="1314"/>
      <c r="W379" s="1314"/>
      <c r="X379" s="1314"/>
      <c r="AE379" s="1314"/>
      <c r="AF379" s="1314"/>
      <c r="AV379" s="1314"/>
      <c r="AW379" s="1314"/>
      <c r="AX379" s="1314"/>
      <c r="AY379" s="1314"/>
      <c r="AZ379" s="1314"/>
      <c r="BA379" s="1314"/>
      <c r="BC379" s="1314"/>
      <c r="BE379" s="1314"/>
      <c r="BF379" s="1314"/>
      <c r="BG379" s="1314"/>
    </row>
    <row r="380" spans="18:59" x14ac:dyDescent="0.35">
      <c r="R380" s="1314"/>
      <c r="S380" s="1314"/>
      <c r="W380" s="1314"/>
      <c r="X380" s="1314"/>
      <c r="AE380" s="1314"/>
      <c r="AF380" s="1314"/>
      <c r="AV380" s="1314"/>
      <c r="AW380" s="1314"/>
      <c r="AX380" s="1314"/>
      <c r="AY380" s="1314"/>
      <c r="AZ380" s="1314"/>
      <c r="BA380" s="1314"/>
      <c r="BC380" s="1314"/>
      <c r="BE380" s="1314"/>
      <c r="BF380" s="1314"/>
      <c r="BG380" s="1314"/>
    </row>
    <row r="381" spans="18:59" x14ac:dyDescent="0.35">
      <c r="R381" s="1314"/>
      <c r="S381" s="1314"/>
      <c r="W381" s="1314"/>
      <c r="X381" s="1314"/>
      <c r="AE381" s="1314"/>
      <c r="AF381" s="1314"/>
      <c r="AV381" s="1314"/>
      <c r="AW381" s="1314"/>
      <c r="AX381" s="1314"/>
      <c r="AY381" s="1314"/>
      <c r="AZ381" s="1314"/>
      <c r="BA381" s="1314"/>
      <c r="BC381" s="1314"/>
      <c r="BE381" s="1314"/>
      <c r="BF381" s="1314"/>
      <c r="BG381" s="1314"/>
    </row>
    <row r="382" spans="18:59" x14ac:dyDescent="0.35">
      <c r="R382" s="1314"/>
      <c r="S382" s="1314"/>
      <c r="W382" s="1314"/>
      <c r="X382" s="1314"/>
      <c r="AE382" s="1314"/>
      <c r="AF382" s="1314"/>
      <c r="AV382" s="1314"/>
      <c r="AW382" s="1314"/>
      <c r="AX382" s="1314"/>
      <c r="AY382" s="1314"/>
      <c r="AZ382" s="1314"/>
      <c r="BA382" s="1314"/>
      <c r="BC382" s="1314"/>
      <c r="BE382" s="1314"/>
      <c r="BF382" s="1314"/>
      <c r="BG382" s="1314"/>
    </row>
    <row r="383" spans="18:59" x14ac:dyDescent="0.35">
      <c r="R383" s="1314"/>
      <c r="S383" s="1314"/>
      <c r="W383" s="1314"/>
      <c r="X383" s="1314"/>
      <c r="AE383" s="1314"/>
      <c r="AF383" s="1314"/>
      <c r="AV383" s="1314"/>
      <c r="AW383" s="1314"/>
      <c r="AX383" s="1314"/>
      <c r="AY383" s="1314"/>
      <c r="AZ383" s="1314"/>
      <c r="BA383" s="1314"/>
      <c r="BC383" s="1314"/>
      <c r="BE383" s="1314"/>
      <c r="BF383" s="1314"/>
      <c r="BG383" s="1314"/>
    </row>
    <row r="384" spans="18:59" x14ac:dyDescent="0.35">
      <c r="R384" s="1314"/>
      <c r="S384" s="1314"/>
      <c r="W384" s="1314"/>
      <c r="X384" s="1314"/>
      <c r="AE384" s="1314"/>
      <c r="AF384" s="1314"/>
      <c r="AV384" s="1314"/>
      <c r="AW384" s="1314"/>
      <c r="AX384" s="1314"/>
      <c r="AY384" s="1314"/>
      <c r="AZ384" s="1314"/>
      <c r="BA384" s="1314"/>
      <c r="BC384" s="1314"/>
      <c r="BE384" s="1314"/>
      <c r="BF384" s="1314"/>
      <c r="BG384" s="1314"/>
    </row>
    <row r="385" spans="18:59" x14ac:dyDescent="0.35">
      <c r="R385" s="1314"/>
      <c r="S385" s="1314"/>
      <c r="W385" s="1314"/>
      <c r="X385" s="1314"/>
      <c r="AE385" s="1314"/>
      <c r="AF385" s="1314"/>
      <c r="AV385" s="1314"/>
      <c r="AW385" s="1314"/>
      <c r="AX385" s="1314"/>
      <c r="AY385" s="1314"/>
      <c r="AZ385" s="1314"/>
      <c r="BA385" s="1314"/>
      <c r="BC385" s="1314"/>
      <c r="BE385" s="1314"/>
      <c r="BF385" s="1314"/>
      <c r="BG385" s="1314"/>
    </row>
    <row r="386" spans="18:59" x14ac:dyDescent="0.35">
      <c r="R386" s="1314"/>
      <c r="S386" s="1314"/>
      <c r="W386" s="1314"/>
      <c r="X386" s="1314"/>
      <c r="AE386" s="1314"/>
      <c r="AF386" s="1314"/>
      <c r="AV386" s="1314"/>
      <c r="AW386" s="1314"/>
      <c r="AX386" s="1314"/>
      <c r="AY386" s="1314"/>
      <c r="AZ386" s="1314"/>
      <c r="BA386" s="1314"/>
      <c r="BC386" s="1314"/>
      <c r="BE386" s="1314"/>
      <c r="BF386" s="1314"/>
      <c r="BG386" s="1314"/>
    </row>
    <row r="387" spans="18:59" x14ac:dyDescent="0.35">
      <c r="R387" s="1314"/>
      <c r="S387" s="1314"/>
      <c r="W387" s="1314"/>
      <c r="X387" s="1314"/>
      <c r="AE387" s="1314"/>
      <c r="AF387" s="1314"/>
      <c r="AV387" s="1314"/>
      <c r="AW387" s="1314"/>
      <c r="AX387" s="1314"/>
      <c r="AY387" s="1314"/>
      <c r="AZ387" s="1314"/>
      <c r="BA387" s="1314"/>
      <c r="BC387" s="1314"/>
      <c r="BE387" s="1314"/>
      <c r="BF387" s="1314"/>
      <c r="BG387" s="1314"/>
    </row>
    <row r="388" spans="18:59" x14ac:dyDescent="0.35">
      <c r="R388" s="1314"/>
      <c r="S388" s="1314"/>
      <c r="W388" s="1314"/>
      <c r="X388" s="1314"/>
      <c r="AE388" s="1314"/>
      <c r="AF388" s="1314"/>
      <c r="AV388" s="1314"/>
      <c r="AW388" s="1314"/>
      <c r="AX388" s="1314"/>
      <c r="AY388" s="1314"/>
      <c r="AZ388" s="1314"/>
      <c r="BA388" s="1314"/>
      <c r="BC388" s="1314"/>
      <c r="BE388" s="1314"/>
      <c r="BF388" s="1314"/>
      <c r="BG388" s="1314"/>
    </row>
    <row r="389" spans="18:59" x14ac:dyDescent="0.35">
      <c r="R389" s="1314"/>
      <c r="S389" s="1314"/>
      <c r="W389" s="1314"/>
      <c r="X389" s="1314"/>
      <c r="AE389" s="1314"/>
      <c r="AF389" s="1314"/>
      <c r="AV389" s="1314"/>
      <c r="AW389" s="1314"/>
      <c r="AX389" s="1314"/>
      <c r="AY389" s="1314"/>
      <c r="AZ389" s="1314"/>
      <c r="BA389" s="1314"/>
      <c r="BC389" s="1314"/>
      <c r="BE389" s="1314"/>
      <c r="BF389" s="1314"/>
      <c r="BG389" s="1314"/>
    </row>
    <row r="390" spans="18:59" x14ac:dyDescent="0.35">
      <c r="R390" s="1314"/>
      <c r="S390" s="1314"/>
      <c r="W390" s="1314"/>
      <c r="X390" s="1314"/>
      <c r="AE390" s="1314"/>
      <c r="AF390" s="1314"/>
      <c r="AV390" s="1314"/>
      <c r="AW390" s="1314"/>
      <c r="AX390" s="1314"/>
      <c r="AY390" s="1314"/>
      <c r="AZ390" s="1314"/>
      <c r="BA390" s="1314"/>
      <c r="BC390" s="1314"/>
      <c r="BE390" s="1314"/>
      <c r="BF390" s="1314"/>
      <c r="BG390" s="1314"/>
    </row>
    <row r="391" spans="18:59" x14ac:dyDescent="0.35">
      <c r="R391" s="1314"/>
      <c r="S391" s="1314"/>
      <c r="W391" s="1314"/>
      <c r="X391" s="1314"/>
      <c r="AE391" s="1314"/>
      <c r="AF391" s="1314"/>
      <c r="AV391" s="1314"/>
      <c r="AW391" s="1314"/>
      <c r="AX391" s="1314"/>
      <c r="AY391" s="1314"/>
      <c r="AZ391" s="1314"/>
      <c r="BA391" s="1314"/>
      <c r="BC391" s="1314"/>
      <c r="BE391" s="1314"/>
      <c r="BF391" s="1314"/>
      <c r="BG391" s="1314"/>
    </row>
    <row r="392" spans="18:59" x14ac:dyDescent="0.35">
      <c r="R392" s="1314"/>
      <c r="S392" s="1314"/>
      <c r="W392" s="1314"/>
      <c r="X392" s="1314"/>
      <c r="AE392" s="1314"/>
      <c r="AF392" s="1314"/>
      <c r="AV392" s="1314"/>
      <c r="AW392" s="1314"/>
      <c r="AX392" s="1314"/>
      <c r="AY392" s="1314"/>
      <c r="AZ392" s="1314"/>
      <c r="BA392" s="1314"/>
      <c r="BC392" s="1314"/>
      <c r="BE392" s="1314"/>
      <c r="BF392" s="1314"/>
      <c r="BG392" s="1314"/>
    </row>
    <row r="393" spans="18:59" x14ac:dyDescent="0.35">
      <c r="R393" s="1314"/>
      <c r="S393" s="1314"/>
      <c r="W393" s="1314"/>
      <c r="X393" s="1314"/>
      <c r="AE393" s="1314"/>
      <c r="AF393" s="1314"/>
      <c r="AV393" s="1314"/>
      <c r="AW393" s="1314"/>
      <c r="AX393" s="1314"/>
      <c r="AY393" s="1314"/>
      <c r="AZ393" s="1314"/>
      <c r="BA393" s="1314"/>
      <c r="BC393" s="1314"/>
      <c r="BE393" s="1314"/>
      <c r="BF393" s="1314"/>
      <c r="BG393" s="1314"/>
    </row>
    <row r="394" spans="18:59" x14ac:dyDescent="0.35">
      <c r="R394" s="1314"/>
      <c r="S394" s="1314"/>
      <c r="W394" s="1314"/>
      <c r="X394" s="1314"/>
      <c r="AE394" s="1314"/>
      <c r="AF394" s="1314"/>
      <c r="AV394" s="1314"/>
      <c r="AW394" s="1314"/>
      <c r="AX394" s="1314"/>
      <c r="AY394" s="1314"/>
      <c r="AZ394" s="1314"/>
      <c r="BA394" s="1314"/>
      <c r="BC394" s="1314"/>
      <c r="BE394" s="1314"/>
      <c r="BF394" s="1314"/>
      <c r="BG394" s="1314"/>
    </row>
    <row r="395" spans="18:59" x14ac:dyDescent="0.35">
      <c r="R395" s="1314"/>
      <c r="S395" s="1314"/>
      <c r="W395" s="1314"/>
      <c r="X395" s="1314"/>
      <c r="AE395" s="1314"/>
      <c r="AF395" s="1314"/>
      <c r="AV395" s="1314"/>
      <c r="AW395" s="1314"/>
      <c r="AX395" s="1314"/>
      <c r="AY395" s="1314"/>
      <c r="AZ395" s="1314"/>
      <c r="BA395" s="1314"/>
      <c r="BC395" s="1314"/>
      <c r="BE395" s="1314"/>
      <c r="BF395" s="1314"/>
      <c r="BG395" s="1314"/>
    </row>
    <row r="396" spans="18:59" x14ac:dyDescent="0.35">
      <c r="R396" s="1314"/>
      <c r="S396" s="1314"/>
      <c r="W396" s="1314"/>
      <c r="X396" s="1314"/>
      <c r="AE396" s="1314"/>
      <c r="AF396" s="1314"/>
      <c r="AV396" s="1314"/>
      <c r="AW396" s="1314"/>
      <c r="AX396" s="1314"/>
      <c r="AY396" s="1314"/>
      <c r="AZ396" s="1314"/>
      <c r="BA396" s="1314"/>
      <c r="BC396" s="1314"/>
      <c r="BE396" s="1314"/>
      <c r="BF396" s="1314"/>
      <c r="BG396" s="1314"/>
    </row>
    <row r="397" spans="18:59" x14ac:dyDescent="0.35">
      <c r="R397" s="1314"/>
      <c r="S397" s="1314"/>
      <c r="W397" s="1314"/>
      <c r="X397" s="1314"/>
      <c r="AE397" s="1314"/>
      <c r="AF397" s="1314"/>
      <c r="AV397" s="1314"/>
      <c r="AW397" s="1314"/>
      <c r="AX397" s="1314"/>
      <c r="AY397" s="1314"/>
      <c r="AZ397" s="1314"/>
      <c r="BA397" s="1314"/>
      <c r="BC397" s="1314"/>
      <c r="BE397" s="1314"/>
      <c r="BF397" s="1314"/>
      <c r="BG397" s="1314"/>
    </row>
    <row r="398" spans="18:59" x14ac:dyDescent="0.35">
      <c r="R398" s="1314"/>
      <c r="S398" s="1314"/>
      <c r="W398" s="1314"/>
      <c r="X398" s="1314"/>
      <c r="AE398" s="1314"/>
      <c r="AF398" s="1314"/>
      <c r="AV398" s="1314"/>
      <c r="AW398" s="1314"/>
      <c r="AX398" s="1314"/>
      <c r="AY398" s="1314"/>
      <c r="AZ398" s="1314"/>
      <c r="BA398" s="1314"/>
      <c r="BC398" s="1314"/>
      <c r="BE398" s="1314"/>
      <c r="BF398" s="1314"/>
      <c r="BG398" s="1314"/>
    </row>
    <row r="399" spans="18:59" x14ac:dyDescent="0.35">
      <c r="R399" s="1314"/>
      <c r="S399" s="1314"/>
      <c r="W399" s="1314"/>
      <c r="X399" s="1314"/>
      <c r="AE399" s="1314"/>
      <c r="AF399" s="1314"/>
      <c r="AV399" s="1314"/>
      <c r="AW399" s="1314"/>
      <c r="AX399" s="1314"/>
      <c r="AY399" s="1314"/>
      <c r="AZ399" s="1314"/>
      <c r="BA399" s="1314"/>
      <c r="BC399" s="1314"/>
      <c r="BE399" s="1314"/>
      <c r="BF399" s="1314"/>
      <c r="BG399" s="1314"/>
    </row>
    <row r="400" spans="18:59" x14ac:dyDescent="0.35">
      <c r="R400" s="1314"/>
      <c r="S400" s="1314"/>
      <c r="W400" s="1314"/>
      <c r="X400" s="1314"/>
      <c r="AE400" s="1314"/>
      <c r="AF400" s="1314"/>
      <c r="AV400" s="1314"/>
      <c r="AW400" s="1314"/>
      <c r="AX400" s="1314"/>
      <c r="AY400" s="1314"/>
      <c r="AZ400" s="1314"/>
      <c r="BA400" s="1314"/>
      <c r="BC400" s="1314"/>
      <c r="BE400" s="1314"/>
      <c r="BF400" s="1314"/>
      <c r="BG400" s="1314"/>
    </row>
    <row r="401" spans="18:59" x14ac:dyDescent="0.35">
      <c r="R401" s="1314"/>
      <c r="S401" s="1314"/>
      <c r="W401" s="1314"/>
      <c r="X401" s="1314"/>
      <c r="AE401" s="1314"/>
      <c r="AF401" s="1314"/>
      <c r="AV401" s="1314"/>
      <c r="AW401" s="1314"/>
      <c r="AX401" s="1314"/>
      <c r="AY401" s="1314"/>
      <c r="AZ401" s="1314"/>
      <c r="BA401" s="1314"/>
      <c r="BC401" s="1314"/>
      <c r="BE401" s="1314"/>
      <c r="BF401" s="1314"/>
      <c r="BG401" s="1314"/>
    </row>
    <row r="402" spans="18:59" x14ac:dyDescent="0.35">
      <c r="R402" s="1314"/>
      <c r="S402" s="1314"/>
      <c r="W402" s="1314"/>
      <c r="X402" s="1314"/>
      <c r="AE402" s="1314"/>
      <c r="AF402" s="1314"/>
      <c r="AV402" s="1314"/>
      <c r="AW402" s="1314"/>
      <c r="AX402" s="1314"/>
      <c r="AY402" s="1314"/>
      <c r="AZ402" s="1314"/>
      <c r="BA402" s="1314"/>
      <c r="BC402" s="1314"/>
      <c r="BE402" s="1314"/>
      <c r="BF402" s="1314"/>
      <c r="BG402" s="1314"/>
    </row>
    <row r="403" spans="18:59" x14ac:dyDescent="0.35">
      <c r="R403" s="1314"/>
      <c r="S403" s="1314"/>
      <c r="W403" s="1314"/>
      <c r="X403" s="1314"/>
      <c r="AE403" s="1314"/>
      <c r="AF403" s="1314"/>
      <c r="AV403" s="1314"/>
      <c r="AW403" s="1314"/>
      <c r="AX403" s="1314"/>
      <c r="AY403" s="1314"/>
      <c r="AZ403" s="1314"/>
      <c r="BA403" s="1314"/>
      <c r="BC403" s="1314"/>
      <c r="BE403" s="1314"/>
      <c r="BF403" s="1314"/>
      <c r="BG403" s="1314"/>
    </row>
    <row r="404" spans="18:59" x14ac:dyDescent="0.35">
      <c r="R404" s="1314"/>
      <c r="S404" s="1314"/>
      <c r="W404" s="1314"/>
      <c r="X404" s="1314"/>
      <c r="AE404" s="1314"/>
      <c r="AF404" s="1314"/>
      <c r="AV404" s="1314"/>
      <c r="AW404" s="1314"/>
      <c r="AX404" s="1314"/>
      <c r="AY404" s="1314"/>
      <c r="AZ404" s="1314"/>
      <c r="BA404" s="1314"/>
      <c r="BC404" s="1314"/>
      <c r="BE404" s="1314"/>
      <c r="BF404" s="1314"/>
      <c r="BG404" s="1314"/>
    </row>
    <row r="405" spans="18:59" x14ac:dyDescent="0.35">
      <c r="R405" s="1314"/>
      <c r="S405" s="1314"/>
      <c r="W405" s="1314"/>
      <c r="X405" s="1314"/>
      <c r="AE405" s="1314"/>
      <c r="AF405" s="1314"/>
      <c r="AV405" s="1314"/>
      <c r="AW405" s="1314"/>
      <c r="AX405" s="1314"/>
      <c r="AY405" s="1314"/>
      <c r="AZ405" s="1314"/>
      <c r="BA405" s="1314"/>
      <c r="BC405" s="1314"/>
      <c r="BE405" s="1314"/>
      <c r="BF405" s="1314"/>
      <c r="BG405" s="1314"/>
    </row>
    <row r="406" spans="18:59" x14ac:dyDescent="0.35">
      <c r="R406" s="1314"/>
      <c r="S406" s="1314"/>
      <c r="W406" s="1314"/>
      <c r="X406" s="1314"/>
      <c r="AE406" s="1314"/>
      <c r="AF406" s="1314"/>
      <c r="AV406" s="1314"/>
      <c r="AW406" s="1314"/>
      <c r="AX406" s="1314"/>
      <c r="AY406" s="1314"/>
      <c r="AZ406" s="1314"/>
      <c r="BA406" s="1314"/>
      <c r="BC406" s="1314"/>
      <c r="BE406" s="1314"/>
      <c r="BF406" s="1314"/>
      <c r="BG406" s="1314"/>
    </row>
    <row r="407" spans="18:59" x14ac:dyDescent="0.35">
      <c r="R407" s="1314"/>
      <c r="S407" s="1314"/>
      <c r="W407" s="1314"/>
      <c r="X407" s="1314"/>
      <c r="AE407" s="1314"/>
      <c r="AF407" s="1314"/>
      <c r="AV407" s="1314"/>
      <c r="AW407" s="1314"/>
      <c r="AX407" s="1314"/>
      <c r="AY407" s="1314"/>
      <c r="AZ407" s="1314"/>
      <c r="BA407" s="1314"/>
      <c r="BC407" s="1314"/>
      <c r="BE407" s="1314"/>
      <c r="BF407" s="1314"/>
      <c r="BG407" s="1314"/>
    </row>
    <row r="408" spans="18:59" x14ac:dyDescent="0.35">
      <c r="R408" s="1314"/>
      <c r="S408" s="1314"/>
      <c r="W408" s="1314"/>
      <c r="X408" s="1314"/>
      <c r="AE408" s="1314"/>
      <c r="AF408" s="1314"/>
      <c r="AV408" s="1314"/>
      <c r="AW408" s="1314"/>
      <c r="AX408" s="1314"/>
      <c r="AY408" s="1314"/>
      <c r="AZ408" s="1314"/>
      <c r="BA408" s="1314"/>
      <c r="BC408" s="1314"/>
      <c r="BE408" s="1314"/>
      <c r="BF408" s="1314"/>
      <c r="BG408" s="1314"/>
    </row>
    <row r="409" spans="18:59" x14ac:dyDescent="0.35">
      <c r="R409" s="1314"/>
      <c r="S409" s="1314"/>
      <c r="W409" s="1314"/>
      <c r="X409" s="1314"/>
      <c r="AE409" s="1314"/>
      <c r="AF409" s="1314"/>
      <c r="AV409" s="1314"/>
      <c r="AW409" s="1314"/>
      <c r="AX409" s="1314"/>
      <c r="AY409" s="1314"/>
      <c r="AZ409" s="1314"/>
      <c r="BA409" s="1314"/>
      <c r="BC409" s="1314"/>
      <c r="BE409" s="1314"/>
      <c r="BF409" s="1314"/>
      <c r="BG409" s="1314"/>
    </row>
    <row r="410" spans="18:59" x14ac:dyDescent="0.35">
      <c r="R410" s="1314"/>
      <c r="S410" s="1314"/>
      <c r="W410" s="1314"/>
      <c r="X410" s="1314"/>
      <c r="AE410" s="1314"/>
      <c r="AF410" s="1314"/>
      <c r="AV410" s="1314"/>
      <c r="AW410" s="1314"/>
      <c r="AX410" s="1314"/>
      <c r="AY410" s="1314"/>
      <c r="AZ410" s="1314"/>
      <c r="BA410" s="1314"/>
      <c r="BC410" s="1314"/>
      <c r="BE410" s="1314"/>
      <c r="BF410" s="1314"/>
      <c r="BG410" s="1314"/>
    </row>
    <row r="411" spans="18:59" x14ac:dyDescent="0.35">
      <c r="R411" s="1314"/>
      <c r="S411" s="1314"/>
      <c r="W411" s="1314"/>
      <c r="X411" s="1314"/>
      <c r="AE411" s="1314"/>
      <c r="AF411" s="1314"/>
      <c r="AV411" s="1314"/>
      <c r="AW411" s="1314"/>
      <c r="AX411" s="1314"/>
      <c r="AY411" s="1314"/>
      <c r="AZ411" s="1314"/>
      <c r="BA411" s="1314"/>
      <c r="BC411" s="1314"/>
      <c r="BE411" s="1314"/>
      <c r="BF411" s="1314"/>
      <c r="BG411" s="1314"/>
    </row>
    <row r="412" spans="18:59" x14ac:dyDescent="0.35">
      <c r="R412" s="1314"/>
      <c r="S412" s="1314"/>
      <c r="W412" s="1314"/>
      <c r="X412" s="1314"/>
      <c r="AE412" s="1314"/>
      <c r="AF412" s="1314"/>
      <c r="AV412" s="1314"/>
      <c r="AW412" s="1314"/>
      <c r="AX412" s="1314"/>
      <c r="AY412" s="1314"/>
      <c r="AZ412" s="1314"/>
      <c r="BA412" s="1314"/>
      <c r="BC412" s="1314"/>
      <c r="BE412" s="1314"/>
      <c r="BF412" s="1314"/>
      <c r="BG412" s="1314"/>
    </row>
    <row r="413" spans="18:59" x14ac:dyDescent="0.35">
      <c r="R413" s="1314"/>
      <c r="S413" s="1314"/>
      <c r="W413" s="1314"/>
      <c r="X413" s="1314"/>
      <c r="AE413" s="1314"/>
      <c r="AF413" s="1314"/>
      <c r="AV413" s="1314"/>
      <c r="AW413" s="1314"/>
      <c r="AX413" s="1314"/>
      <c r="AY413" s="1314"/>
      <c r="AZ413" s="1314"/>
      <c r="BA413" s="1314"/>
      <c r="BC413" s="1314"/>
      <c r="BE413" s="1314"/>
      <c r="BF413" s="1314"/>
      <c r="BG413" s="1314"/>
    </row>
    <row r="414" spans="18:59" x14ac:dyDescent="0.35">
      <c r="R414" s="1314"/>
      <c r="S414" s="1314"/>
      <c r="W414" s="1314"/>
      <c r="X414" s="1314"/>
      <c r="AE414" s="1314"/>
      <c r="AF414" s="1314"/>
      <c r="AV414" s="1314"/>
      <c r="AW414" s="1314"/>
      <c r="AX414" s="1314"/>
      <c r="AY414" s="1314"/>
      <c r="AZ414" s="1314"/>
      <c r="BA414" s="1314"/>
      <c r="BC414" s="1314"/>
      <c r="BE414" s="1314"/>
      <c r="BF414" s="1314"/>
      <c r="BG414" s="1314"/>
    </row>
    <row r="415" spans="18:59" x14ac:dyDescent="0.35">
      <c r="R415" s="1314"/>
      <c r="S415" s="1314"/>
      <c r="W415" s="1314"/>
      <c r="X415" s="1314"/>
      <c r="AE415" s="1314"/>
      <c r="AF415" s="1314"/>
      <c r="AV415" s="1314"/>
      <c r="AW415" s="1314"/>
      <c r="AX415" s="1314"/>
      <c r="AY415" s="1314"/>
      <c r="AZ415" s="1314"/>
      <c r="BA415" s="1314"/>
      <c r="BC415" s="1314"/>
      <c r="BE415" s="1314"/>
      <c r="BF415" s="1314"/>
      <c r="BG415" s="1314"/>
    </row>
    <row r="416" spans="18:59" x14ac:dyDescent="0.35">
      <c r="R416" s="1314"/>
      <c r="S416" s="1314"/>
      <c r="W416" s="1314"/>
      <c r="X416" s="1314"/>
      <c r="AE416" s="1314"/>
      <c r="AF416" s="1314"/>
      <c r="AV416" s="1314"/>
      <c r="AW416" s="1314"/>
      <c r="AX416" s="1314"/>
      <c r="AY416" s="1314"/>
      <c r="AZ416" s="1314"/>
      <c r="BA416" s="1314"/>
      <c r="BC416" s="1314"/>
      <c r="BE416" s="1314"/>
      <c r="BF416" s="1314"/>
      <c r="BG416" s="1314"/>
    </row>
    <row r="417" spans="18:59" x14ac:dyDescent="0.35">
      <c r="R417" s="1314"/>
      <c r="S417" s="1314"/>
      <c r="W417" s="1314"/>
      <c r="X417" s="1314"/>
      <c r="AE417" s="1314"/>
      <c r="AF417" s="1314"/>
      <c r="AV417" s="1314"/>
      <c r="AW417" s="1314"/>
      <c r="AX417" s="1314"/>
      <c r="AY417" s="1314"/>
      <c r="AZ417" s="1314"/>
      <c r="BA417" s="1314"/>
      <c r="BC417" s="1314"/>
      <c r="BE417" s="1314"/>
      <c r="BF417" s="1314"/>
      <c r="BG417" s="1314"/>
    </row>
    <row r="418" spans="18:59" x14ac:dyDescent="0.35">
      <c r="R418" s="1314"/>
      <c r="S418" s="1314"/>
      <c r="W418" s="1314"/>
      <c r="X418" s="1314"/>
      <c r="AE418" s="1314"/>
      <c r="AF418" s="1314"/>
      <c r="AV418" s="1314"/>
      <c r="AW418" s="1314"/>
      <c r="AX418" s="1314"/>
      <c r="AY418" s="1314"/>
      <c r="AZ418" s="1314"/>
      <c r="BA418" s="1314"/>
      <c r="BC418" s="1314"/>
      <c r="BE418" s="1314"/>
      <c r="BF418" s="1314"/>
      <c r="BG418" s="1314"/>
    </row>
    <row r="419" spans="18:59" x14ac:dyDescent="0.35">
      <c r="R419" s="1314"/>
      <c r="S419" s="1314"/>
      <c r="W419" s="1314"/>
      <c r="X419" s="1314"/>
      <c r="AE419" s="1314"/>
      <c r="AF419" s="1314"/>
      <c r="AV419" s="1314"/>
      <c r="AW419" s="1314"/>
      <c r="AX419" s="1314"/>
      <c r="AY419" s="1314"/>
      <c r="AZ419" s="1314"/>
      <c r="BA419" s="1314"/>
      <c r="BC419" s="1314"/>
      <c r="BE419" s="1314"/>
      <c r="BF419" s="1314"/>
      <c r="BG419" s="1314"/>
    </row>
    <row r="420" spans="18:59" x14ac:dyDescent="0.35">
      <c r="R420" s="1314"/>
      <c r="S420" s="1314"/>
      <c r="W420" s="1314"/>
      <c r="X420" s="1314"/>
      <c r="AE420" s="1314"/>
      <c r="AF420" s="1314"/>
      <c r="AV420" s="1314"/>
      <c r="AW420" s="1314"/>
      <c r="AX420" s="1314"/>
      <c r="AY420" s="1314"/>
      <c r="AZ420" s="1314"/>
      <c r="BA420" s="1314"/>
      <c r="BC420" s="1314"/>
      <c r="BE420" s="1314"/>
      <c r="BF420" s="1314"/>
      <c r="BG420" s="1314"/>
    </row>
    <row r="421" spans="18:59" x14ac:dyDescent="0.35">
      <c r="R421" s="1314"/>
      <c r="S421" s="1314"/>
      <c r="W421" s="1314"/>
      <c r="X421" s="1314"/>
      <c r="AE421" s="1314"/>
      <c r="AF421" s="1314"/>
      <c r="AV421" s="1314"/>
      <c r="AW421" s="1314"/>
      <c r="AX421" s="1314"/>
      <c r="AY421" s="1314"/>
      <c r="AZ421" s="1314"/>
      <c r="BA421" s="1314"/>
      <c r="BC421" s="1314"/>
      <c r="BE421" s="1314"/>
      <c r="BF421" s="1314"/>
      <c r="BG421" s="1314"/>
    </row>
    <row r="422" spans="18:59" x14ac:dyDescent="0.35">
      <c r="R422" s="1314"/>
      <c r="S422" s="1314"/>
      <c r="W422" s="1314"/>
      <c r="X422" s="1314"/>
      <c r="AE422" s="1314"/>
      <c r="AF422" s="1314"/>
      <c r="AV422" s="1314"/>
      <c r="AW422" s="1314"/>
      <c r="AX422" s="1314"/>
      <c r="AY422" s="1314"/>
      <c r="AZ422" s="1314"/>
      <c r="BA422" s="1314"/>
      <c r="BC422" s="1314"/>
      <c r="BE422" s="1314"/>
      <c r="BF422" s="1314"/>
      <c r="BG422" s="1314"/>
    </row>
    <row r="423" spans="18:59" x14ac:dyDescent="0.35">
      <c r="R423" s="1314"/>
      <c r="S423" s="1314"/>
      <c r="W423" s="1314"/>
      <c r="X423" s="1314"/>
      <c r="AE423" s="1314"/>
      <c r="AF423" s="1314"/>
      <c r="AV423" s="1314"/>
      <c r="AW423" s="1314"/>
      <c r="AX423" s="1314"/>
      <c r="AY423" s="1314"/>
      <c r="AZ423" s="1314"/>
      <c r="BA423" s="1314"/>
      <c r="BC423" s="1314"/>
      <c r="BE423" s="1314"/>
      <c r="BF423" s="1314"/>
      <c r="BG423" s="1314"/>
    </row>
    <row r="424" spans="18:59" x14ac:dyDescent="0.35">
      <c r="R424" s="1314"/>
      <c r="S424" s="1314"/>
      <c r="W424" s="1314"/>
      <c r="X424" s="1314"/>
      <c r="AE424" s="1314"/>
      <c r="AF424" s="1314"/>
      <c r="AV424" s="1314"/>
      <c r="AW424" s="1314"/>
      <c r="AX424" s="1314"/>
      <c r="AY424" s="1314"/>
      <c r="AZ424" s="1314"/>
      <c r="BA424" s="1314"/>
      <c r="BC424" s="1314"/>
      <c r="BE424" s="1314"/>
      <c r="BF424" s="1314"/>
      <c r="BG424" s="1314"/>
    </row>
    <row r="425" spans="18:59" x14ac:dyDescent="0.35">
      <c r="R425" s="1314"/>
      <c r="S425" s="1314"/>
      <c r="W425" s="1314"/>
      <c r="X425" s="1314"/>
      <c r="AE425" s="1314"/>
      <c r="AF425" s="1314"/>
      <c r="AV425" s="1314"/>
      <c r="AW425" s="1314"/>
      <c r="AX425" s="1314"/>
      <c r="AY425" s="1314"/>
      <c r="AZ425" s="1314"/>
      <c r="BA425" s="1314"/>
      <c r="BC425" s="1314"/>
      <c r="BE425" s="1314"/>
      <c r="BF425" s="1314"/>
      <c r="BG425" s="1314"/>
    </row>
    <row r="426" spans="18:59" x14ac:dyDescent="0.35">
      <c r="R426" s="1314"/>
      <c r="S426" s="1314"/>
      <c r="W426" s="1314"/>
      <c r="X426" s="1314"/>
      <c r="AE426" s="1314"/>
      <c r="AF426" s="1314"/>
      <c r="AV426" s="1314"/>
      <c r="AW426" s="1314"/>
      <c r="AX426" s="1314"/>
      <c r="AY426" s="1314"/>
      <c r="AZ426" s="1314"/>
      <c r="BA426" s="1314"/>
      <c r="BC426" s="1314"/>
      <c r="BE426" s="1314"/>
      <c r="BF426" s="1314"/>
      <c r="BG426" s="1314"/>
    </row>
    <row r="427" spans="18:59" x14ac:dyDescent="0.35">
      <c r="R427" s="1314"/>
      <c r="S427" s="1314"/>
      <c r="W427" s="1314"/>
      <c r="X427" s="1314"/>
      <c r="AE427" s="1314"/>
      <c r="AF427" s="1314"/>
      <c r="AV427" s="1314"/>
      <c r="AW427" s="1314"/>
      <c r="AX427" s="1314"/>
      <c r="AY427" s="1314"/>
      <c r="AZ427" s="1314"/>
      <c r="BA427" s="1314"/>
      <c r="BC427" s="1314"/>
      <c r="BE427" s="1314"/>
      <c r="BF427" s="1314"/>
      <c r="BG427" s="1314"/>
    </row>
    <row r="428" spans="18:59" x14ac:dyDescent="0.35">
      <c r="R428" s="1314"/>
      <c r="S428" s="1314"/>
      <c r="W428" s="1314"/>
      <c r="X428" s="1314"/>
      <c r="AE428" s="1314"/>
      <c r="AF428" s="1314"/>
      <c r="AV428" s="1314"/>
      <c r="AW428" s="1314"/>
      <c r="AX428" s="1314"/>
      <c r="AY428" s="1314"/>
      <c r="AZ428" s="1314"/>
      <c r="BA428" s="1314"/>
      <c r="BC428" s="1314"/>
      <c r="BE428" s="1314"/>
      <c r="BF428" s="1314"/>
      <c r="BG428" s="1314"/>
    </row>
    <row r="429" spans="18:59" x14ac:dyDescent="0.35">
      <c r="R429" s="1314"/>
      <c r="S429" s="1314"/>
      <c r="W429" s="1314"/>
      <c r="X429" s="1314"/>
      <c r="AE429" s="1314"/>
      <c r="AF429" s="1314"/>
      <c r="AV429" s="1314"/>
      <c r="AW429" s="1314"/>
      <c r="AX429" s="1314"/>
      <c r="AY429" s="1314"/>
      <c r="AZ429" s="1314"/>
      <c r="BA429" s="1314"/>
      <c r="BC429" s="1314"/>
      <c r="BE429" s="1314"/>
      <c r="BF429" s="1314"/>
      <c r="BG429" s="1314"/>
    </row>
    <row r="430" spans="18:59" x14ac:dyDescent="0.35">
      <c r="R430" s="1314"/>
      <c r="S430" s="1314"/>
      <c r="W430" s="1314"/>
      <c r="X430" s="1314"/>
      <c r="AE430" s="1314"/>
      <c r="AF430" s="1314"/>
      <c r="AV430" s="1314"/>
      <c r="AW430" s="1314"/>
      <c r="AX430" s="1314"/>
      <c r="AY430" s="1314"/>
      <c r="AZ430" s="1314"/>
      <c r="BA430" s="1314"/>
      <c r="BC430" s="1314"/>
      <c r="BE430" s="1314"/>
      <c r="BF430" s="1314"/>
      <c r="BG430" s="1314"/>
    </row>
    <row r="431" spans="18:59" x14ac:dyDescent="0.35">
      <c r="R431" s="1314"/>
      <c r="S431" s="1314"/>
      <c r="W431" s="1314"/>
      <c r="X431" s="1314"/>
      <c r="AE431" s="1314"/>
      <c r="AF431" s="1314"/>
      <c r="AV431" s="1314"/>
      <c r="AW431" s="1314"/>
      <c r="AX431" s="1314"/>
      <c r="AY431" s="1314"/>
      <c r="AZ431" s="1314"/>
      <c r="BA431" s="1314"/>
      <c r="BC431" s="1314"/>
      <c r="BE431" s="1314"/>
      <c r="BF431" s="1314"/>
      <c r="BG431" s="1314"/>
    </row>
    <row r="432" spans="18:59" x14ac:dyDescent="0.35">
      <c r="R432" s="1314"/>
      <c r="S432" s="1314"/>
      <c r="W432" s="1314"/>
      <c r="X432" s="1314"/>
      <c r="AE432" s="1314"/>
      <c r="AF432" s="1314"/>
      <c r="AV432" s="1314"/>
      <c r="AW432" s="1314"/>
      <c r="AX432" s="1314"/>
      <c r="AY432" s="1314"/>
      <c r="AZ432" s="1314"/>
      <c r="BA432" s="1314"/>
      <c r="BC432" s="1314"/>
      <c r="BE432" s="1314"/>
      <c r="BF432" s="1314"/>
      <c r="BG432" s="1314"/>
    </row>
    <row r="433" spans="18:59" x14ac:dyDescent="0.35">
      <c r="R433" s="1314"/>
      <c r="S433" s="1314"/>
      <c r="W433" s="1314"/>
      <c r="X433" s="1314"/>
      <c r="AE433" s="1314"/>
      <c r="AF433" s="1314"/>
      <c r="AV433" s="1314"/>
      <c r="AW433" s="1314"/>
      <c r="AX433" s="1314"/>
      <c r="AY433" s="1314"/>
      <c r="AZ433" s="1314"/>
      <c r="BA433" s="1314"/>
      <c r="BC433" s="1314"/>
      <c r="BE433" s="1314"/>
      <c r="BF433" s="1314"/>
      <c r="BG433" s="1314"/>
    </row>
    <row r="434" spans="18:59" x14ac:dyDescent="0.35">
      <c r="R434" s="1314"/>
      <c r="S434" s="1314"/>
      <c r="W434" s="1314"/>
      <c r="X434" s="1314"/>
      <c r="AE434" s="1314"/>
      <c r="AF434" s="1314"/>
      <c r="AV434" s="1314"/>
      <c r="AW434" s="1314"/>
      <c r="AX434" s="1314"/>
      <c r="AY434" s="1314"/>
      <c r="AZ434" s="1314"/>
      <c r="BA434" s="1314"/>
      <c r="BC434" s="1314"/>
      <c r="BE434" s="1314"/>
      <c r="BF434" s="1314"/>
      <c r="BG434" s="1314"/>
    </row>
    <row r="435" spans="18:59" x14ac:dyDescent="0.35">
      <c r="R435" s="1314"/>
      <c r="S435" s="1314"/>
      <c r="W435" s="1314"/>
      <c r="X435" s="1314"/>
      <c r="AE435" s="1314"/>
      <c r="AF435" s="1314"/>
      <c r="AV435" s="1314"/>
      <c r="AW435" s="1314"/>
      <c r="AX435" s="1314"/>
      <c r="AY435" s="1314"/>
      <c r="AZ435" s="1314"/>
      <c r="BA435" s="1314"/>
      <c r="BC435" s="1314"/>
      <c r="BE435" s="1314"/>
      <c r="BF435" s="1314"/>
      <c r="BG435" s="1314"/>
    </row>
    <row r="436" spans="18:59" x14ac:dyDescent="0.35">
      <c r="R436" s="1314"/>
      <c r="S436" s="1314"/>
      <c r="W436" s="1314"/>
      <c r="X436" s="1314"/>
      <c r="AE436" s="1314"/>
      <c r="AF436" s="1314"/>
      <c r="AV436" s="1314"/>
      <c r="AW436" s="1314"/>
      <c r="AX436" s="1314"/>
      <c r="AY436" s="1314"/>
      <c r="AZ436" s="1314"/>
      <c r="BA436" s="1314"/>
      <c r="BC436" s="1314"/>
      <c r="BE436" s="1314"/>
      <c r="BF436" s="1314"/>
      <c r="BG436" s="1314"/>
    </row>
    <row r="437" spans="18:59" x14ac:dyDescent="0.35">
      <c r="R437" s="1314"/>
      <c r="S437" s="1314"/>
      <c r="W437" s="1314"/>
      <c r="X437" s="1314"/>
      <c r="AE437" s="1314"/>
      <c r="AF437" s="1314"/>
      <c r="AV437" s="1314"/>
      <c r="AW437" s="1314"/>
      <c r="AX437" s="1314"/>
      <c r="AY437" s="1314"/>
      <c r="AZ437" s="1314"/>
      <c r="BA437" s="1314"/>
      <c r="BC437" s="1314"/>
      <c r="BE437" s="1314"/>
      <c r="BF437" s="1314"/>
      <c r="BG437" s="1314"/>
    </row>
    <row r="438" spans="18:59" x14ac:dyDescent="0.35">
      <c r="R438" s="1314"/>
      <c r="S438" s="1314"/>
      <c r="W438" s="1314"/>
      <c r="X438" s="1314"/>
      <c r="AE438" s="1314"/>
      <c r="AF438" s="1314"/>
      <c r="AV438" s="1314"/>
      <c r="AW438" s="1314"/>
      <c r="AX438" s="1314"/>
      <c r="AY438" s="1314"/>
      <c r="AZ438" s="1314"/>
      <c r="BA438" s="1314"/>
      <c r="BC438" s="1314"/>
      <c r="BE438" s="1314"/>
      <c r="BF438" s="1314"/>
      <c r="BG438" s="1314"/>
    </row>
    <row r="439" spans="18:59" x14ac:dyDescent="0.35">
      <c r="R439" s="1314"/>
      <c r="S439" s="1314"/>
      <c r="W439" s="1314"/>
      <c r="X439" s="1314"/>
      <c r="AE439" s="1314"/>
      <c r="AF439" s="1314"/>
      <c r="AV439" s="1314"/>
      <c r="AW439" s="1314"/>
      <c r="AX439" s="1314"/>
      <c r="AY439" s="1314"/>
      <c r="AZ439" s="1314"/>
      <c r="BA439" s="1314"/>
      <c r="BC439" s="1314"/>
      <c r="BE439" s="1314"/>
      <c r="BF439" s="1314"/>
      <c r="BG439" s="1314"/>
    </row>
    <row r="440" spans="18:59" x14ac:dyDescent="0.35">
      <c r="R440" s="1314"/>
      <c r="S440" s="1314"/>
      <c r="W440" s="1314"/>
      <c r="X440" s="1314"/>
      <c r="AE440" s="1314"/>
      <c r="AF440" s="1314"/>
      <c r="AV440" s="1314"/>
      <c r="AW440" s="1314"/>
      <c r="AX440" s="1314"/>
      <c r="AY440" s="1314"/>
      <c r="AZ440" s="1314"/>
      <c r="BA440" s="1314"/>
      <c r="BC440" s="1314"/>
      <c r="BE440" s="1314"/>
      <c r="BF440" s="1314"/>
      <c r="BG440" s="1314"/>
    </row>
    <row r="441" spans="18:59" x14ac:dyDescent="0.35">
      <c r="R441" s="1314"/>
      <c r="S441" s="1314"/>
      <c r="W441" s="1314"/>
      <c r="X441" s="1314"/>
      <c r="AE441" s="1314"/>
      <c r="AF441" s="1314"/>
      <c r="AV441" s="1314"/>
      <c r="AW441" s="1314"/>
      <c r="AX441" s="1314"/>
      <c r="AY441" s="1314"/>
      <c r="AZ441" s="1314"/>
      <c r="BA441" s="1314"/>
      <c r="BC441" s="1314"/>
      <c r="BE441" s="1314"/>
      <c r="BF441" s="1314"/>
      <c r="BG441" s="1314"/>
    </row>
    <row r="442" spans="18:59" x14ac:dyDescent="0.35">
      <c r="R442" s="1314"/>
      <c r="S442" s="1314"/>
      <c r="W442" s="1314"/>
      <c r="X442" s="1314"/>
      <c r="AE442" s="1314"/>
      <c r="AF442" s="1314"/>
      <c r="AV442" s="1314"/>
      <c r="AW442" s="1314"/>
      <c r="AX442" s="1314"/>
      <c r="AY442" s="1314"/>
      <c r="AZ442" s="1314"/>
      <c r="BA442" s="1314"/>
      <c r="BC442" s="1314"/>
      <c r="BE442" s="1314"/>
      <c r="BF442" s="1314"/>
      <c r="BG442" s="1314"/>
    </row>
    <row r="443" spans="18:59" x14ac:dyDescent="0.35">
      <c r="R443" s="1314"/>
      <c r="S443" s="1314"/>
      <c r="W443" s="1314"/>
      <c r="X443" s="1314"/>
      <c r="AE443" s="1314"/>
      <c r="AF443" s="1314"/>
      <c r="AV443" s="1314"/>
      <c r="AW443" s="1314"/>
      <c r="AX443" s="1314"/>
      <c r="AY443" s="1314"/>
      <c r="AZ443" s="1314"/>
      <c r="BA443" s="1314"/>
      <c r="BC443" s="1314"/>
      <c r="BE443" s="1314"/>
      <c r="BF443" s="1314"/>
      <c r="BG443" s="1314"/>
    </row>
    <row r="444" spans="18:59" x14ac:dyDescent="0.35">
      <c r="R444" s="1314"/>
      <c r="S444" s="1314"/>
      <c r="W444" s="1314"/>
      <c r="X444" s="1314"/>
      <c r="AE444" s="1314"/>
      <c r="AF444" s="1314"/>
      <c r="AV444" s="1314"/>
      <c r="AW444" s="1314"/>
      <c r="AX444" s="1314"/>
      <c r="AY444" s="1314"/>
      <c r="AZ444" s="1314"/>
      <c r="BA444" s="1314"/>
      <c r="BC444" s="1314"/>
      <c r="BE444" s="1314"/>
      <c r="BF444" s="1314"/>
      <c r="BG444" s="1314"/>
    </row>
    <row r="445" spans="18:59" x14ac:dyDescent="0.35">
      <c r="R445" s="1314"/>
      <c r="S445" s="1314"/>
      <c r="W445" s="1314"/>
      <c r="X445" s="1314"/>
      <c r="AE445" s="1314"/>
      <c r="AF445" s="1314"/>
      <c r="AV445" s="1314"/>
      <c r="AW445" s="1314"/>
      <c r="AX445" s="1314"/>
      <c r="AY445" s="1314"/>
      <c r="AZ445" s="1314"/>
      <c r="BA445" s="1314"/>
      <c r="BC445" s="1314"/>
      <c r="BE445" s="1314"/>
      <c r="BF445" s="1314"/>
      <c r="BG445" s="1314"/>
    </row>
    <row r="446" spans="18:59" x14ac:dyDescent="0.35">
      <c r="R446" s="1314"/>
      <c r="S446" s="1314"/>
      <c r="W446" s="1314"/>
      <c r="X446" s="1314"/>
      <c r="AE446" s="1314"/>
      <c r="AF446" s="1314"/>
      <c r="AV446" s="1314"/>
      <c r="AW446" s="1314"/>
      <c r="AX446" s="1314"/>
      <c r="AY446" s="1314"/>
      <c r="AZ446" s="1314"/>
      <c r="BA446" s="1314"/>
      <c r="BC446" s="1314"/>
      <c r="BE446" s="1314"/>
      <c r="BF446" s="1314"/>
      <c r="BG446" s="1314"/>
    </row>
    <row r="447" spans="18:59" x14ac:dyDescent="0.35">
      <c r="R447" s="1314"/>
      <c r="S447" s="1314"/>
      <c r="W447" s="1314"/>
      <c r="X447" s="1314"/>
      <c r="AE447" s="1314"/>
      <c r="AF447" s="1314"/>
      <c r="AV447" s="1314"/>
      <c r="AW447" s="1314"/>
      <c r="AX447" s="1314"/>
      <c r="AY447" s="1314"/>
      <c r="AZ447" s="1314"/>
      <c r="BA447" s="1314"/>
      <c r="BC447" s="1314"/>
      <c r="BE447" s="1314"/>
      <c r="BF447" s="1314"/>
      <c r="BG447" s="1314"/>
    </row>
    <row r="448" spans="18:59" x14ac:dyDescent="0.35">
      <c r="R448" s="1314"/>
      <c r="S448" s="1314"/>
      <c r="W448" s="1314"/>
      <c r="X448" s="1314"/>
      <c r="AE448" s="1314"/>
      <c r="AF448" s="1314"/>
      <c r="AV448" s="1314"/>
      <c r="AW448" s="1314"/>
      <c r="AX448" s="1314"/>
      <c r="AY448" s="1314"/>
      <c r="AZ448" s="1314"/>
      <c r="BA448" s="1314"/>
      <c r="BC448" s="1314"/>
      <c r="BE448" s="1314"/>
      <c r="BF448" s="1314"/>
      <c r="BG448" s="1314"/>
    </row>
    <row r="449" spans="18:59" x14ac:dyDescent="0.35">
      <c r="R449" s="1314"/>
      <c r="S449" s="1314"/>
      <c r="W449" s="1314"/>
      <c r="X449" s="1314"/>
      <c r="AE449" s="1314"/>
      <c r="AF449" s="1314"/>
      <c r="AV449" s="1314"/>
      <c r="AW449" s="1314"/>
      <c r="AX449" s="1314"/>
      <c r="AY449" s="1314"/>
      <c r="AZ449" s="1314"/>
      <c r="BA449" s="1314"/>
      <c r="BC449" s="1314"/>
      <c r="BE449" s="1314"/>
      <c r="BF449" s="1314"/>
      <c r="BG449" s="1314"/>
    </row>
    <row r="450" spans="18:59" x14ac:dyDescent="0.35">
      <c r="R450" s="1314"/>
      <c r="S450" s="1314"/>
      <c r="W450" s="1314"/>
      <c r="X450" s="1314"/>
      <c r="AE450" s="1314"/>
      <c r="AF450" s="1314"/>
      <c r="AV450" s="1314"/>
      <c r="AW450" s="1314"/>
      <c r="AX450" s="1314"/>
      <c r="AY450" s="1314"/>
      <c r="AZ450" s="1314"/>
      <c r="BA450" s="1314"/>
      <c r="BC450" s="1314"/>
      <c r="BE450" s="1314"/>
      <c r="BF450" s="1314"/>
      <c r="BG450" s="1314"/>
    </row>
    <row r="451" spans="18:59" x14ac:dyDescent="0.35">
      <c r="R451" s="1314"/>
      <c r="S451" s="1314"/>
      <c r="W451" s="1314"/>
      <c r="X451" s="1314"/>
      <c r="AE451" s="1314"/>
      <c r="AF451" s="1314"/>
      <c r="AV451" s="1314"/>
      <c r="AW451" s="1314"/>
      <c r="AX451" s="1314"/>
      <c r="AY451" s="1314"/>
      <c r="AZ451" s="1314"/>
      <c r="BA451" s="1314"/>
      <c r="BC451" s="1314"/>
      <c r="BE451" s="1314"/>
      <c r="BF451" s="1314"/>
      <c r="BG451" s="1314"/>
    </row>
    <row r="452" spans="18:59" x14ac:dyDescent="0.35">
      <c r="R452" s="1314"/>
      <c r="S452" s="1314"/>
      <c r="W452" s="1314"/>
      <c r="X452" s="1314"/>
      <c r="AE452" s="1314"/>
      <c r="AF452" s="1314"/>
      <c r="AV452" s="1314"/>
      <c r="AW452" s="1314"/>
      <c r="AX452" s="1314"/>
      <c r="AY452" s="1314"/>
      <c r="AZ452" s="1314"/>
      <c r="BA452" s="1314"/>
      <c r="BC452" s="1314"/>
      <c r="BE452" s="1314"/>
      <c r="BF452" s="1314"/>
      <c r="BG452" s="1314"/>
    </row>
    <row r="453" spans="18:59" x14ac:dyDescent="0.35">
      <c r="R453" s="1314"/>
      <c r="S453" s="1314"/>
      <c r="W453" s="1314"/>
      <c r="X453" s="1314"/>
      <c r="AE453" s="1314"/>
      <c r="AF453" s="1314"/>
      <c r="AV453" s="1314"/>
      <c r="AW453" s="1314"/>
      <c r="AX453" s="1314"/>
      <c r="AY453" s="1314"/>
      <c r="AZ453" s="1314"/>
      <c r="BA453" s="1314"/>
      <c r="BC453" s="1314"/>
      <c r="BE453" s="1314"/>
      <c r="BF453" s="1314"/>
      <c r="BG453" s="1314"/>
    </row>
    <row r="454" spans="18:59" x14ac:dyDescent="0.35">
      <c r="R454" s="1314"/>
      <c r="S454" s="1314"/>
      <c r="W454" s="1314"/>
      <c r="X454" s="1314"/>
      <c r="AE454" s="1314"/>
      <c r="AF454" s="1314"/>
      <c r="AV454" s="1314"/>
      <c r="AW454" s="1314"/>
      <c r="AX454" s="1314"/>
      <c r="AY454" s="1314"/>
      <c r="AZ454" s="1314"/>
      <c r="BA454" s="1314"/>
      <c r="BC454" s="1314"/>
      <c r="BE454" s="1314"/>
      <c r="BF454" s="1314"/>
      <c r="BG454" s="1314"/>
    </row>
    <row r="455" spans="18:59" x14ac:dyDescent="0.35">
      <c r="R455" s="1314"/>
      <c r="S455" s="1314"/>
      <c r="W455" s="1314"/>
      <c r="X455" s="1314"/>
      <c r="AE455" s="1314"/>
      <c r="AF455" s="1314"/>
      <c r="AV455" s="1314"/>
      <c r="AW455" s="1314"/>
      <c r="AX455" s="1314"/>
      <c r="AY455" s="1314"/>
      <c r="AZ455" s="1314"/>
      <c r="BA455" s="1314"/>
      <c r="BC455" s="1314"/>
      <c r="BE455" s="1314"/>
      <c r="BF455" s="1314"/>
      <c r="BG455" s="1314"/>
    </row>
    <row r="456" spans="18:59" x14ac:dyDescent="0.35">
      <c r="R456" s="1314"/>
      <c r="S456" s="1314"/>
      <c r="W456" s="1314"/>
      <c r="X456" s="1314"/>
      <c r="AE456" s="1314"/>
      <c r="AF456" s="1314"/>
      <c r="AV456" s="1314"/>
      <c r="AW456" s="1314"/>
      <c r="AX456" s="1314"/>
      <c r="AY456" s="1314"/>
      <c r="AZ456" s="1314"/>
      <c r="BA456" s="1314"/>
      <c r="BC456" s="1314"/>
      <c r="BE456" s="1314"/>
      <c r="BF456" s="1314"/>
      <c r="BG456" s="1314"/>
    </row>
    <row r="457" spans="18:59" x14ac:dyDescent="0.35">
      <c r="R457" s="1314"/>
      <c r="S457" s="1314"/>
      <c r="W457" s="1314"/>
      <c r="X457" s="1314"/>
      <c r="AE457" s="1314"/>
      <c r="AF457" s="1314"/>
      <c r="AV457" s="1314"/>
      <c r="AW457" s="1314"/>
      <c r="AX457" s="1314"/>
      <c r="AY457" s="1314"/>
      <c r="AZ457" s="1314"/>
      <c r="BA457" s="1314"/>
      <c r="BC457" s="1314"/>
      <c r="BE457" s="1314"/>
      <c r="BF457" s="1314"/>
      <c r="BG457" s="1314"/>
    </row>
    <row r="458" spans="18:59" x14ac:dyDescent="0.35">
      <c r="R458" s="1314"/>
      <c r="S458" s="1314"/>
      <c r="W458" s="1314"/>
      <c r="X458" s="1314"/>
      <c r="AE458" s="1314"/>
      <c r="AF458" s="1314"/>
      <c r="AV458" s="1314"/>
      <c r="AW458" s="1314"/>
      <c r="AX458" s="1314"/>
      <c r="AY458" s="1314"/>
      <c r="AZ458" s="1314"/>
      <c r="BA458" s="1314"/>
      <c r="BC458" s="1314"/>
      <c r="BE458" s="1314"/>
      <c r="BF458" s="1314"/>
      <c r="BG458" s="1314"/>
    </row>
    <row r="459" spans="18:59" x14ac:dyDescent="0.35">
      <c r="R459" s="1314"/>
      <c r="S459" s="1314"/>
      <c r="W459" s="1314"/>
      <c r="X459" s="1314"/>
      <c r="AE459" s="1314"/>
      <c r="AF459" s="1314"/>
      <c r="AV459" s="1314"/>
      <c r="AW459" s="1314"/>
      <c r="AX459" s="1314"/>
      <c r="AY459" s="1314"/>
      <c r="AZ459" s="1314"/>
      <c r="BA459" s="1314"/>
      <c r="BC459" s="1314"/>
      <c r="BE459" s="1314"/>
      <c r="BF459" s="1314"/>
      <c r="BG459" s="1314"/>
    </row>
    <row r="460" spans="18:59" x14ac:dyDescent="0.35">
      <c r="R460" s="1314"/>
      <c r="S460" s="1314"/>
      <c r="W460" s="1314"/>
      <c r="X460" s="1314"/>
      <c r="AE460" s="1314"/>
      <c r="AF460" s="1314"/>
      <c r="AV460" s="1314"/>
      <c r="AW460" s="1314"/>
      <c r="AX460" s="1314"/>
      <c r="AY460" s="1314"/>
      <c r="AZ460" s="1314"/>
      <c r="BA460" s="1314"/>
      <c r="BC460" s="1314"/>
      <c r="BE460" s="1314"/>
      <c r="BF460" s="1314"/>
      <c r="BG460" s="1314"/>
    </row>
    <row r="461" spans="18:59" x14ac:dyDescent="0.35">
      <c r="R461" s="1314"/>
      <c r="S461" s="1314"/>
      <c r="W461" s="1314"/>
      <c r="X461" s="1314"/>
      <c r="AE461" s="1314"/>
      <c r="AF461" s="1314"/>
      <c r="AV461" s="1314"/>
      <c r="AW461" s="1314"/>
      <c r="AX461" s="1314"/>
      <c r="AY461" s="1314"/>
      <c r="AZ461" s="1314"/>
      <c r="BA461" s="1314"/>
      <c r="BC461" s="1314"/>
      <c r="BE461" s="1314"/>
      <c r="BF461" s="1314"/>
      <c r="BG461" s="1314"/>
    </row>
    <row r="462" spans="18:59" x14ac:dyDescent="0.35">
      <c r="R462" s="1314"/>
      <c r="S462" s="1314"/>
      <c r="W462" s="1314"/>
      <c r="X462" s="1314"/>
      <c r="AE462" s="1314"/>
      <c r="AF462" s="1314"/>
      <c r="AV462" s="1314"/>
      <c r="AW462" s="1314"/>
      <c r="AX462" s="1314"/>
      <c r="AY462" s="1314"/>
      <c r="AZ462" s="1314"/>
      <c r="BA462" s="1314"/>
      <c r="BC462" s="1314"/>
      <c r="BE462" s="1314"/>
      <c r="BF462" s="1314"/>
      <c r="BG462" s="1314"/>
    </row>
    <row r="463" spans="18:59" x14ac:dyDescent="0.35">
      <c r="R463" s="1314"/>
      <c r="S463" s="1314"/>
      <c r="W463" s="1314"/>
      <c r="X463" s="1314"/>
      <c r="AE463" s="1314"/>
      <c r="AF463" s="1314"/>
      <c r="AV463" s="1314"/>
      <c r="AW463" s="1314"/>
      <c r="AX463" s="1314"/>
      <c r="AY463" s="1314"/>
      <c r="AZ463" s="1314"/>
      <c r="BA463" s="1314"/>
      <c r="BC463" s="1314"/>
      <c r="BE463" s="1314"/>
      <c r="BF463" s="1314"/>
      <c r="BG463" s="1314"/>
    </row>
    <row r="464" spans="18:59" x14ac:dyDescent="0.35">
      <c r="R464" s="1314"/>
      <c r="S464" s="1314"/>
      <c r="W464" s="1314"/>
      <c r="X464" s="1314"/>
      <c r="AE464" s="1314"/>
      <c r="AF464" s="1314"/>
      <c r="AV464" s="1314"/>
      <c r="AW464" s="1314"/>
      <c r="AX464" s="1314"/>
      <c r="AY464" s="1314"/>
      <c r="AZ464" s="1314"/>
      <c r="BA464" s="1314"/>
      <c r="BC464" s="1314"/>
      <c r="BE464" s="1314"/>
      <c r="BF464" s="1314"/>
      <c r="BG464" s="1314"/>
    </row>
    <row r="465" spans="18:59" x14ac:dyDescent="0.35">
      <c r="R465" s="1314"/>
      <c r="S465" s="1314"/>
      <c r="W465" s="1314"/>
      <c r="X465" s="1314"/>
      <c r="AE465" s="1314"/>
      <c r="AF465" s="1314"/>
      <c r="AV465" s="1314"/>
      <c r="AW465" s="1314"/>
      <c r="AX465" s="1314"/>
      <c r="AY465" s="1314"/>
      <c r="AZ465" s="1314"/>
      <c r="BA465" s="1314"/>
      <c r="BC465" s="1314"/>
      <c r="BE465" s="1314"/>
      <c r="BF465" s="1314"/>
      <c r="BG465" s="1314"/>
    </row>
    <row r="466" spans="18:59" x14ac:dyDescent="0.35">
      <c r="R466" s="1314"/>
      <c r="S466" s="1314"/>
      <c r="W466" s="1314"/>
      <c r="X466" s="1314"/>
      <c r="AE466" s="1314"/>
      <c r="AF466" s="1314"/>
      <c r="AV466" s="1314"/>
      <c r="AW466" s="1314"/>
      <c r="AX466" s="1314"/>
      <c r="AY466" s="1314"/>
      <c r="AZ466" s="1314"/>
      <c r="BA466" s="1314"/>
      <c r="BC466" s="1314"/>
      <c r="BE466" s="1314"/>
      <c r="BF466" s="1314"/>
      <c r="BG466" s="1314"/>
    </row>
    <row r="467" spans="18:59" x14ac:dyDescent="0.35">
      <c r="R467" s="1314"/>
      <c r="S467" s="1314"/>
      <c r="W467" s="1314"/>
      <c r="X467" s="1314"/>
      <c r="AE467" s="1314"/>
      <c r="AF467" s="1314"/>
      <c r="AV467" s="1314"/>
      <c r="AW467" s="1314"/>
      <c r="AX467" s="1314"/>
      <c r="AY467" s="1314"/>
      <c r="AZ467" s="1314"/>
      <c r="BA467" s="1314"/>
      <c r="BC467" s="1314"/>
      <c r="BE467" s="1314"/>
      <c r="BF467" s="1314"/>
      <c r="BG467" s="1314"/>
    </row>
    <row r="468" spans="18:59" x14ac:dyDescent="0.35">
      <c r="R468" s="1314"/>
      <c r="S468" s="1314"/>
      <c r="W468" s="1314"/>
      <c r="X468" s="1314"/>
      <c r="AE468" s="1314"/>
      <c r="AF468" s="1314"/>
      <c r="AV468" s="1314"/>
      <c r="AW468" s="1314"/>
      <c r="AX468" s="1314"/>
      <c r="AY468" s="1314"/>
      <c r="AZ468" s="1314"/>
      <c r="BA468" s="1314"/>
      <c r="BC468" s="1314"/>
      <c r="BE468" s="1314"/>
      <c r="BF468" s="1314"/>
      <c r="BG468" s="1314"/>
    </row>
    <row r="469" spans="18:59" x14ac:dyDescent="0.35">
      <c r="R469" s="1314"/>
      <c r="S469" s="1314"/>
      <c r="W469" s="1314"/>
      <c r="X469" s="1314"/>
      <c r="AE469" s="1314"/>
      <c r="AF469" s="1314"/>
      <c r="AV469" s="1314"/>
      <c r="AW469" s="1314"/>
      <c r="AX469" s="1314"/>
      <c r="AY469" s="1314"/>
      <c r="AZ469" s="1314"/>
      <c r="BA469" s="1314"/>
      <c r="BC469" s="1314"/>
      <c r="BE469" s="1314"/>
      <c r="BF469" s="1314"/>
      <c r="BG469" s="1314"/>
    </row>
    <row r="470" spans="18:59" x14ac:dyDescent="0.35">
      <c r="R470" s="1314"/>
      <c r="S470" s="1314"/>
      <c r="W470" s="1314"/>
      <c r="X470" s="1314"/>
      <c r="AE470" s="1314"/>
      <c r="AF470" s="1314"/>
      <c r="AV470" s="1314"/>
      <c r="AW470" s="1314"/>
      <c r="AX470" s="1314"/>
      <c r="AY470" s="1314"/>
      <c r="AZ470" s="1314"/>
      <c r="BA470" s="1314"/>
      <c r="BC470" s="1314"/>
      <c r="BE470" s="1314"/>
      <c r="BF470" s="1314"/>
      <c r="BG470" s="1314"/>
    </row>
    <row r="471" spans="18:59" x14ac:dyDescent="0.35">
      <c r="R471" s="1314"/>
      <c r="S471" s="1314"/>
      <c r="W471" s="1314"/>
      <c r="X471" s="1314"/>
      <c r="AE471" s="1314"/>
      <c r="AF471" s="1314"/>
      <c r="AV471" s="1314"/>
      <c r="AW471" s="1314"/>
      <c r="AX471" s="1314"/>
      <c r="AY471" s="1314"/>
      <c r="AZ471" s="1314"/>
      <c r="BA471" s="1314"/>
      <c r="BC471" s="1314"/>
      <c r="BE471" s="1314"/>
      <c r="BF471" s="1314"/>
      <c r="BG471" s="1314"/>
    </row>
    <row r="472" spans="18:59" x14ac:dyDescent="0.35">
      <c r="R472" s="1314"/>
      <c r="S472" s="1314"/>
      <c r="W472" s="1314"/>
      <c r="X472" s="1314"/>
      <c r="AE472" s="1314"/>
      <c r="AF472" s="1314"/>
      <c r="AV472" s="1314"/>
      <c r="AW472" s="1314"/>
      <c r="AX472" s="1314"/>
      <c r="AY472" s="1314"/>
      <c r="AZ472" s="1314"/>
      <c r="BA472" s="1314"/>
      <c r="BC472" s="1314"/>
      <c r="BE472" s="1314"/>
      <c r="BF472" s="1314"/>
      <c r="BG472" s="1314"/>
    </row>
    <row r="473" spans="18:59" x14ac:dyDescent="0.35">
      <c r="R473" s="1314"/>
      <c r="S473" s="1314"/>
      <c r="W473" s="1314"/>
      <c r="X473" s="1314"/>
      <c r="AE473" s="1314"/>
      <c r="AF473" s="1314"/>
      <c r="AV473" s="1314"/>
      <c r="AW473" s="1314"/>
      <c r="AX473" s="1314"/>
      <c r="AY473" s="1314"/>
      <c r="AZ473" s="1314"/>
      <c r="BA473" s="1314"/>
      <c r="BC473" s="1314"/>
      <c r="BE473" s="1314"/>
      <c r="BF473" s="1314"/>
      <c r="BG473" s="1314"/>
    </row>
    <row r="474" spans="18:59" x14ac:dyDescent="0.35">
      <c r="R474" s="1314"/>
      <c r="S474" s="1314"/>
      <c r="W474" s="1314"/>
      <c r="X474" s="1314"/>
      <c r="AE474" s="1314"/>
      <c r="AF474" s="1314"/>
      <c r="AV474" s="1314"/>
      <c r="AW474" s="1314"/>
      <c r="AX474" s="1314"/>
      <c r="AY474" s="1314"/>
      <c r="AZ474" s="1314"/>
      <c r="BA474" s="1314"/>
      <c r="BC474" s="1314"/>
      <c r="BE474" s="1314"/>
      <c r="BF474" s="1314"/>
      <c r="BG474" s="1314"/>
    </row>
    <row r="475" spans="18:59" x14ac:dyDescent="0.35">
      <c r="R475" s="1314"/>
      <c r="S475" s="1314"/>
      <c r="W475" s="1314"/>
      <c r="X475" s="1314"/>
      <c r="AE475" s="1314"/>
      <c r="AF475" s="1314"/>
      <c r="AV475" s="1314"/>
      <c r="AW475" s="1314"/>
      <c r="AX475" s="1314"/>
      <c r="AY475" s="1314"/>
      <c r="AZ475" s="1314"/>
      <c r="BA475" s="1314"/>
      <c r="BC475" s="1314"/>
      <c r="BE475" s="1314"/>
      <c r="BF475" s="1314"/>
      <c r="BG475" s="1314"/>
    </row>
    <row r="476" spans="18:59" x14ac:dyDescent="0.35">
      <c r="R476" s="1314"/>
      <c r="S476" s="1314"/>
      <c r="W476" s="1314"/>
      <c r="X476" s="1314"/>
      <c r="AE476" s="1314"/>
      <c r="AF476" s="1314"/>
      <c r="AV476" s="1314"/>
      <c r="AW476" s="1314"/>
      <c r="AX476" s="1314"/>
      <c r="AY476" s="1314"/>
      <c r="AZ476" s="1314"/>
      <c r="BA476" s="1314"/>
      <c r="BC476" s="1314"/>
      <c r="BE476" s="1314"/>
      <c r="BF476" s="1314"/>
      <c r="BG476" s="1314"/>
    </row>
    <row r="477" spans="18:59" x14ac:dyDescent="0.35">
      <c r="R477" s="1314"/>
      <c r="S477" s="1314"/>
      <c r="W477" s="1314"/>
      <c r="X477" s="1314"/>
      <c r="AE477" s="1314"/>
      <c r="AF477" s="1314"/>
      <c r="AV477" s="1314"/>
      <c r="AW477" s="1314"/>
      <c r="AX477" s="1314"/>
      <c r="AY477" s="1314"/>
      <c r="AZ477" s="1314"/>
      <c r="BA477" s="1314"/>
      <c r="BC477" s="1314"/>
      <c r="BE477" s="1314"/>
      <c r="BF477" s="1314"/>
      <c r="BG477" s="1314"/>
    </row>
    <row r="478" spans="18:59" x14ac:dyDescent="0.35">
      <c r="R478" s="1314"/>
      <c r="S478" s="1314"/>
      <c r="W478" s="1314"/>
      <c r="X478" s="1314"/>
      <c r="AE478" s="1314"/>
      <c r="AF478" s="1314"/>
      <c r="AV478" s="1314"/>
      <c r="AW478" s="1314"/>
      <c r="AX478" s="1314"/>
      <c r="AY478" s="1314"/>
      <c r="AZ478" s="1314"/>
      <c r="BA478" s="1314"/>
      <c r="BC478" s="1314"/>
      <c r="BE478" s="1314"/>
      <c r="BF478" s="1314"/>
      <c r="BG478" s="1314"/>
    </row>
    <row r="479" spans="18:59" x14ac:dyDescent="0.35">
      <c r="R479" s="1314"/>
      <c r="S479" s="1314"/>
      <c r="W479" s="1314"/>
      <c r="X479" s="1314"/>
      <c r="AE479" s="1314"/>
      <c r="AF479" s="1314"/>
      <c r="AV479" s="1314"/>
      <c r="AW479" s="1314"/>
      <c r="AX479" s="1314"/>
      <c r="AY479" s="1314"/>
      <c r="AZ479" s="1314"/>
      <c r="BA479" s="1314"/>
      <c r="BC479" s="1314"/>
      <c r="BE479" s="1314"/>
      <c r="BF479" s="1314"/>
      <c r="BG479" s="1314"/>
    </row>
    <row r="480" spans="18:59" x14ac:dyDescent="0.35">
      <c r="R480" s="1314"/>
      <c r="S480" s="1314"/>
      <c r="W480" s="1314"/>
      <c r="X480" s="1314"/>
      <c r="AE480" s="1314"/>
      <c r="AF480" s="1314"/>
      <c r="AV480" s="1314"/>
      <c r="AW480" s="1314"/>
      <c r="AX480" s="1314"/>
      <c r="AY480" s="1314"/>
      <c r="AZ480" s="1314"/>
      <c r="BA480" s="1314"/>
      <c r="BC480" s="1314"/>
      <c r="BE480" s="1314"/>
      <c r="BF480" s="1314"/>
      <c r="BG480" s="1314"/>
    </row>
    <row r="481" spans="18:59" x14ac:dyDescent="0.35">
      <c r="R481" s="1314"/>
      <c r="S481" s="1314"/>
      <c r="W481" s="1314"/>
      <c r="X481" s="1314"/>
      <c r="AE481" s="1314"/>
      <c r="AF481" s="1314"/>
      <c r="AV481" s="1314"/>
      <c r="AW481" s="1314"/>
      <c r="AX481" s="1314"/>
      <c r="AY481" s="1314"/>
      <c r="AZ481" s="1314"/>
      <c r="BA481" s="1314"/>
      <c r="BC481" s="1314"/>
      <c r="BE481" s="1314"/>
      <c r="BF481" s="1314"/>
      <c r="BG481" s="1314"/>
    </row>
    <row r="482" spans="18:59" x14ac:dyDescent="0.35">
      <c r="R482" s="1314"/>
      <c r="S482" s="1314"/>
      <c r="W482" s="1314"/>
      <c r="X482" s="1314"/>
      <c r="AE482" s="1314"/>
      <c r="AF482" s="1314"/>
      <c r="AV482" s="1314"/>
      <c r="AW482" s="1314"/>
      <c r="AX482" s="1314"/>
      <c r="AY482" s="1314"/>
      <c r="AZ482" s="1314"/>
      <c r="BA482" s="1314"/>
      <c r="BC482" s="1314"/>
      <c r="BE482" s="1314"/>
      <c r="BF482" s="1314"/>
      <c r="BG482" s="1314"/>
    </row>
    <row r="483" spans="18:59" x14ac:dyDescent="0.35">
      <c r="R483" s="1314"/>
      <c r="S483" s="1314"/>
      <c r="W483" s="1314"/>
      <c r="X483" s="1314"/>
      <c r="AE483" s="1314"/>
      <c r="AF483" s="1314"/>
      <c r="AV483" s="1314"/>
      <c r="AW483" s="1314"/>
      <c r="AX483" s="1314"/>
      <c r="AY483" s="1314"/>
      <c r="AZ483" s="1314"/>
      <c r="BA483" s="1314"/>
      <c r="BC483" s="1314"/>
      <c r="BE483" s="1314"/>
      <c r="BF483" s="1314"/>
      <c r="BG483" s="1314"/>
    </row>
    <row r="484" spans="18:59" x14ac:dyDescent="0.35">
      <c r="R484" s="1314"/>
      <c r="S484" s="1314"/>
      <c r="W484" s="1314"/>
      <c r="X484" s="1314"/>
      <c r="AE484" s="1314"/>
      <c r="AF484" s="1314"/>
      <c r="AV484" s="1314"/>
      <c r="AW484" s="1314"/>
      <c r="AX484" s="1314"/>
      <c r="AY484" s="1314"/>
      <c r="AZ484" s="1314"/>
      <c r="BA484" s="1314"/>
      <c r="BC484" s="1314"/>
      <c r="BE484" s="1314"/>
      <c r="BF484" s="1314"/>
      <c r="BG484" s="1314"/>
    </row>
    <row r="485" spans="18:59" x14ac:dyDescent="0.35">
      <c r="R485" s="1314"/>
      <c r="S485" s="1314"/>
      <c r="W485" s="1314"/>
      <c r="X485" s="1314"/>
      <c r="AE485" s="1314"/>
      <c r="AF485" s="1314"/>
      <c r="AV485" s="1314"/>
      <c r="AW485" s="1314"/>
      <c r="AX485" s="1314"/>
      <c r="AY485" s="1314"/>
      <c r="AZ485" s="1314"/>
      <c r="BA485" s="1314"/>
      <c r="BC485" s="1314"/>
      <c r="BE485" s="1314"/>
      <c r="BF485" s="1314"/>
      <c r="BG485" s="1314"/>
    </row>
    <row r="486" spans="18:59" x14ac:dyDescent="0.35">
      <c r="R486" s="1314"/>
      <c r="S486" s="1314"/>
      <c r="W486" s="1314"/>
      <c r="X486" s="1314"/>
      <c r="AE486" s="1314"/>
      <c r="AF486" s="1314"/>
      <c r="AV486" s="1314"/>
      <c r="AW486" s="1314"/>
      <c r="AX486" s="1314"/>
      <c r="AY486" s="1314"/>
      <c r="AZ486" s="1314"/>
      <c r="BA486" s="1314"/>
      <c r="BC486" s="1314"/>
      <c r="BE486" s="1314"/>
      <c r="BF486" s="1314"/>
      <c r="BG486" s="1314"/>
    </row>
    <row r="487" spans="18:59" x14ac:dyDescent="0.35">
      <c r="R487" s="1314"/>
      <c r="S487" s="1314"/>
      <c r="W487" s="1314"/>
      <c r="X487" s="1314"/>
      <c r="AE487" s="1314"/>
      <c r="AF487" s="1314"/>
      <c r="AV487" s="1314"/>
      <c r="AW487" s="1314"/>
      <c r="AX487" s="1314"/>
      <c r="AY487" s="1314"/>
      <c r="AZ487" s="1314"/>
      <c r="BA487" s="1314"/>
      <c r="BC487" s="1314"/>
      <c r="BE487" s="1314"/>
      <c r="BF487" s="1314"/>
      <c r="BG487" s="1314"/>
    </row>
    <row r="488" spans="18:59" x14ac:dyDescent="0.35">
      <c r="R488" s="1314"/>
      <c r="S488" s="1314"/>
      <c r="W488" s="1314"/>
      <c r="X488" s="1314"/>
      <c r="AE488" s="1314"/>
      <c r="AF488" s="1314"/>
      <c r="AV488" s="1314"/>
      <c r="AW488" s="1314"/>
      <c r="AX488" s="1314"/>
      <c r="AY488" s="1314"/>
      <c r="AZ488" s="1314"/>
      <c r="BA488" s="1314"/>
      <c r="BC488" s="1314"/>
      <c r="BE488" s="1314"/>
      <c r="BF488" s="1314"/>
      <c r="BG488" s="1314"/>
    </row>
    <row r="489" spans="18:59" x14ac:dyDescent="0.35">
      <c r="R489" s="1314"/>
      <c r="S489" s="1314"/>
      <c r="W489" s="1314"/>
      <c r="X489" s="1314"/>
      <c r="AE489" s="1314"/>
      <c r="AF489" s="1314"/>
      <c r="AV489" s="1314"/>
      <c r="AW489" s="1314"/>
      <c r="AX489" s="1314"/>
      <c r="AY489" s="1314"/>
      <c r="AZ489" s="1314"/>
      <c r="BA489" s="1314"/>
      <c r="BC489" s="1314"/>
      <c r="BE489" s="1314"/>
      <c r="BF489" s="1314"/>
      <c r="BG489" s="1314"/>
    </row>
    <row r="490" spans="18:59" x14ac:dyDescent="0.35">
      <c r="R490" s="1314"/>
      <c r="S490" s="1314"/>
      <c r="W490" s="1314"/>
      <c r="X490" s="1314"/>
      <c r="AE490" s="1314"/>
      <c r="AF490" s="1314"/>
      <c r="AV490" s="1314"/>
      <c r="AW490" s="1314"/>
      <c r="AX490" s="1314"/>
      <c r="AY490" s="1314"/>
      <c r="AZ490" s="1314"/>
      <c r="BA490" s="1314"/>
      <c r="BC490" s="1314"/>
      <c r="BE490" s="1314"/>
      <c r="BF490" s="1314"/>
      <c r="BG490" s="1314"/>
    </row>
    <row r="491" spans="18:59" x14ac:dyDescent="0.35">
      <c r="R491" s="1314"/>
      <c r="S491" s="1314"/>
      <c r="W491" s="1314"/>
      <c r="X491" s="1314"/>
      <c r="AE491" s="1314"/>
      <c r="AF491" s="1314"/>
      <c r="AV491" s="1314"/>
      <c r="AW491" s="1314"/>
      <c r="AX491" s="1314"/>
      <c r="AY491" s="1314"/>
      <c r="AZ491" s="1314"/>
      <c r="BA491" s="1314"/>
      <c r="BC491" s="1314"/>
      <c r="BE491" s="1314"/>
      <c r="BF491" s="1314"/>
      <c r="BG491" s="1314"/>
    </row>
    <row r="492" spans="18:59" x14ac:dyDescent="0.35">
      <c r="R492" s="1314"/>
      <c r="S492" s="1314"/>
      <c r="W492" s="1314"/>
      <c r="X492" s="1314"/>
      <c r="AE492" s="1314"/>
      <c r="AF492" s="1314"/>
      <c r="AV492" s="1314"/>
      <c r="AW492" s="1314"/>
      <c r="AX492" s="1314"/>
      <c r="AY492" s="1314"/>
      <c r="AZ492" s="1314"/>
      <c r="BA492" s="1314"/>
      <c r="BC492" s="1314"/>
      <c r="BE492" s="1314"/>
      <c r="BF492" s="1314"/>
      <c r="BG492" s="1314"/>
    </row>
    <row r="493" spans="18:59" x14ac:dyDescent="0.35">
      <c r="R493" s="1314"/>
      <c r="S493" s="1314"/>
      <c r="W493" s="1314"/>
      <c r="X493" s="1314"/>
      <c r="AE493" s="1314"/>
      <c r="AF493" s="1314"/>
      <c r="AV493" s="1314"/>
      <c r="AW493" s="1314"/>
      <c r="AX493" s="1314"/>
      <c r="AY493" s="1314"/>
      <c r="AZ493" s="1314"/>
      <c r="BA493" s="1314"/>
      <c r="BC493" s="1314"/>
      <c r="BE493" s="1314"/>
      <c r="BF493" s="1314"/>
      <c r="BG493" s="1314"/>
    </row>
    <row r="494" spans="18:59" x14ac:dyDescent="0.35">
      <c r="R494" s="1314"/>
      <c r="S494" s="1314"/>
      <c r="W494" s="1314"/>
      <c r="X494" s="1314"/>
      <c r="AE494" s="1314"/>
      <c r="AF494" s="1314"/>
      <c r="AV494" s="1314"/>
      <c r="AW494" s="1314"/>
      <c r="AX494" s="1314"/>
      <c r="AY494" s="1314"/>
      <c r="AZ494" s="1314"/>
      <c r="BA494" s="1314"/>
      <c r="BC494" s="1314"/>
      <c r="BE494" s="1314"/>
      <c r="BF494" s="1314"/>
      <c r="BG494" s="1314"/>
    </row>
    <row r="495" spans="18:59" x14ac:dyDescent="0.35">
      <c r="R495" s="1314"/>
      <c r="S495" s="1314"/>
      <c r="W495" s="1314"/>
      <c r="X495" s="1314"/>
      <c r="AE495" s="1314"/>
      <c r="AF495" s="1314"/>
      <c r="AV495" s="1314"/>
      <c r="AW495" s="1314"/>
      <c r="AX495" s="1314"/>
      <c r="AY495" s="1314"/>
      <c r="AZ495" s="1314"/>
      <c r="BA495" s="1314"/>
      <c r="BC495" s="1314"/>
      <c r="BE495" s="1314"/>
      <c r="BF495" s="1314"/>
      <c r="BG495" s="1314"/>
    </row>
    <row r="496" spans="18:59" x14ac:dyDescent="0.35">
      <c r="R496" s="1314"/>
      <c r="S496" s="1314"/>
      <c r="W496" s="1314"/>
      <c r="X496" s="1314"/>
      <c r="AE496" s="1314"/>
      <c r="AF496" s="1314"/>
      <c r="AV496" s="1314"/>
      <c r="AW496" s="1314"/>
      <c r="AX496" s="1314"/>
      <c r="AY496" s="1314"/>
      <c r="AZ496" s="1314"/>
      <c r="BA496" s="1314"/>
      <c r="BC496" s="1314"/>
      <c r="BE496" s="1314"/>
      <c r="BF496" s="1314"/>
      <c r="BG496" s="1314"/>
    </row>
    <row r="497" spans="18:59" x14ac:dyDescent="0.35">
      <c r="R497" s="1314"/>
      <c r="S497" s="1314"/>
      <c r="W497" s="1314"/>
      <c r="X497" s="1314"/>
      <c r="AE497" s="1314"/>
      <c r="AF497" s="1314"/>
      <c r="AV497" s="1314"/>
      <c r="AW497" s="1314"/>
      <c r="AX497" s="1314"/>
      <c r="AY497" s="1314"/>
      <c r="AZ497" s="1314"/>
      <c r="BA497" s="1314"/>
      <c r="BC497" s="1314"/>
      <c r="BE497" s="1314"/>
      <c r="BF497" s="1314"/>
      <c r="BG497" s="1314"/>
    </row>
    <row r="498" spans="18:59" x14ac:dyDescent="0.35">
      <c r="R498" s="1314"/>
      <c r="S498" s="1314"/>
      <c r="W498" s="1314"/>
      <c r="X498" s="1314"/>
      <c r="AE498" s="1314"/>
      <c r="AF498" s="1314"/>
      <c r="AV498" s="1314"/>
      <c r="AW498" s="1314"/>
      <c r="AX498" s="1314"/>
      <c r="AY498" s="1314"/>
      <c r="AZ498" s="1314"/>
      <c r="BA498" s="1314"/>
      <c r="BC498" s="1314"/>
      <c r="BE498" s="1314"/>
      <c r="BF498" s="1314"/>
      <c r="BG498" s="1314"/>
    </row>
    <row r="499" spans="18:59" x14ac:dyDescent="0.35">
      <c r="R499" s="1314"/>
      <c r="S499" s="1314"/>
      <c r="W499" s="1314"/>
      <c r="X499" s="1314"/>
      <c r="AE499" s="1314"/>
      <c r="AF499" s="1314"/>
      <c r="AV499" s="1314"/>
      <c r="AW499" s="1314"/>
      <c r="AX499" s="1314"/>
      <c r="AY499" s="1314"/>
      <c r="AZ499" s="1314"/>
      <c r="BA499" s="1314"/>
      <c r="BC499" s="1314"/>
      <c r="BE499" s="1314"/>
      <c r="BF499" s="1314"/>
      <c r="BG499" s="1314"/>
    </row>
    <row r="500" spans="18:59" x14ac:dyDescent="0.35">
      <c r="R500" s="1314"/>
      <c r="S500" s="1314"/>
      <c r="W500" s="1314"/>
      <c r="X500" s="1314"/>
      <c r="AE500" s="1314"/>
      <c r="AF500" s="1314"/>
      <c r="AV500" s="1314"/>
      <c r="AW500" s="1314"/>
      <c r="AX500" s="1314"/>
      <c r="AY500" s="1314"/>
      <c r="AZ500" s="1314"/>
      <c r="BA500" s="1314"/>
      <c r="BC500" s="1314"/>
      <c r="BE500" s="1314"/>
      <c r="BF500" s="1314"/>
      <c r="BG500" s="1314"/>
    </row>
    <row r="501" spans="18:59" x14ac:dyDescent="0.35">
      <c r="R501" s="1314"/>
      <c r="S501" s="1314"/>
      <c r="W501" s="1314"/>
      <c r="X501" s="1314"/>
      <c r="AE501" s="1314"/>
      <c r="AF501" s="1314"/>
      <c r="AV501" s="1314"/>
      <c r="AW501" s="1314"/>
      <c r="AX501" s="1314"/>
      <c r="AY501" s="1314"/>
      <c r="AZ501" s="1314"/>
      <c r="BA501" s="1314"/>
      <c r="BC501" s="1314"/>
      <c r="BE501" s="1314"/>
      <c r="BF501" s="1314"/>
      <c r="BG501" s="1314"/>
    </row>
    <row r="502" spans="18:59" x14ac:dyDescent="0.35">
      <c r="R502" s="1314"/>
      <c r="S502" s="1314"/>
      <c r="W502" s="1314"/>
      <c r="X502" s="1314"/>
      <c r="AE502" s="1314"/>
      <c r="AF502" s="1314"/>
      <c r="AV502" s="1314"/>
      <c r="AW502" s="1314"/>
      <c r="AX502" s="1314"/>
      <c r="AY502" s="1314"/>
      <c r="AZ502" s="1314"/>
      <c r="BA502" s="1314"/>
      <c r="BC502" s="1314"/>
      <c r="BE502" s="1314"/>
      <c r="BF502" s="1314"/>
      <c r="BG502" s="1314"/>
    </row>
  </sheetData>
  <mergeCells count="6">
    <mergeCell ref="I1:K1"/>
    <mergeCell ref="Y2:AD2"/>
    <mergeCell ref="AG2:AI2"/>
    <mergeCell ref="AU2:BA2"/>
    <mergeCell ref="AJ2:AS2"/>
    <mergeCell ref="P2:S2"/>
  </mergeCells>
  <hyperlinks>
    <hyperlink ref="A1" r:id="rId1" xr:uid="{00000000-0004-0000-2500-000000000000}"/>
  </hyperlinks>
  <pageMargins left="0.7" right="0.7" top="0.75" bottom="0.75" header="0.3" footer="0.3"/>
  <pageSetup orientation="portrait"/>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19" t="s">
        <v>689</v>
      </c>
      <c r="B1" s="1319"/>
      <c r="C1" s="1319"/>
      <c r="D1" s="1319"/>
    </row>
    <row r="2" spans="1:22" x14ac:dyDescent="0.35">
      <c r="A2" t="s">
        <v>690</v>
      </c>
      <c r="B2" s="745">
        <v>2021</v>
      </c>
      <c r="C2" s="745">
        <v>2021</v>
      </c>
      <c r="D2" s="745">
        <v>2021</v>
      </c>
      <c r="E2" s="745">
        <v>2022</v>
      </c>
      <c r="F2" s="745">
        <v>2022</v>
      </c>
      <c r="G2" s="745">
        <v>2022</v>
      </c>
      <c r="H2" s="745">
        <v>2022</v>
      </c>
      <c r="I2" s="745">
        <v>2023</v>
      </c>
      <c r="J2" s="745">
        <v>2023</v>
      </c>
      <c r="K2" s="745">
        <v>2023</v>
      </c>
      <c r="L2" s="745">
        <v>2023</v>
      </c>
      <c r="M2" s="745">
        <v>2024</v>
      </c>
      <c r="N2" s="745">
        <v>2024</v>
      </c>
      <c r="O2" s="745">
        <v>2024</v>
      </c>
      <c r="P2" s="745">
        <v>2024</v>
      </c>
      <c r="Q2" s="745">
        <v>2025</v>
      </c>
      <c r="R2" s="745">
        <v>2025</v>
      </c>
      <c r="S2" s="745">
        <v>2025</v>
      </c>
      <c r="T2" s="745">
        <v>2025</v>
      </c>
      <c r="U2" s="745">
        <v>2026</v>
      </c>
    </row>
    <row r="3" spans="1:22" x14ac:dyDescent="0.35">
      <c r="A3" s="1317" t="s">
        <v>691</v>
      </c>
      <c r="B3" s="284" t="s">
        <v>692</v>
      </c>
      <c r="C3" s="284" t="s">
        <v>693</v>
      </c>
      <c r="D3" s="284" t="s">
        <v>694</v>
      </c>
      <c r="E3" s="284" t="s">
        <v>695</v>
      </c>
      <c r="F3" s="284" t="s">
        <v>696</v>
      </c>
      <c r="G3" s="284" t="s">
        <v>697</v>
      </c>
      <c r="H3" s="284" t="s">
        <v>698</v>
      </c>
      <c r="I3" s="284" t="s">
        <v>699</v>
      </c>
      <c r="J3" s="284" t="s">
        <v>700</v>
      </c>
      <c r="K3" s="284" t="s">
        <v>701</v>
      </c>
      <c r="L3" s="284" t="s">
        <v>702</v>
      </c>
      <c r="M3" s="284" t="s">
        <v>703</v>
      </c>
      <c r="N3" s="284" t="s">
        <v>704</v>
      </c>
      <c r="O3" s="284" t="s">
        <v>705</v>
      </c>
      <c r="P3" s="284" t="s">
        <v>706</v>
      </c>
      <c r="Q3" s="284" t="s">
        <v>707</v>
      </c>
      <c r="R3" s="284" t="s">
        <v>708</v>
      </c>
      <c r="S3" s="284" t="s">
        <v>709</v>
      </c>
      <c r="T3" s="284" t="s">
        <v>710</v>
      </c>
      <c r="U3" s="284" t="s">
        <v>711</v>
      </c>
    </row>
    <row r="4" spans="1:22" x14ac:dyDescent="0.35">
      <c r="A4" s="1317" t="s">
        <v>712</v>
      </c>
      <c r="B4" s="284"/>
      <c r="C4" s="284"/>
      <c r="D4" s="284">
        <v>0</v>
      </c>
      <c r="E4" s="284">
        <v>0</v>
      </c>
      <c r="F4" s="284">
        <v>0.5</v>
      </c>
      <c r="G4" s="284">
        <v>0.5</v>
      </c>
      <c r="H4" s="284">
        <v>0</v>
      </c>
      <c r="I4" s="284">
        <v>0</v>
      </c>
      <c r="J4" s="284">
        <v>0</v>
      </c>
      <c r="K4" s="284">
        <v>0</v>
      </c>
      <c r="L4" s="284">
        <v>0</v>
      </c>
      <c r="M4" s="284">
        <v>0</v>
      </c>
      <c r="N4" s="284">
        <v>0</v>
      </c>
      <c r="O4" s="284">
        <v>0</v>
      </c>
      <c r="P4" s="284">
        <v>0</v>
      </c>
      <c r="Q4" s="284">
        <v>0</v>
      </c>
      <c r="R4" s="284">
        <v>0</v>
      </c>
      <c r="S4" s="284">
        <v>0</v>
      </c>
      <c r="T4" s="284">
        <v>0</v>
      </c>
      <c r="U4" s="284">
        <v>0</v>
      </c>
    </row>
    <row r="5" spans="1:22" x14ac:dyDescent="0.35">
      <c r="A5" s="1317" t="s">
        <v>713</v>
      </c>
      <c r="B5" s="284">
        <v>0.04</v>
      </c>
      <c r="C5" s="284">
        <v>0.48</v>
      </c>
      <c r="D5" s="284">
        <v>0.48</v>
      </c>
      <c r="E5" s="284">
        <v>0</v>
      </c>
      <c r="F5" s="284">
        <v>0</v>
      </c>
      <c r="G5" s="284">
        <v>0</v>
      </c>
      <c r="H5" s="284">
        <v>0</v>
      </c>
      <c r="I5" s="284">
        <v>0</v>
      </c>
      <c r="J5" s="284">
        <v>0</v>
      </c>
      <c r="K5" s="284">
        <v>0</v>
      </c>
      <c r="L5" s="284">
        <v>0</v>
      </c>
      <c r="M5" s="284">
        <v>0</v>
      </c>
      <c r="N5" s="284">
        <v>0</v>
      </c>
      <c r="O5" s="284">
        <v>0</v>
      </c>
      <c r="P5" s="284">
        <v>0</v>
      </c>
      <c r="Q5" s="284">
        <v>0</v>
      </c>
      <c r="R5" s="284">
        <v>0</v>
      </c>
      <c r="S5" s="284">
        <v>0</v>
      </c>
      <c r="T5" s="284">
        <v>0</v>
      </c>
      <c r="U5" s="284">
        <v>0</v>
      </c>
    </row>
    <row r="6" spans="1:22" x14ac:dyDescent="0.35">
      <c r="A6" s="1317" t="s">
        <v>714</v>
      </c>
      <c r="B6" s="284">
        <f>B8</f>
        <v>0</v>
      </c>
      <c r="C6" s="284">
        <f>C8</f>
        <v>0.43</v>
      </c>
      <c r="D6" s="284">
        <f t="shared" ref="D6:U6" si="0">D8</f>
        <v>0.56999999999999995</v>
      </c>
      <c r="E6" s="284">
        <f t="shared" si="0"/>
        <v>0.25</v>
      </c>
      <c r="F6" s="284">
        <f t="shared" si="0"/>
        <v>0.25</v>
      </c>
      <c r="G6" s="284">
        <f t="shared" si="0"/>
        <v>0.25</v>
      </c>
      <c r="H6" s="284">
        <f t="shared" si="0"/>
        <v>0.25</v>
      </c>
      <c r="I6" s="284">
        <f t="shared" si="0"/>
        <v>0.25</v>
      </c>
      <c r="J6" s="284">
        <f t="shared" si="0"/>
        <v>0.25</v>
      </c>
      <c r="K6" s="284">
        <f t="shared" si="0"/>
        <v>0.25</v>
      </c>
      <c r="L6" s="284">
        <f t="shared" si="0"/>
        <v>0.25</v>
      </c>
      <c r="M6" s="284">
        <f t="shared" si="0"/>
        <v>0.25</v>
      </c>
      <c r="N6" s="284">
        <f t="shared" si="0"/>
        <v>0.25</v>
      </c>
      <c r="O6" s="284">
        <f t="shared" si="0"/>
        <v>0.25</v>
      </c>
      <c r="P6" s="284">
        <f t="shared" si="0"/>
        <v>0.25</v>
      </c>
      <c r="Q6" s="284">
        <f t="shared" si="0"/>
        <v>0.25</v>
      </c>
      <c r="R6" s="284">
        <f t="shared" si="0"/>
        <v>0.25</v>
      </c>
      <c r="S6" s="284">
        <f t="shared" si="0"/>
        <v>0.25</v>
      </c>
      <c r="T6" s="284">
        <f t="shared" si="0"/>
        <v>0.25</v>
      </c>
      <c r="U6" s="284">
        <f t="shared" si="0"/>
        <v>0.25</v>
      </c>
    </row>
    <row r="7" spans="1:22" x14ac:dyDescent="0.35">
      <c r="A7" s="1317" t="s">
        <v>715</v>
      </c>
      <c r="B7" s="284">
        <v>0</v>
      </c>
      <c r="C7" s="284">
        <v>0</v>
      </c>
      <c r="D7" s="284">
        <v>1</v>
      </c>
      <c r="E7" s="284">
        <v>0.25</v>
      </c>
      <c r="F7" s="284">
        <v>0.25</v>
      </c>
      <c r="G7" s="284">
        <v>0.25</v>
      </c>
      <c r="H7" s="284">
        <v>0.25</v>
      </c>
      <c r="I7" s="284">
        <v>0.25</v>
      </c>
      <c r="J7" s="284">
        <v>0.25</v>
      </c>
      <c r="K7" s="284">
        <v>0.25</v>
      </c>
      <c r="L7" s="284">
        <v>0.25</v>
      </c>
      <c r="M7" s="284">
        <v>0.25</v>
      </c>
      <c r="N7" s="284">
        <v>0.25</v>
      </c>
      <c r="O7" s="284">
        <v>0.25</v>
      </c>
      <c r="P7" s="284">
        <v>0.25</v>
      </c>
      <c r="Q7" s="284">
        <v>0.25</v>
      </c>
      <c r="R7" s="284">
        <v>0.25</v>
      </c>
      <c r="S7" s="284">
        <v>0.25</v>
      </c>
      <c r="T7" s="284">
        <v>0.25</v>
      </c>
      <c r="U7" s="284">
        <v>0.25</v>
      </c>
    </row>
    <row r="8" spans="1:22" x14ac:dyDescent="0.35">
      <c r="A8" s="1317" t="s">
        <v>716</v>
      </c>
      <c r="B8" s="284">
        <v>0</v>
      </c>
      <c r="C8" s="284">
        <v>0.43</v>
      </c>
      <c r="D8" s="284">
        <v>0.56999999999999995</v>
      </c>
      <c r="E8" s="284">
        <v>0.25</v>
      </c>
      <c r="F8" s="284">
        <v>0.25</v>
      </c>
      <c r="G8" s="284">
        <v>0.25</v>
      </c>
      <c r="H8" s="284">
        <v>0.25</v>
      </c>
      <c r="I8" s="284">
        <v>0.25</v>
      </c>
      <c r="J8" s="284">
        <v>0.25</v>
      </c>
      <c r="K8" s="284">
        <v>0.25</v>
      </c>
      <c r="L8" s="284">
        <v>0.25</v>
      </c>
      <c r="M8" s="284">
        <v>0.25</v>
      </c>
      <c r="N8" s="284">
        <v>0.25</v>
      </c>
      <c r="O8" s="284">
        <v>0.25</v>
      </c>
      <c r="P8" s="284">
        <v>0.25</v>
      </c>
      <c r="Q8" s="284">
        <v>0.25</v>
      </c>
      <c r="R8" s="284">
        <v>0.25</v>
      </c>
      <c r="S8" s="284">
        <v>0.25</v>
      </c>
      <c r="T8" s="284">
        <v>0.25</v>
      </c>
      <c r="U8" s="284">
        <v>0.25</v>
      </c>
    </row>
    <row r="9" spans="1:22" ht="27" customHeight="1" x14ac:dyDescent="0.35">
      <c r="A9" s="1317" t="s">
        <v>717</v>
      </c>
      <c r="B9" s="284">
        <v>0</v>
      </c>
      <c r="C9" s="284">
        <f>0.18</f>
        <v>0.18</v>
      </c>
      <c r="D9" s="284">
        <f>1-C9</f>
        <v>0.82000000000000006</v>
      </c>
      <c r="E9" s="284">
        <v>0.25</v>
      </c>
      <c r="F9" s="284">
        <v>0.25</v>
      </c>
      <c r="G9" s="284">
        <v>0.25</v>
      </c>
      <c r="H9" s="284">
        <v>0.25</v>
      </c>
      <c r="I9" s="284">
        <v>0.25</v>
      </c>
      <c r="J9" s="284">
        <v>0.25</v>
      </c>
      <c r="K9" s="284">
        <v>0.25</v>
      </c>
      <c r="L9" s="284">
        <v>0.25</v>
      </c>
      <c r="M9" s="284">
        <v>0.25</v>
      </c>
      <c r="N9" s="284">
        <v>0.25</v>
      </c>
      <c r="O9" s="284">
        <v>0.25</v>
      </c>
      <c r="P9" s="284">
        <v>0.25</v>
      </c>
      <c r="Q9" s="284">
        <v>0.25</v>
      </c>
      <c r="R9" s="284">
        <v>0.25</v>
      </c>
      <c r="S9" s="284">
        <v>0.25</v>
      </c>
      <c r="T9" s="284">
        <v>0.25</v>
      </c>
      <c r="U9" s="284">
        <v>0.25</v>
      </c>
    </row>
    <row r="10" spans="1:22" x14ac:dyDescent="0.35">
      <c r="A10" s="1317" t="s">
        <v>718</v>
      </c>
      <c r="B10" s="284">
        <v>0</v>
      </c>
      <c r="C10" s="284">
        <v>0.5</v>
      </c>
      <c r="D10" s="284">
        <v>0.5</v>
      </c>
      <c r="E10" s="284">
        <v>0.25</v>
      </c>
      <c r="F10" s="284">
        <v>0.25</v>
      </c>
      <c r="G10" s="284">
        <v>0.25</v>
      </c>
      <c r="H10" s="284">
        <v>0.25</v>
      </c>
      <c r="I10" s="284">
        <v>0.25</v>
      </c>
      <c r="J10" s="284">
        <v>0.25</v>
      </c>
      <c r="K10" s="284">
        <v>0.25</v>
      </c>
      <c r="L10" s="284">
        <v>0.25</v>
      </c>
      <c r="M10" s="284">
        <v>0.25</v>
      </c>
      <c r="N10" s="284">
        <v>0.25</v>
      </c>
      <c r="O10" s="284">
        <v>0.25</v>
      </c>
      <c r="P10" s="284">
        <v>0.25</v>
      </c>
      <c r="Q10" s="284">
        <v>0.25</v>
      </c>
      <c r="R10" s="284">
        <v>0.25</v>
      </c>
      <c r="S10" s="284">
        <v>0.25</v>
      </c>
      <c r="T10" s="284">
        <v>0.25</v>
      </c>
      <c r="U10" s="284">
        <v>0.25</v>
      </c>
    </row>
    <row r="11" spans="1:22" x14ac:dyDescent="0.35">
      <c r="A11" s="1317" t="s">
        <v>719</v>
      </c>
      <c r="B11" s="284">
        <v>0</v>
      </c>
      <c r="C11" s="284">
        <v>0.5</v>
      </c>
      <c r="D11" s="284">
        <v>0.5</v>
      </c>
      <c r="E11" s="284">
        <v>0.25</v>
      </c>
      <c r="F11" s="284">
        <v>0.25</v>
      </c>
      <c r="G11" s="284">
        <v>0.25</v>
      </c>
      <c r="H11" s="284">
        <v>0.25</v>
      </c>
      <c r="I11" s="284">
        <v>0.25</v>
      </c>
      <c r="J11" s="284">
        <v>0.25</v>
      </c>
      <c r="K11" s="284">
        <v>0.25</v>
      </c>
      <c r="L11" s="284">
        <v>0.25</v>
      </c>
      <c r="M11" s="284">
        <v>0.25</v>
      </c>
      <c r="N11" s="284">
        <v>0.25</v>
      </c>
      <c r="O11" s="284">
        <v>0.25</v>
      </c>
      <c r="P11" s="284">
        <v>0.25</v>
      </c>
      <c r="Q11" s="284">
        <v>0.25</v>
      </c>
      <c r="R11" s="284">
        <v>0.25</v>
      </c>
      <c r="S11" s="284">
        <v>0.25</v>
      </c>
      <c r="T11" s="284">
        <v>0.25</v>
      </c>
      <c r="U11" s="284">
        <v>0.25</v>
      </c>
    </row>
    <row r="12" spans="1:22" ht="14.25" customHeight="1" x14ac:dyDescent="0.35">
      <c r="A12" s="1317" t="s">
        <v>720</v>
      </c>
      <c r="B12" s="284">
        <v>1</v>
      </c>
      <c r="C12" s="284"/>
      <c r="D12" s="284"/>
      <c r="E12" s="284"/>
      <c r="F12" s="284"/>
      <c r="G12" s="284"/>
      <c r="H12" s="284"/>
      <c r="I12" s="284"/>
      <c r="J12" s="284"/>
      <c r="K12" s="284"/>
      <c r="L12" s="284"/>
      <c r="M12" s="284"/>
      <c r="N12" s="284"/>
      <c r="O12" s="284"/>
      <c r="P12" s="284"/>
      <c r="Q12" s="284"/>
      <c r="R12" s="284"/>
      <c r="S12" s="284"/>
      <c r="T12" s="284"/>
      <c r="U12" s="284"/>
    </row>
    <row r="13" spans="1:22" x14ac:dyDescent="0.35">
      <c r="A13" s="1317" t="s">
        <v>721</v>
      </c>
      <c r="B13" s="284">
        <v>0</v>
      </c>
      <c r="C13" s="284">
        <v>0.4</v>
      </c>
      <c r="D13" s="284">
        <v>0.6</v>
      </c>
      <c r="E13" s="284">
        <v>0.4</v>
      </c>
      <c r="F13" s="284">
        <v>0.3</v>
      </c>
      <c r="G13" s="284">
        <v>0.2</v>
      </c>
      <c r="H13" s="284">
        <v>0.1</v>
      </c>
      <c r="I13" s="284">
        <v>0.25</v>
      </c>
      <c r="J13" s="284">
        <v>0.25</v>
      </c>
      <c r="K13" s="284">
        <v>0.25</v>
      </c>
      <c r="L13" s="284">
        <v>0.25</v>
      </c>
      <c r="M13" s="284">
        <v>0.25</v>
      </c>
      <c r="N13" s="284">
        <v>0.25</v>
      </c>
      <c r="O13" s="284">
        <v>0.25</v>
      </c>
      <c r="P13" s="284">
        <v>0.25</v>
      </c>
      <c r="Q13" s="284">
        <v>0.25</v>
      </c>
      <c r="R13" s="284">
        <v>0.25</v>
      </c>
      <c r="S13" s="284">
        <v>0.25</v>
      </c>
      <c r="T13" s="284">
        <v>0.25</v>
      </c>
      <c r="U13" s="284">
        <v>0.25</v>
      </c>
    </row>
    <row r="14" spans="1:22" x14ac:dyDescent="0.35">
      <c r="A14" s="1317"/>
      <c r="B14" s="284"/>
      <c r="C14" s="284"/>
      <c r="D14" s="284"/>
      <c r="E14" s="284"/>
      <c r="F14" s="284"/>
      <c r="G14" s="284"/>
      <c r="H14" s="284"/>
      <c r="I14" s="284"/>
      <c r="J14" s="284"/>
      <c r="K14" s="284"/>
      <c r="L14" s="284"/>
      <c r="M14" s="284"/>
      <c r="N14" s="284"/>
      <c r="O14" s="284"/>
      <c r="P14" s="284"/>
      <c r="Q14" s="284"/>
      <c r="R14" s="284"/>
      <c r="S14" s="284"/>
      <c r="T14" s="284"/>
      <c r="U14" s="284"/>
    </row>
    <row r="15" spans="1:22" ht="27" customHeight="1" x14ac:dyDescent="0.35">
      <c r="A15" s="1318" t="s">
        <v>722</v>
      </c>
      <c r="B15" s="284">
        <v>1</v>
      </c>
      <c r="C15" s="284">
        <v>2</v>
      </c>
      <c r="D15" s="284">
        <v>3</v>
      </c>
      <c r="E15" s="284">
        <v>4</v>
      </c>
      <c r="F15" s="284">
        <v>5</v>
      </c>
      <c r="G15" s="284">
        <v>6</v>
      </c>
      <c r="H15" s="284">
        <v>7</v>
      </c>
      <c r="I15" s="284">
        <v>8</v>
      </c>
      <c r="J15" s="284">
        <v>9</v>
      </c>
      <c r="K15" s="284">
        <v>10</v>
      </c>
      <c r="L15" s="284">
        <v>11</v>
      </c>
      <c r="M15" s="284">
        <v>12</v>
      </c>
      <c r="N15" s="284">
        <v>13</v>
      </c>
      <c r="O15" s="284">
        <v>14</v>
      </c>
      <c r="P15" s="284">
        <v>15</v>
      </c>
      <c r="Q15" s="284">
        <v>16</v>
      </c>
      <c r="R15" s="284">
        <v>17</v>
      </c>
      <c r="S15" s="284">
        <v>18</v>
      </c>
      <c r="T15" s="284">
        <v>19</v>
      </c>
      <c r="U15" s="284">
        <v>20</v>
      </c>
    </row>
    <row r="16" spans="1:22" x14ac:dyDescent="0.35">
      <c r="A16" s="1317" t="s">
        <v>723</v>
      </c>
      <c r="B16" s="284">
        <v>7.0000000000000007E-2</v>
      </c>
      <c r="C16" s="284">
        <v>7.0000000000000007E-2</v>
      </c>
      <c r="D16" s="284">
        <v>4.9000000000000002E-2</v>
      </c>
      <c r="E16" s="284">
        <v>4.9000000000000002E-2</v>
      </c>
      <c r="F16" s="284">
        <v>4.9000000000000002E-2</v>
      </c>
      <c r="G16" s="284">
        <v>4.9000000000000002E-2</v>
      </c>
      <c r="H16" s="284">
        <v>4.9000000000000002E-2</v>
      </c>
      <c r="I16" s="284">
        <v>4.9000000000000002E-2</v>
      </c>
      <c r="J16" s="284">
        <v>4.9000000000000002E-2</v>
      </c>
      <c r="K16" s="284">
        <v>4.9000000000000002E-2</v>
      </c>
      <c r="L16" s="284">
        <v>4.9000000000000002E-2</v>
      </c>
      <c r="M16" s="284">
        <v>4.9000000000000002E-2</v>
      </c>
      <c r="N16" s="284">
        <f t="shared" ref="N16:T16" si="1">0.0475</f>
        <v>4.7500000000000001E-2</v>
      </c>
      <c r="O16" s="284">
        <f t="shared" si="1"/>
        <v>4.7500000000000001E-2</v>
      </c>
      <c r="P16" s="284">
        <f t="shared" si="1"/>
        <v>4.7500000000000001E-2</v>
      </c>
      <c r="Q16" s="284">
        <f t="shared" si="1"/>
        <v>4.7500000000000001E-2</v>
      </c>
      <c r="R16" s="284">
        <f t="shared" si="1"/>
        <v>4.7500000000000001E-2</v>
      </c>
      <c r="S16" s="284">
        <f t="shared" si="1"/>
        <v>4.7500000000000001E-2</v>
      </c>
      <c r="T16" s="284">
        <f t="shared" si="1"/>
        <v>4.7500000000000001E-2</v>
      </c>
      <c r="U16" s="284">
        <f>0.0375</f>
        <v>3.7499999999999999E-2</v>
      </c>
      <c r="V16" s="284">
        <f>SUM(B16:U16)</f>
        <v>0.99999999999999989</v>
      </c>
    </row>
    <row r="17" spans="1:23" ht="27" customHeight="1" x14ac:dyDescent="0.35">
      <c r="A17" s="1317" t="s">
        <v>724</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4">
        <f>SUM(B17:U17)</f>
        <v>0.94000000000000006</v>
      </c>
      <c r="W17" t="s">
        <v>725</v>
      </c>
    </row>
    <row r="19" spans="1:23" x14ac:dyDescent="0.35">
      <c r="B19" s="901" t="e">
        <f>'Federal and State Purchases'!#REF!</f>
        <v>#REF!</v>
      </c>
      <c r="C19" s="901" t="e">
        <f>'Federal and State Purchases'!#REF!</f>
        <v>#REF!</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7" t="s">
        <v>726</v>
      </c>
      <c r="B1" s="877" t="s">
        <v>636</v>
      </c>
      <c r="C1" s="1321">
        <v>2021</v>
      </c>
      <c r="D1" s="1321">
        <f>C1</f>
        <v>2021</v>
      </c>
      <c r="E1" s="1321">
        <f>D1</f>
        <v>2021</v>
      </c>
      <c r="F1" s="1321">
        <v>2022</v>
      </c>
      <c r="G1" s="1321">
        <v>2022</v>
      </c>
      <c r="H1" s="1321">
        <v>2022</v>
      </c>
      <c r="I1" s="1321">
        <v>2022</v>
      </c>
      <c r="J1" s="1321">
        <v>2023</v>
      </c>
      <c r="K1" s="1321">
        <v>2023</v>
      </c>
      <c r="L1" s="1321">
        <v>2023</v>
      </c>
      <c r="M1" s="1321">
        <v>2023</v>
      </c>
      <c r="N1" s="1321">
        <v>2024</v>
      </c>
      <c r="O1" s="1321">
        <v>2024</v>
      </c>
      <c r="P1" s="1321">
        <v>2024</v>
      </c>
      <c r="Q1" s="1321">
        <v>2024</v>
      </c>
      <c r="R1" s="1321">
        <v>2025</v>
      </c>
      <c r="S1" s="1321">
        <v>2025</v>
      </c>
      <c r="T1" s="1321">
        <v>2025</v>
      </c>
      <c r="U1" s="1321">
        <v>2025</v>
      </c>
      <c r="V1" s="1321">
        <v>2026</v>
      </c>
    </row>
    <row r="2" spans="1:23" x14ac:dyDescent="0.35">
      <c r="B2" s="877" t="s">
        <v>727</v>
      </c>
      <c r="C2" s="745" t="s">
        <v>237</v>
      </c>
      <c r="D2" s="745" t="s">
        <v>238</v>
      </c>
      <c r="E2" s="745" t="s">
        <v>168</v>
      </c>
      <c r="F2" s="745" t="s">
        <v>169</v>
      </c>
      <c r="G2" s="745" t="s">
        <v>170</v>
      </c>
      <c r="H2" s="745" t="s">
        <v>171</v>
      </c>
      <c r="I2" s="745" t="s">
        <v>172</v>
      </c>
      <c r="J2" s="745" t="s">
        <v>173</v>
      </c>
      <c r="K2" s="745" t="s">
        <v>174</v>
      </c>
      <c r="L2" s="745" t="s">
        <v>175</v>
      </c>
      <c r="M2" s="745" t="s">
        <v>176</v>
      </c>
      <c r="N2" s="745" t="s">
        <v>177</v>
      </c>
      <c r="O2" s="745" t="s">
        <v>178</v>
      </c>
      <c r="P2" s="745" t="s">
        <v>179</v>
      </c>
      <c r="Q2" s="745" t="s">
        <v>163</v>
      </c>
      <c r="R2" s="745" t="s">
        <v>164</v>
      </c>
      <c r="S2" s="745" t="s">
        <v>165</v>
      </c>
      <c r="T2" s="745" t="s">
        <v>728</v>
      </c>
      <c r="U2" s="745" t="s">
        <v>729</v>
      </c>
      <c r="V2" s="745" t="s">
        <v>730</v>
      </c>
    </row>
    <row r="3" spans="1:23" x14ac:dyDescent="0.35">
      <c r="A3" s="877">
        <v>3</v>
      </c>
      <c r="B3" s="877" t="s">
        <v>491</v>
      </c>
      <c r="C3" s="1322">
        <f>4*'ARP Timing'!B6*VLOOKUP(C$1,'ARP Score'!$A$5:$M14,$A3)</f>
        <v>0</v>
      </c>
      <c r="D3" s="1322">
        <f>4*'ARP Timing'!C6*VLOOKUP(D$1,'ARP Score'!$A$5:$M14,$A3)</f>
        <v>336.60399999999998</v>
      </c>
      <c r="E3" s="1322">
        <f>4*'ARP Timing'!D6*VLOOKUP(E$1,'ARP Score'!$A$5:$M14,$A3)</f>
        <v>446.19599999999991</v>
      </c>
      <c r="F3" s="1322">
        <f>4*'ARP Timing'!E6*VLOOKUP(F$1,'ARP Score'!$A$5:$M14,$A3)</f>
        <v>10.1</v>
      </c>
      <c r="G3" s="1322">
        <f>4*'ARP Timing'!F6*VLOOKUP(G$1,'ARP Score'!$A$5:$M14,$A3)</f>
        <v>10.1</v>
      </c>
      <c r="H3" s="1322">
        <f>4*'ARP Timing'!G6*VLOOKUP(H$1,'ARP Score'!$A$5:$M14,$A3)</f>
        <v>10.1</v>
      </c>
      <c r="I3" s="1322">
        <f>4*'ARP Timing'!H6*VLOOKUP(I$1,'ARP Score'!$A$5:$M14,$A3)</f>
        <v>10.1</v>
      </c>
      <c r="J3" s="1322">
        <f>4*'ARP Timing'!I6*VLOOKUP(J$1,'ARP Score'!$A$5:$M14,$A3)</f>
        <v>0</v>
      </c>
      <c r="K3" s="1322">
        <f>4*'ARP Timing'!J6*VLOOKUP(K$1,'ARP Score'!$A$5:$M14,$A3)</f>
        <v>0</v>
      </c>
      <c r="L3" s="1322">
        <f>4*'ARP Timing'!K6*VLOOKUP(L$1,'ARP Score'!$A$5:$M14,$A3)</f>
        <v>0</v>
      </c>
      <c r="M3" s="1322">
        <f>4*'ARP Timing'!L6*VLOOKUP(M$1,'ARP Score'!$A$5:$M14,$A3)</f>
        <v>0</v>
      </c>
      <c r="N3" s="1322">
        <f>4*'ARP Timing'!M6*VLOOKUP(N$1,'ARP Score'!$A$5:$M14,$A3)</f>
        <v>0</v>
      </c>
      <c r="O3" s="1322">
        <f>4*'ARP Timing'!N6*VLOOKUP(O$1,'ARP Score'!$A$5:$M14,$A3)</f>
        <v>0</v>
      </c>
      <c r="P3" s="1322">
        <f>4*'ARP Timing'!O6*VLOOKUP(P$1,'ARP Score'!$A$5:$M14,$A3)</f>
        <v>0</v>
      </c>
      <c r="Q3" s="1322">
        <f>4*'ARP Timing'!P6*VLOOKUP(Q$1,'ARP Score'!$A$5:$M14,$A3)</f>
        <v>0</v>
      </c>
      <c r="R3" s="1322">
        <f>4*'ARP Timing'!Q6*VLOOKUP(R$1,'ARP Score'!$A$5:$M14,$A3)</f>
        <v>0</v>
      </c>
      <c r="S3" s="1322">
        <f>4*'ARP Timing'!R6*VLOOKUP(S$1,'ARP Score'!$A$5:$M14,$A3)</f>
        <v>0</v>
      </c>
      <c r="T3" s="1322">
        <f>4*'ARP Timing'!S6*VLOOKUP(T$1,'ARP Score'!$A$5:$M14,$A3)</f>
        <v>0</v>
      </c>
      <c r="U3" s="1322">
        <f>4*'ARP Timing'!T6*VLOOKUP(U$1,'ARP Score'!$A$5:$M14,$A3)</f>
        <v>0</v>
      </c>
      <c r="V3" s="1322">
        <f>4*'ARP Timing'!U6*VLOOKUP(V$1,'ARP Score'!$A$5:$M14,$A3)</f>
        <v>0</v>
      </c>
      <c r="W3" s="1322">
        <f>SUM(C3:U3)/4</f>
        <v>205.8</v>
      </c>
    </row>
    <row r="4" spans="1:23" x14ac:dyDescent="0.35">
      <c r="A4" s="877">
        <v>5</v>
      </c>
      <c r="B4" s="41" t="s">
        <v>638</v>
      </c>
      <c r="C4" s="1322">
        <f>4*'ARP Timing'!B7*VLOOKUP(C$1,'ARP Score'!$A$5:$M15,$A4)</f>
        <v>0</v>
      </c>
      <c r="D4" s="1322">
        <f>4*'ARP Timing'!C7*VLOOKUP(D$1,'ARP Score'!$A$5:$M15,$A4)</f>
        <v>0</v>
      </c>
      <c r="E4" s="1322">
        <f>4*'ARP Timing'!D7*VLOOKUP(E$1,'ARP Score'!$A$5:$M15,$A4)</f>
        <v>3.1040000000000418</v>
      </c>
      <c r="F4" s="1322">
        <f>4*'ARP Timing'!E7*VLOOKUP(F$1,'ARP Score'!$A$5:$M15,$A4)</f>
        <v>19.719000000000005</v>
      </c>
      <c r="G4" s="1322">
        <f>4*'ARP Timing'!F7*VLOOKUP(G$1,'ARP Score'!$A$5:$M15,$A4)</f>
        <v>19.719000000000005</v>
      </c>
      <c r="H4" s="1322">
        <f>4*'ARP Timing'!G7*VLOOKUP(H$1,'ARP Score'!$A$5:$M15,$A4)</f>
        <v>19.719000000000005</v>
      </c>
      <c r="I4" s="1322">
        <f>4*'ARP Timing'!H7*VLOOKUP(I$1,'ARP Score'!$A$5:$M15,$A4)</f>
        <v>19.719000000000005</v>
      </c>
      <c r="J4" s="1322">
        <f>4*'ARP Timing'!I7*VLOOKUP(J$1,'ARP Score'!$A$5:$M15,$A4)</f>
        <v>1.4159999999999999</v>
      </c>
      <c r="K4" s="1322">
        <f>4*'ARP Timing'!J7*VLOOKUP(K$1,'ARP Score'!$A$5:$M15,$A4)</f>
        <v>1.4159999999999999</v>
      </c>
      <c r="L4" s="1322">
        <f>4*'ARP Timing'!K7*VLOOKUP(L$1,'ARP Score'!$A$5:$M15,$A4)</f>
        <v>1.4159999999999999</v>
      </c>
      <c r="M4" s="1322">
        <f>4*'ARP Timing'!L7*VLOOKUP(M$1,'ARP Score'!$A$5:$M15,$A4)</f>
        <v>1.4159999999999999</v>
      </c>
      <c r="N4" s="1322">
        <f>4*'ARP Timing'!M7*VLOOKUP(N$1,'ARP Score'!$A$5:$M15,$A4)</f>
        <v>1.4790000000000001</v>
      </c>
      <c r="O4" s="1322">
        <f>4*'ARP Timing'!N7*VLOOKUP(O$1,'ARP Score'!$A$5:$M15,$A4)</f>
        <v>1.4790000000000001</v>
      </c>
      <c r="P4" s="1322">
        <f>4*'ARP Timing'!O7*VLOOKUP(P$1,'ARP Score'!$A$5:$M15,$A4)</f>
        <v>1.4790000000000001</v>
      </c>
      <c r="Q4" s="1322">
        <f>4*'ARP Timing'!P7*VLOOKUP(Q$1,'ARP Score'!$A$5:$M15,$A4)</f>
        <v>1.4790000000000001</v>
      </c>
      <c r="R4" s="1322">
        <f>4*'ARP Timing'!Q7*VLOOKUP(R$1,'ARP Score'!$A$5:$M15,$A4)</f>
        <v>1.63</v>
      </c>
      <c r="S4" s="1322">
        <f>4*'ARP Timing'!R7*VLOOKUP(S$1,'ARP Score'!$A$5:$M15,$A4)</f>
        <v>1.63</v>
      </c>
      <c r="T4" s="1322">
        <f>4*'ARP Timing'!S7*VLOOKUP(T$1,'ARP Score'!$A$5:$M15,$A4)</f>
        <v>1.63</v>
      </c>
      <c r="U4" s="1322">
        <f>4*'ARP Timing'!T7*VLOOKUP(U$1,'ARP Score'!$A$5:$M15,$A4)</f>
        <v>1.63</v>
      </c>
      <c r="V4" s="1322">
        <f>4*'ARP Timing'!U7*VLOOKUP(V$1,'ARP Score'!$A$5:$M15,$A4)</f>
        <v>1.671</v>
      </c>
      <c r="W4" s="1322">
        <f>SUM(C4:U4)/4</f>
        <v>25.020000000000007</v>
      </c>
    </row>
    <row r="5" spans="1:23" x14ac:dyDescent="0.35">
      <c r="A5" s="877">
        <v>6</v>
      </c>
      <c r="B5" s="41" t="s">
        <v>639</v>
      </c>
      <c r="C5" s="1322">
        <f>4*'ARP Timing'!B8*VLOOKUP(C$1,'ARP Score'!$A$5:$M16,$A5)</f>
        <v>0</v>
      </c>
      <c r="D5" s="1322">
        <f>4*'ARP Timing'!C8*VLOOKUP(D$1,'ARP Score'!$A$5:$M16,$A5)</f>
        <v>33.921840000000024</v>
      </c>
      <c r="E5" s="1322">
        <f>4*'ARP Timing'!D8*VLOOKUP(E$1,'ARP Score'!$A$5:$M16,$A5)</f>
        <v>44.966160000000031</v>
      </c>
      <c r="F5" s="1322">
        <f>4*'ARP Timing'!E8*VLOOKUP(F$1,'ARP Score'!$A$5:$M16,$A5)</f>
        <v>52.756999999999998</v>
      </c>
      <c r="G5" s="1322">
        <f>4*'ARP Timing'!F8*VLOOKUP(G$1,'ARP Score'!$A$5:$M16,$A5)</f>
        <v>52.756999999999998</v>
      </c>
      <c r="H5" s="1322">
        <f>4*'ARP Timing'!G8*VLOOKUP(H$1,'ARP Score'!$A$5:$M16,$A5)</f>
        <v>52.756999999999998</v>
      </c>
      <c r="I5" s="1322">
        <f>4*'ARP Timing'!H8*VLOOKUP(I$1,'ARP Score'!$A$5:$M16,$A5)</f>
        <v>52.756999999999998</v>
      </c>
      <c r="J5" s="1322">
        <f>4*'ARP Timing'!I8*VLOOKUP(J$1,'ARP Score'!$A$5:$M16,$A5)</f>
        <v>12</v>
      </c>
      <c r="K5" s="1322">
        <f>4*'ARP Timing'!J8*VLOOKUP(K$1,'ARP Score'!$A$5:$M16,$A5)</f>
        <v>12</v>
      </c>
      <c r="L5" s="1322">
        <f>4*'ARP Timing'!K8*VLOOKUP(L$1,'ARP Score'!$A$5:$M16,$A5)</f>
        <v>12</v>
      </c>
      <c r="M5" s="1322">
        <f>4*'ARP Timing'!L8*VLOOKUP(M$1,'ARP Score'!$A$5:$M16,$A5)</f>
        <v>12</v>
      </c>
      <c r="N5" s="1322">
        <f>4*'ARP Timing'!M8*VLOOKUP(N$1,'ARP Score'!$A$5:$M16,$A5)</f>
        <v>4.2219999999999995</v>
      </c>
      <c r="O5" s="1322">
        <f>4*'ARP Timing'!N8*VLOOKUP(O$1,'ARP Score'!$A$5:$M16,$A5)</f>
        <v>4.2219999999999995</v>
      </c>
      <c r="P5" s="1322">
        <f>4*'ARP Timing'!O8*VLOOKUP(P$1,'ARP Score'!$A$5:$M16,$A5)</f>
        <v>4.2219999999999995</v>
      </c>
      <c r="Q5" s="1322">
        <f>4*'ARP Timing'!P8*VLOOKUP(Q$1,'ARP Score'!$A$5:$M16,$A5)</f>
        <v>4.2219999999999995</v>
      </c>
      <c r="R5" s="1322">
        <f>4*'ARP Timing'!Q8*VLOOKUP(R$1,'ARP Score'!$A$5:$M16,$A5)</f>
        <v>2.3719999999999999</v>
      </c>
      <c r="S5" s="1322">
        <f>4*'ARP Timing'!R8*VLOOKUP(S$1,'ARP Score'!$A$5:$M16,$A5)</f>
        <v>2.3719999999999999</v>
      </c>
      <c r="T5" s="1322">
        <f>4*'ARP Timing'!S8*VLOOKUP(T$1,'ARP Score'!$A$5:$M16,$A5)</f>
        <v>2.3719999999999999</v>
      </c>
      <c r="U5" s="1322">
        <f>4*'ARP Timing'!T8*VLOOKUP(U$1,'ARP Score'!$A$5:$M16,$A5)</f>
        <v>2.3719999999999999</v>
      </c>
      <c r="V5" s="1322">
        <f>4*'ARP Timing'!U8*VLOOKUP(V$1,'ARP Score'!$A$5:$M16,$A5)</f>
        <v>0.49</v>
      </c>
      <c r="W5" s="1322">
        <f t="shared" ref="W5:W15" si="0">SUM(C5:U5)/4</f>
        <v>91.073000000000008</v>
      </c>
    </row>
    <row r="6" spans="1:23" x14ac:dyDescent="0.35">
      <c r="A6" s="877">
        <v>7</v>
      </c>
      <c r="B6" s="41" t="s">
        <v>731</v>
      </c>
      <c r="C6" s="1322">
        <f>4*'ARP Timing'!B9*VLOOKUP(C$1,'ARP Score'!$A$5:$M17,$A6)</f>
        <v>0</v>
      </c>
      <c r="D6" s="1322">
        <f>4*'ARP Timing'!C9*VLOOKUP(D$1,'ARP Score'!$A$5:$M17,$A6)</f>
        <v>58.782959999999989</v>
      </c>
      <c r="E6" s="1322">
        <f>4*'ARP Timing'!D9*VLOOKUP(E$1,'ARP Score'!$A$5:$M17,$A6)</f>
        <v>267.78904</v>
      </c>
      <c r="F6" s="1322">
        <f>4*'ARP Timing'!E9*VLOOKUP(F$1,'ARP Score'!$A$5:$M17,$A6)</f>
        <v>110.24799999999999</v>
      </c>
      <c r="G6" s="1322">
        <f>4*'ARP Timing'!F9*VLOOKUP(G$1,'ARP Score'!$A$5:$M17,$A6)</f>
        <v>110.24799999999999</v>
      </c>
      <c r="H6" s="1322">
        <f>4*'ARP Timing'!G9*VLOOKUP(H$1,'ARP Score'!$A$5:$M17,$A6)</f>
        <v>110.24799999999999</v>
      </c>
      <c r="I6" s="1322">
        <f>4*'ARP Timing'!H9*VLOOKUP(I$1,'ARP Score'!$A$5:$M17,$A6)</f>
        <v>110.24799999999999</v>
      </c>
      <c r="J6" s="1322">
        <f>4*'ARP Timing'!I9*VLOOKUP(J$1,'ARP Score'!$A$5:$M17,$A6)</f>
        <v>12.726000000000001</v>
      </c>
      <c r="K6" s="1322">
        <f>4*'ARP Timing'!J9*VLOOKUP(K$1,'ARP Score'!$A$5:$M17,$A6)</f>
        <v>12.726000000000001</v>
      </c>
      <c r="L6" s="1322">
        <f>4*'ARP Timing'!K9*VLOOKUP(L$1,'ARP Score'!$A$5:$M17,$A6)</f>
        <v>12.726000000000001</v>
      </c>
      <c r="M6" s="1322">
        <f>4*'ARP Timing'!L9*VLOOKUP(M$1,'ARP Score'!$A$5:$M17,$A6)</f>
        <v>12.726000000000001</v>
      </c>
      <c r="N6" s="1322">
        <f>4*'ARP Timing'!M9*VLOOKUP(N$1,'ARP Score'!$A$5:$M17,$A6)</f>
        <v>1.365</v>
      </c>
      <c r="O6" s="1322">
        <f>4*'ARP Timing'!N9*VLOOKUP(O$1,'ARP Score'!$A$5:$M17,$A6)</f>
        <v>1.365</v>
      </c>
      <c r="P6" s="1322">
        <f>4*'ARP Timing'!O9*VLOOKUP(P$1,'ARP Score'!$A$5:$M17,$A6)</f>
        <v>1.365</v>
      </c>
      <c r="Q6" s="1322">
        <f>4*'ARP Timing'!P9*VLOOKUP(Q$1,'ARP Score'!$A$5:$M17,$A6)</f>
        <v>1.365</v>
      </c>
      <c r="R6" s="1322">
        <f>4*'ARP Timing'!Q9*VLOOKUP(R$1,'ARP Score'!$A$5:$M17,$A6)</f>
        <v>-0.90100000000000025</v>
      </c>
      <c r="S6" s="1322">
        <f>4*'ARP Timing'!R9*VLOOKUP(S$1,'ARP Score'!$A$5:$M17,$A6)</f>
        <v>-0.90100000000000025</v>
      </c>
      <c r="T6" s="1322">
        <f>4*'ARP Timing'!S9*VLOOKUP(T$1,'ARP Score'!$A$5:$M17,$A6)</f>
        <v>-0.90100000000000025</v>
      </c>
      <c r="U6" s="1322">
        <f>4*'ARP Timing'!T9*VLOOKUP(U$1,'ARP Score'!$A$5:$M17,$A6)</f>
        <v>-0.90100000000000025</v>
      </c>
      <c r="V6" s="1322">
        <f>4*'ARP Timing'!U9*VLOOKUP(V$1,'ARP Score'!$A$5:$M17,$A6)</f>
        <v>-2.1500000000000004</v>
      </c>
      <c r="W6" s="1322">
        <f t="shared" si="0"/>
        <v>205.08100000000007</v>
      </c>
    </row>
    <row r="7" spans="1:23" x14ac:dyDescent="0.35">
      <c r="A7" s="877">
        <v>8</v>
      </c>
      <c r="B7" s="41" t="s">
        <v>119</v>
      </c>
      <c r="C7" s="1322">
        <f>4*'ARP Timing'!B10*VLOOKUP(C$1,'ARP Score'!$A$5:$M18,$A7)</f>
        <v>0</v>
      </c>
      <c r="D7" s="1322">
        <f>4*'ARP Timing'!C10*VLOOKUP(D$1,'ARP Score'!$A$5:$M18,$A7)</f>
        <v>15.596</v>
      </c>
      <c r="E7" s="1322">
        <f>4*'ARP Timing'!D10*VLOOKUP(E$1,'ARP Score'!$A$5:$M18,$A7)</f>
        <v>15.596</v>
      </c>
      <c r="F7" s="1322">
        <f>4*'ARP Timing'!E10*VLOOKUP(F$1,'ARP Score'!$A$5:$M18,$A7)</f>
        <v>7.9489999999999998</v>
      </c>
      <c r="G7" s="1322">
        <f>4*'ARP Timing'!F10*VLOOKUP(G$1,'ARP Score'!$A$5:$M18,$A7)</f>
        <v>7.9489999999999998</v>
      </c>
      <c r="H7" s="1322">
        <f>4*'ARP Timing'!G10*VLOOKUP(H$1,'ARP Score'!$A$5:$M18,$A7)</f>
        <v>7.9489999999999998</v>
      </c>
      <c r="I7" s="1322">
        <f>4*'ARP Timing'!H10*VLOOKUP(I$1,'ARP Score'!$A$5:$M18,$A7)</f>
        <v>7.9489999999999998</v>
      </c>
      <c r="J7" s="1322">
        <f>4*'ARP Timing'!I10*VLOOKUP(J$1,'ARP Score'!$A$5:$M18,$A7)</f>
        <v>4.7519999999999998</v>
      </c>
      <c r="K7" s="1322">
        <f>4*'ARP Timing'!J10*VLOOKUP(K$1,'ARP Score'!$A$5:$M18,$A7)</f>
        <v>4.7519999999999998</v>
      </c>
      <c r="L7" s="1322">
        <f>4*'ARP Timing'!K10*VLOOKUP(L$1,'ARP Score'!$A$5:$M18,$A7)</f>
        <v>4.7519999999999998</v>
      </c>
      <c r="M7" s="1322">
        <f>4*'ARP Timing'!L10*VLOOKUP(M$1,'ARP Score'!$A$5:$M18,$A7)</f>
        <v>4.7519999999999998</v>
      </c>
      <c r="N7" s="1322">
        <f>4*'ARP Timing'!M10*VLOOKUP(N$1,'ARP Score'!$A$5:$M18,$A7)</f>
        <v>4.637999999999999</v>
      </c>
      <c r="O7" s="1322">
        <f>4*'ARP Timing'!N10*VLOOKUP(O$1,'ARP Score'!$A$5:$M18,$A7)</f>
        <v>4.637999999999999</v>
      </c>
      <c r="P7" s="1322">
        <f>4*'ARP Timing'!O10*VLOOKUP(P$1,'ARP Score'!$A$5:$M18,$A7)</f>
        <v>4.637999999999999</v>
      </c>
      <c r="Q7" s="1322">
        <f>4*'ARP Timing'!P10*VLOOKUP(Q$1,'ARP Score'!$A$5:$M18,$A7)</f>
        <v>4.637999999999999</v>
      </c>
      <c r="R7" s="1322">
        <f>4*'ARP Timing'!Q10*VLOOKUP(R$1,'ARP Score'!$A$5:$M18,$A7)</f>
        <v>1.8800000000000001</v>
      </c>
      <c r="S7" s="1322">
        <f>4*'ARP Timing'!R10*VLOOKUP(S$1,'ARP Score'!$A$5:$M18,$A7)</f>
        <v>1.8800000000000001</v>
      </c>
      <c r="T7" s="1322">
        <f>4*'ARP Timing'!S10*VLOOKUP(T$1,'ARP Score'!$A$5:$M18,$A7)</f>
        <v>1.8800000000000001</v>
      </c>
      <c r="U7" s="1322">
        <f>4*'ARP Timing'!T10*VLOOKUP(U$1,'ARP Score'!$A$5:$M18,$A7)</f>
        <v>1.8800000000000001</v>
      </c>
      <c r="V7" s="1322">
        <f>4*'ARP Timing'!U10*VLOOKUP(V$1,'ARP Score'!$A$5:$M18,$A7)</f>
        <v>1.446</v>
      </c>
      <c r="W7" s="1322">
        <f t="shared" si="0"/>
        <v>27.016999999999996</v>
      </c>
    </row>
    <row r="8" spans="1:23" x14ac:dyDescent="0.35">
      <c r="A8" s="877">
        <v>9</v>
      </c>
      <c r="B8" s="1323" t="s">
        <v>314</v>
      </c>
      <c r="C8" s="1322">
        <f>4*'ARP Timing'!B$11*VLOOKUP(C$1,'ARP Score'!$A$5:$M19,$A8)</f>
        <v>0</v>
      </c>
      <c r="D8" s="1322">
        <f>0.6*SUM('ARP Score'!B5:B7)*4</f>
        <v>989.16719999999987</v>
      </c>
      <c r="E8" s="1321">
        <v>0</v>
      </c>
      <c r="F8" s="1322">
        <v>0</v>
      </c>
      <c r="G8" s="1322">
        <v>0</v>
      </c>
      <c r="H8" s="1322">
        <f>D8*0.4/0.6</f>
        <v>659.44479999999999</v>
      </c>
      <c r="I8" s="1322">
        <v>0</v>
      </c>
      <c r="J8" s="877">
        <v>0</v>
      </c>
      <c r="K8" s="1322">
        <v>0</v>
      </c>
      <c r="L8" s="1322">
        <v>0</v>
      </c>
      <c r="M8" s="1322">
        <v>0</v>
      </c>
      <c r="N8" s="1322">
        <v>0</v>
      </c>
      <c r="O8" s="1322">
        <v>0</v>
      </c>
      <c r="P8" s="1322">
        <v>0</v>
      </c>
      <c r="Q8" s="1322">
        <v>0</v>
      </c>
      <c r="R8" s="1322">
        <v>0</v>
      </c>
      <c r="S8" s="1322">
        <v>0</v>
      </c>
      <c r="T8" s="1322">
        <v>0</v>
      </c>
      <c r="U8" s="1322">
        <v>0</v>
      </c>
      <c r="V8" s="1322">
        <v>0</v>
      </c>
      <c r="W8" s="1322">
        <f t="shared" si="0"/>
        <v>412.15299999999996</v>
      </c>
    </row>
    <row r="9" spans="1:23" x14ac:dyDescent="0.35">
      <c r="A9" s="877">
        <v>10</v>
      </c>
      <c r="B9" s="1323" t="s">
        <v>138</v>
      </c>
      <c r="C9" s="1322">
        <f>4*'ARP Timing'!B$11*VLOOKUP(C$1,'ARP Score'!$A$5:$M20,$A9)</f>
        <v>0</v>
      </c>
      <c r="D9" s="1322">
        <f>4*'ARP Timing'!C$11*VLOOKUP(D$1,'ARP Score'!$A$5:$M20,$A9)</f>
        <v>24.693999999999999</v>
      </c>
      <c r="E9" s="1322">
        <f>4*'ARP Timing'!D$11*VLOOKUP(E$1,'ARP Score'!$A$5:$M20,$A9)</f>
        <v>24.693999999999999</v>
      </c>
      <c r="F9" s="1322">
        <f>4*'ARP Timing'!E$11*VLOOKUP(F$1,'ARP Score'!$A$5:$M20,$A9)</f>
        <v>46.79</v>
      </c>
      <c r="G9" s="1322">
        <f>4*'ARP Timing'!F$11*VLOOKUP(G$1,'ARP Score'!$A$5:$M20,$A9)</f>
        <v>46.79</v>
      </c>
      <c r="H9" s="1322">
        <f>4*'ARP Timing'!G$11*VLOOKUP(H$1,'ARP Score'!$A$5:$M20,$A9)</f>
        <v>46.79</v>
      </c>
      <c r="I9" s="1322">
        <f>4*'ARP Timing'!H$11*VLOOKUP(I$1,'ARP Score'!$A$5:$M20,$A9)</f>
        <v>46.79</v>
      </c>
      <c r="J9" s="1322">
        <f>4*'ARP Timing'!I$11*VLOOKUP(J$1,'ARP Score'!$A$5:$M20,$A9)</f>
        <v>38.595999999999997</v>
      </c>
      <c r="K9" s="1322">
        <f>4*'ARP Timing'!J$11*VLOOKUP(K$1,'ARP Score'!$A$5:$M20,$A9)</f>
        <v>38.595999999999997</v>
      </c>
      <c r="L9" s="1322">
        <f>4*'ARP Timing'!K$11*VLOOKUP(L$1,'ARP Score'!$A$5:$M20,$A9)</f>
        <v>38.595999999999997</v>
      </c>
      <c r="M9" s="1322">
        <f>4*'ARP Timing'!L$11*VLOOKUP(M$1,'ARP Score'!$A$5:$M20,$A9)</f>
        <v>38.595999999999997</v>
      </c>
      <c r="N9" s="1322">
        <f>4*'ARP Timing'!M$11*VLOOKUP(N$1,'ARP Score'!$A$5:$M20,$A9)</f>
        <v>31.911000000000001</v>
      </c>
      <c r="O9" s="1322">
        <f>4*'ARP Timing'!N$11*VLOOKUP(O$1,'ARP Score'!$A$5:$M20,$A9)</f>
        <v>31.911000000000001</v>
      </c>
      <c r="P9" s="1322">
        <f>4*'ARP Timing'!O$11*VLOOKUP(P$1,'ARP Score'!$A$5:$M20,$A9)</f>
        <v>31.911000000000001</v>
      </c>
      <c r="Q9" s="1322">
        <f>4*'ARP Timing'!P$11*VLOOKUP(Q$1,'ARP Score'!$A$5:$M20,$A9)</f>
        <v>31.911000000000001</v>
      </c>
      <c r="R9" s="1322">
        <f>4*'ARP Timing'!Q$11*VLOOKUP(R$1,'ARP Score'!$A$5:$M20,$A9)</f>
        <v>23.099</v>
      </c>
      <c r="S9" s="1322">
        <f>4*'ARP Timing'!R$11*VLOOKUP(S$1,'ARP Score'!$A$5:$M20,$A9)</f>
        <v>23.099</v>
      </c>
      <c r="T9" s="1322">
        <f>4*'ARP Timing'!S$11*VLOOKUP(T$1,'ARP Score'!$A$5:$M20,$A9)</f>
        <v>23.099</v>
      </c>
      <c r="U9" s="1322">
        <f>4*'ARP Timing'!T$11*VLOOKUP(U$1,'ARP Score'!$A$5:$M20,$A9)</f>
        <v>23.099</v>
      </c>
      <c r="V9" s="1322">
        <f>4*'ARP Timing'!U$11*VLOOKUP(V$1,'ARP Score'!$A$5:$M20,$A9)</f>
        <v>10.766999999999999</v>
      </c>
      <c r="W9" s="1322">
        <f t="shared" si="0"/>
        <v>152.74300000000005</v>
      </c>
    </row>
    <row r="10" spans="1:23" x14ac:dyDescent="0.35">
      <c r="A10" s="1327">
        <v>11</v>
      </c>
      <c r="B10" s="1323" t="s">
        <v>330</v>
      </c>
      <c r="C10" s="1322">
        <f>4*'ARP Timing'!B$11*VLOOKUP(C$1,'ARP Score'!$A$5:$M22,$A10)</f>
        <v>0</v>
      </c>
      <c r="D10" s="1322">
        <f>4*'ARP Timing'!C$11*VLOOKUP(D$1,'ARP Score'!$A$5:$M22,$A10)</f>
        <v>59.256</v>
      </c>
      <c r="E10" s="1322">
        <f>4*'ARP Timing'!D$11*VLOOKUP(E$1,'ARP Score'!$A$5:$M22,$A10)</f>
        <v>59.256</v>
      </c>
      <c r="F10" s="1322">
        <f>4*'ARP Timing'!E$11*VLOOKUP(F$1,'ARP Score'!$A$5:$M22,$A10)</f>
        <v>35.671000000000006</v>
      </c>
      <c r="G10" s="1322">
        <f>4*'ARP Timing'!F$11*VLOOKUP(G$1,'ARP Score'!$A$5:$M22,$A10)</f>
        <v>35.671000000000006</v>
      </c>
      <c r="H10" s="1322">
        <f>4*'ARP Timing'!G$11*VLOOKUP(H$1,'ARP Score'!$A$5:$M22,$A10)</f>
        <v>35.671000000000006</v>
      </c>
      <c r="I10" s="1322">
        <f>4*'ARP Timing'!H$11*VLOOKUP(I$1,'ARP Score'!$A$5:$M22,$A10)</f>
        <v>35.671000000000006</v>
      </c>
      <c r="J10" s="1322">
        <f>4*'ARP Timing'!I$11*VLOOKUP(J$1,'ARP Score'!$A$5:$M22,$A10)</f>
        <v>24.216000000000001</v>
      </c>
      <c r="K10" s="1322">
        <f>4*'ARP Timing'!J$11*VLOOKUP(K$1,'ARP Score'!$A$5:$M22,$A10)</f>
        <v>24.216000000000001</v>
      </c>
      <c r="L10" s="1322">
        <f>4*'ARP Timing'!K$11*VLOOKUP(L$1,'ARP Score'!$A$5:$M22,$A10)</f>
        <v>24.216000000000001</v>
      </c>
      <c r="M10" s="1322">
        <f>4*'ARP Timing'!L$11*VLOOKUP(M$1,'ARP Score'!$A$5:$M22,$A10)</f>
        <v>24.216000000000001</v>
      </c>
      <c r="N10" s="1322">
        <f>4*'ARP Timing'!M$11*VLOOKUP(N$1,'ARP Score'!$A$5:$M22,$A10)</f>
        <v>9.6430000000000007</v>
      </c>
      <c r="O10" s="1322">
        <f>4*'ARP Timing'!N$11*VLOOKUP(O$1,'ARP Score'!$A$5:$M22,$A10)</f>
        <v>9.6430000000000007</v>
      </c>
      <c r="P10" s="1322">
        <f>4*'ARP Timing'!O$11*VLOOKUP(P$1,'ARP Score'!$A$5:$M22,$A10)</f>
        <v>9.6430000000000007</v>
      </c>
      <c r="Q10" s="1322">
        <f>4*'ARP Timing'!P$11*VLOOKUP(Q$1,'ARP Score'!$A$5:$M22,$A10)</f>
        <v>9.6430000000000007</v>
      </c>
      <c r="R10" s="1322">
        <f>4*'ARP Timing'!Q$11*VLOOKUP(R$1,'ARP Score'!$A$5:$M22,$A10)</f>
        <v>4.5789999999999997</v>
      </c>
      <c r="S10" s="1322">
        <f>4*'ARP Timing'!R$11*VLOOKUP(S$1,'ARP Score'!$A$5:$M22,$A10)</f>
        <v>4.5789999999999997</v>
      </c>
      <c r="T10" s="1322">
        <f>4*'ARP Timing'!S$11*VLOOKUP(T$1,'ARP Score'!$A$5:$M22,$A10)</f>
        <v>4.5789999999999997</v>
      </c>
      <c r="U10" s="1322">
        <f>4*'ARP Timing'!T$11*VLOOKUP(U$1,'ARP Score'!$A$5:$M22,$A10)</f>
        <v>4.5789999999999997</v>
      </c>
      <c r="V10" s="1322">
        <f>4*'ARP Timing'!U$11*VLOOKUP(V$1,'ARP Score'!$A$5:$M22,$A10)</f>
        <v>2.9130000000000003</v>
      </c>
      <c r="W10" s="1322">
        <f t="shared" si="0"/>
        <v>103.73700000000002</v>
      </c>
    </row>
    <row r="11" spans="1:23" x14ac:dyDescent="0.35">
      <c r="A11" s="877">
        <v>12</v>
      </c>
      <c r="B11" s="24" t="s">
        <v>147</v>
      </c>
      <c r="C11" s="1322">
        <f>4*'ARP Timing'!B12*VLOOKUP(C$1,'ARP Score'!$A$5:$M20,$A11)</f>
        <v>103</v>
      </c>
      <c r="D11" s="1322">
        <f>4*'ARP Timing'!C12*VLOOKUP(D$1,'ARP Score'!$A$5:$M20,$A11)</f>
        <v>0</v>
      </c>
      <c r="E11" s="1322">
        <f>4*'ARP Timing'!D12*VLOOKUP(E$1,'ARP Score'!$A$5:$M20,$A11)</f>
        <v>0</v>
      </c>
      <c r="F11" s="1322">
        <f>4*'ARP Timing'!E12*VLOOKUP(F$1,'ARP Score'!$A$5:$M20,$A11)</f>
        <v>0</v>
      </c>
      <c r="G11" s="1322">
        <f>4*'ARP Timing'!F12*VLOOKUP(G$1,'ARP Score'!$A$5:$M20,$A11)</f>
        <v>0</v>
      </c>
      <c r="H11" s="1322">
        <f>4*'ARP Timing'!G12*VLOOKUP(H$1,'ARP Score'!$A$5:$M20,$A11)</f>
        <v>0</v>
      </c>
      <c r="I11" s="1322">
        <f>4*'ARP Timing'!H12*VLOOKUP(I$1,'ARP Score'!$A$5:$M20,$A11)</f>
        <v>0</v>
      </c>
      <c r="J11" s="1322">
        <f>4*'ARP Timing'!I12*VLOOKUP(J$1,'ARP Score'!$A$5:$M20,$A11)</f>
        <v>0</v>
      </c>
      <c r="K11" s="1322">
        <f>4*'ARP Timing'!J12*VLOOKUP(K$1,'ARP Score'!$A$5:$M20,$A11)</f>
        <v>0</v>
      </c>
      <c r="L11" s="1322">
        <f>4*'ARP Timing'!K12*VLOOKUP(L$1,'ARP Score'!$A$5:$M20,$A11)</f>
        <v>0</v>
      </c>
      <c r="M11" s="1322">
        <f>4*'ARP Timing'!L12*VLOOKUP(M$1,'ARP Score'!$A$5:$M20,$A11)</f>
        <v>0</v>
      </c>
      <c r="N11" s="1322">
        <f>4*'ARP Timing'!M12*VLOOKUP(N$1,'ARP Score'!$A$5:$M20,$A11)</f>
        <v>0</v>
      </c>
      <c r="O11" s="1322">
        <f>4*'ARP Timing'!N12*VLOOKUP(O$1,'ARP Score'!$A$5:$M20,$A11)</f>
        <v>0</v>
      </c>
      <c r="P11" s="1322">
        <f>4*'ARP Timing'!O12*VLOOKUP(P$1,'ARP Score'!$A$5:$M20,$A11)</f>
        <v>0</v>
      </c>
      <c r="Q11" s="1322">
        <f>4*'ARP Timing'!P12*VLOOKUP(Q$1,'ARP Score'!$A$5:$M20,$A11)</f>
        <v>0</v>
      </c>
      <c r="R11" s="1322">
        <f>4*'ARP Timing'!Q12*VLOOKUP(R$1,'ARP Score'!$A$5:$M20,$A11)</f>
        <v>0</v>
      </c>
      <c r="S11" s="1322">
        <f>4*'ARP Timing'!R12*VLOOKUP(S$1,'ARP Score'!$A$5:$M20,$A11)</f>
        <v>0</v>
      </c>
      <c r="T11" s="1322">
        <f>4*'ARP Timing'!S12*VLOOKUP(T$1,'ARP Score'!$A$5:$M20,$A11)</f>
        <v>0</v>
      </c>
      <c r="U11" s="1322">
        <f>4*'ARP Timing'!T12*VLOOKUP(U$1,'ARP Score'!$A$5:$M20,$A11)</f>
        <v>0</v>
      </c>
      <c r="V11" s="1322">
        <f>4*'ARP Timing'!U12*VLOOKUP(V$1,'ARP Score'!$A$5:$M20,$A11)</f>
        <v>0</v>
      </c>
      <c r="W11" s="1322">
        <f t="shared" si="0"/>
        <v>25.75</v>
      </c>
    </row>
    <row r="12" spans="1:23" x14ac:dyDescent="0.35">
      <c r="A12" s="877">
        <v>13</v>
      </c>
      <c r="B12" s="41" t="s">
        <v>97</v>
      </c>
      <c r="C12" s="1322">
        <f>4*'ARP Timing'!B13*VLOOKUP(C$1,'ARP Score'!$A$5:$M21,$A12)</f>
        <v>0</v>
      </c>
      <c r="D12" s="1322">
        <f>4*'ARP Timing'!C13*VLOOKUP(D$1,'ARP Score'!$A$5:$M21,$A12)</f>
        <v>51.102400000000003</v>
      </c>
      <c r="E12" s="1322">
        <f>4*'ARP Timing'!D13*VLOOKUP(E$1,'ARP Score'!$A$5:$M21,$A12)</f>
        <v>76.653599999999997</v>
      </c>
      <c r="F12" s="1322">
        <f>4*'ARP Timing'!E13*VLOOKUP(F$1,'ARP Score'!$A$5:$M21,$A12)</f>
        <v>90.260800000000003</v>
      </c>
      <c r="G12" s="1322">
        <f>4*'ARP Timing'!F13*VLOOKUP(G$1,'ARP Score'!$A$5:$M21,$A12)</f>
        <v>67.695599999999999</v>
      </c>
      <c r="H12" s="1322">
        <f>4*'ARP Timing'!G13*VLOOKUP(H$1,'ARP Score'!$A$5:$M21,$A12)</f>
        <v>45.130400000000002</v>
      </c>
      <c r="I12" s="1322">
        <f>4*'ARP Timing'!H13*VLOOKUP(I$1,'ARP Score'!$A$5:$M21,$A12)</f>
        <v>22.565200000000001</v>
      </c>
      <c r="J12" s="1322">
        <f>4*'ARP Timing'!I13*VLOOKUP(J$1,'ARP Score'!$A$5:$M21,$A12)</f>
        <v>15.652999999999999</v>
      </c>
      <c r="K12" s="1322">
        <f>4*'ARP Timing'!J13*VLOOKUP(K$1,'ARP Score'!$A$5:$M21,$A12)</f>
        <v>15.652999999999999</v>
      </c>
      <c r="L12" s="1322">
        <f>4*'ARP Timing'!K13*VLOOKUP(L$1,'ARP Score'!$A$5:$M21,$A12)</f>
        <v>15.652999999999999</v>
      </c>
      <c r="M12" s="1322">
        <f>4*'ARP Timing'!L13*VLOOKUP(M$1,'ARP Score'!$A$5:$M21,$A12)</f>
        <v>15.652999999999999</v>
      </c>
      <c r="N12" s="1322">
        <f>4*'ARP Timing'!M13*VLOOKUP(N$1,'ARP Score'!$A$5:$M21,$A12)</f>
        <v>3.9320000000000004</v>
      </c>
      <c r="O12" s="1322">
        <f>4*'ARP Timing'!N13*VLOOKUP(O$1,'ARP Score'!$A$5:$M21,$A12)</f>
        <v>3.9320000000000004</v>
      </c>
      <c r="P12" s="1322">
        <f>4*'ARP Timing'!O13*VLOOKUP(P$1,'ARP Score'!$A$5:$M21,$A12)</f>
        <v>3.9320000000000004</v>
      </c>
      <c r="Q12" s="1322">
        <f>4*'ARP Timing'!P13*VLOOKUP(Q$1,'ARP Score'!$A$5:$M21,$A12)</f>
        <v>3.9320000000000004</v>
      </c>
      <c r="R12" s="1322">
        <f>4*'ARP Timing'!Q13*VLOOKUP(R$1,'ARP Score'!$A$5:$M21,$A12)</f>
        <v>-0.74299999999999988</v>
      </c>
      <c r="S12" s="1322">
        <f>4*'ARP Timing'!R13*VLOOKUP(S$1,'ARP Score'!$A$5:$M21,$A12)</f>
        <v>-0.74299999999999988</v>
      </c>
      <c r="T12" s="1322">
        <f>4*'ARP Timing'!S13*VLOOKUP(T$1,'ARP Score'!$A$5:$M21,$A12)</f>
        <v>-0.74299999999999988</v>
      </c>
      <c r="U12" s="1322">
        <f>4*'ARP Timing'!T13*VLOOKUP(U$1,'ARP Score'!$A$5:$M21,$A12)</f>
        <v>-0.74299999999999988</v>
      </c>
      <c r="V12" s="1322">
        <f>4*'ARP Timing'!U13*VLOOKUP(V$1,'ARP Score'!$A$5:$M21,$A12)</f>
        <v>-21.606000000000002</v>
      </c>
      <c r="W12" s="1322">
        <f t="shared" si="0"/>
        <v>107.19400000000005</v>
      </c>
    </row>
    <row r="13" spans="1:23" x14ac:dyDescent="0.35">
      <c r="A13" s="877">
        <v>15</v>
      </c>
      <c r="B13" s="877" t="s">
        <v>732</v>
      </c>
      <c r="C13" s="1322">
        <f>0.3*'ARP Score'!$N5*4*'ARP Timing'!B6</f>
        <v>0</v>
      </c>
      <c r="D13" s="1322">
        <f>0.3*'ARP Score'!$N5*4*'ARP Timing'!C6</f>
        <v>1.7544</v>
      </c>
      <c r="E13" s="1322">
        <f>0.3*'ARP Score'!$N5*4*'ARP Timing'!D6</f>
        <v>2.3255999999999997</v>
      </c>
      <c r="F13" s="1322">
        <f>0.3*'ARP Score'!$N6*4*'ARP Timing'!E6</f>
        <v>1.5299999999999998</v>
      </c>
      <c r="G13" s="1322">
        <f>0.3*'ARP Score'!$N6*4*'ARP Timing'!F6</f>
        <v>1.5299999999999998</v>
      </c>
      <c r="H13" s="1322">
        <f>0.3*'ARP Score'!$N6*4*'ARP Timing'!G6</f>
        <v>1.5299999999999998</v>
      </c>
      <c r="I13" s="1322">
        <f>0.3*'ARP Score'!$N6*4*'ARP Timing'!H6</f>
        <v>1.5299999999999998</v>
      </c>
      <c r="J13" s="1322">
        <f>0.3*'ARP Score'!$N7*4*'ARP Timing'!I6</f>
        <v>0</v>
      </c>
      <c r="K13" s="1322">
        <f>0.3*'ARP Score'!$N7*4*'ARP Timing'!J6</f>
        <v>0</v>
      </c>
      <c r="L13" s="1322">
        <f>0.3*'ARP Score'!$N7*4*'ARP Timing'!K6</f>
        <v>0</v>
      </c>
      <c r="M13" s="1322">
        <f>0.3*'ARP Score'!$N7*4*'ARP Timing'!L6</f>
        <v>0</v>
      </c>
      <c r="N13" s="1322">
        <f>0.3*'ARP Score'!$N7*4*'ARP Timing'!M6</f>
        <v>0</v>
      </c>
      <c r="O13" s="1322">
        <f>0.3*'ARP Score'!$N7*4*'ARP Timing'!N6</f>
        <v>0</v>
      </c>
      <c r="P13" s="1322">
        <f>0.3*'ARP Score'!$N7*4*'ARP Timing'!O6</f>
        <v>0</v>
      </c>
      <c r="Q13" s="1322">
        <f>0.3*'ARP Score'!$N7*4*'ARP Timing'!P6</f>
        <v>0</v>
      </c>
      <c r="R13" s="1322">
        <f>0.3*'ARP Score'!$N7*4*'ARP Timing'!Q6</f>
        <v>0</v>
      </c>
      <c r="S13" s="1322">
        <f>0.3*'ARP Score'!$N7*4*'ARP Timing'!R6</f>
        <v>0</v>
      </c>
      <c r="T13" s="1322">
        <f>0.3*'ARP Score'!$N7*4*'ARP Timing'!S6</f>
        <v>0</v>
      </c>
      <c r="U13" s="1322">
        <f>0.3*'ARP Score'!$N7*4*'ARP Timing'!T6</f>
        <v>0</v>
      </c>
      <c r="V13" s="1322">
        <f>0.3*'ARP Score'!$N7*4*'ARP Timing'!U6</f>
        <v>0</v>
      </c>
      <c r="W13" s="1322">
        <f t="shared" si="0"/>
        <v>2.5499999999999994</v>
      </c>
    </row>
    <row r="14" spans="1:23" x14ac:dyDescent="0.35">
      <c r="A14" s="877">
        <v>14</v>
      </c>
      <c r="B14" s="877" t="s">
        <v>733</v>
      </c>
      <c r="C14" s="1322">
        <f>C13/0.3*0.2</f>
        <v>0</v>
      </c>
      <c r="D14" s="1322">
        <f t="shared" ref="D14:F14" si="1">D13/0.3*0.2</f>
        <v>1.1696</v>
      </c>
      <c r="E14" s="1322">
        <f t="shared" si="1"/>
        <v>1.5503999999999998</v>
      </c>
      <c r="F14" s="1322">
        <f t="shared" si="1"/>
        <v>1.02</v>
      </c>
      <c r="G14" s="1322">
        <f t="shared" ref="G14" si="2">G13/0.3*0.2</f>
        <v>1.02</v>
      </c>
      <c r="H14" s="1322">
        <f t="shared" ref="H14" si="3">H13/0.3*0.2</f>
        <v>1.02</v>
      </c>
      <c r="I14" s="1322">
        <f t="shared" ref="I14" si="4">I13/0.3*0.2</f>
        <v>1.02</v>
      </c>
      <c r="J14" s="1322">
        <f t="shared" ref="J14" si="5">J13/0.3*0.2</f>
        <v>0</v>
      </c>
      <c r="K14" s="1322">
        <f t="shared" ref="K14" si="6">K13/0.3*0.2</f>
        <v>0</v>
      </c>
      <c r="L14" s="1322">
        <f t="shared" ref="L14" si="7">L13/0.3*0.2</f>
        <v>0</v>
      </c>
      <c r="M14" s="1322">
        <f t="shared" ref="M14" si="8">M13/0.3*0.2</f>
        <v>0</v>
      </c>
      <c r="N14" s="1322">
        <f t="shared" ref="N14" si="9">N13/0.3*0.2</f>
        <v>0</v>
      </c>
      <c r="O14" s="1322">
        <f t="shared" ref="O14" si="10">O13/0.3*0.2</f>
        <v>0</v>
      </c>
      <c r="P14" s="1322">
        <f t="shared" ref="P14" si="11">P13/0.3*0.2</f>
        <v>0</v>
      </c>
      <c r="Q14" s="1322">
        <f t="shared" ref="Q14" si="12">Q13/0.3*0.2</f>
        <v>0</v>
      </c>
      <c r="R14" s="1322">
        <f t="shared" ref="R14" si="13">R13/0.3*0.2</f>
        <v>0</v>
      </c>
      <c r="S14" s="1322">
        <f t="shared" ref="S14" si="14">S13/0.3*0.2</f>
        <v>0</v>
      </c>
      <c r="T14" s="1322">
        <f t="shared" ref="T14" si="15">T13/0.3*0.2</f>
        <v>0</v>
      </c>
      <c r="U14" s="1322">
        <f t="shared" ref="U14" si="16">U13/0.3*0.2</f>
        <v>0</v>
      </c>
      <c r="V14" s="1322">
        <f t="shared" ref="V14" si="17">V13/0.3*0.2</f>
        <v>0</v>
      </c>
      <c r="W14" s="1322">
        <f t="shared" si="0"/>
        <v>1.6999999999999997</v>
      </c>
    </row>
    <row r="15" spans="1:23" x14ac:dyDescent="0.35">
      <c r="A15" s="877">
        <v>14</v>
      </c>
      <c r="B15" s="877" t="s">
        <v>434</v>
      </c>
      <c r="C15" s="1322">
        <f>C14/0.2*0.5</f>
        <v>0</v>
      </c>
      <c r="D15" s="1322">
        <f t="shared" ref="D15:F15" si="18">D14/0.2*0.5</f>
        <v>2.9239999999999999</v>
      </c>
      <c r="E15" s="1322">
        <f t="shared" si="18"/>
        <v>3.8759999999999994</v>
      </c>
      <c r="F15" s="1322">
        <f t="shared" si="18"/>
        <v>2.5499999999999998</v>
      </c>
      <c r="G15" s="1322">
        <f t="shared" ref="G15" si="19">G14/0.2*0.5</f>
        <v>2.5499999999999998</v>
      </c>
      <c r="H15" s="1322">
        <f t="shared" ref="H15" si="20">H14/0.2*0.5</f>
        <v>2.5499999999999998</v>
      </c>
      <c r="I15" s="1322">
        <f t="shared" ref="I15" si="21">I14/0.2*0.5</f>
        <v>2.5499999999999998</v>
      </c>
      <c r="J15" s="1322">
        <f t="shared" ref="J15" si="22">J14/0.2*0.5</f>
        <v>0</v>
      </c>
      <c r="K15" s="1322">
        <f t="shared" ref="K15" si="23">K14/0.2*0.5</f>
        <v>0</v>
      </c>
      <c r="L15" s="1322">
        <f t="shared" ref="L15" si="24">L14/0.2*0.5</f>
        <v>0</v>
      </c>
      <c r="M15" s="1322">
        <f t="shared" ref="M15" si="25">M14/0.2*0.5</f>
        <v>0</v>
      </c>
      <c r="N15" s="1322">
        <f t="shared" ref="N15" si="26">N14/0.2*0.5</f>
        <v>0</v>
      </c>
      <c r="O15" s="1322">
        <f t="shared" ref="O15" si="27">O14/0.2*0.5</f>
        <v>0</v>
      </c>
      <c r="P15" s="1322">
        <f t="shared" ref="P15" si="28">P14/0.2*0.5</f>
        <v>0</v>
      </c>
      <c r="Q15" s="1322">
        <f t="shared" ref="Q15" si="29">Q14/0.2*0.5</f>
        <v>0</v>
      </c>
      <c r="R15" s="1322">
        <f t="shared" ref="R15" si="30">R14/0.2*0.5</f>
        <v>0</v>
      </c>
      <c r="S15" s="1322">
        <f t="shared" ref="S15" si="31">S14/0.2*0.5</f>
        <v>0</v>
      </c>
      <c r="T15" s="1322">
        <f t="shared" ref="T15" si="32">T14/0.2*0.5</f>
        <v>0</v>
      </c>
      <c r="U15" s="1322">
        <f t="shared" ref="U15" si="33">U14/0.2*0.5</f>
        <v>0</v>
      </c>
      <c r="V15" s="1322">
        <f t="shared" ref="V15" si="34">V14/0.2*0.5</f>
        <v>0</v>
      </c>
      <c r="W15" s="1322">
        <f t="shared" si="0"/>
        <v>4.25</v>
      </c>
    </row>
    <row r="16" spans="1:23" x14ac:dyDescent="0.35">
      <c r="C16" s="1322"/>
      <c r="D16" s="1322"/>
      <c r="E16" s="1322"/>
      <c r="F16" s="1322"/>
      <c r="G16" s="1322"/>
      <c r="H16" s="1322"/>
      <c r="I16" s="1322"/>
      <c r="J16" s="1322"/>
      <c r="K16" s="1322"/>
      <c r="L16" s="1322"/>
      <c r="M16" s="1322"/>
      <c r="N16" s="1322"/>
      <c r="O16" s="1322"/>
      <c r="P16" s="1322"/>
      <c r="Q16" s="1322"/>
      <c r="R16" s="1322"/>
      <c r="S16" s="1322"/>
      <c r="T16" s="1322"/>
      <c r="U16" s="1322"/>
      <c r="V16" s="1322"/>
      <c r="W16" s="1322"/>
    </row>
    <row r="17" spans="1:23" x14ac:dyDescent="0.35">
      <c r="A17" s="877" t="s">
        <v>734</v>
      </c>
      <c r="C17" s="1322"/>
      <c r="D17" s="1322"/>
      <c r="E17" s="1322"/>
      <c r="F17" s="1322"/>
      <c r="G17" s="1322"/>
      <c r="H17" s="1322"/>
      <c r="I17" s="1322"/>
      <c r="J17" s="1322"/>
      <c r="K17" s="1322"/>
      <c r="L17" s="1322"/>
      <c r="M17" s="1322"/>
      <c r="N17" s="1322"/>
      <c r="O17" s="1322"/>
      <c r="P17" s="1322"/>
      <c r="Q17" s="1322"/>
      <c r="R17" s="1322"/>
      <c r="S17" s="1322"/>
      <c r="T17" s="1322"/>
      <c r="U17" s="1322"/>
      <c r="V17" s="1322"/>
      <c r="W17" s="1322"/>
    </row>
    <row r="18" spans="1:23" x14ac:dyDescent="0.35">
      <c r="B18" s="635" t="s">
        <v>131</v>
      </c>
      <c r="C18" s="1322">
        <f>'ARP Score'!$BG5/'ARP Score'!$G5*C6</f>
        <v>0</v>
      </c>
      <c r="D18" s="1322">
        <f>'ARP Score'!$BG5/'ARP Score'!$G5*D6</f>
        <v>2.2132800000000001</v>
      </c>
      <c r="E18" s="1322">
        <f>'ARP Score'!$BG5/'ARP Score'!$G5*E6</f>
        <v>10.082720000000002</v>
      </c>
      <c r="F18" s="1322">
        <f>'ARP Score'!$BG6/'ARP Score'!$G6*F6</f>
        <v>7.1439999999999992</v>
      </c>
      <c r="G18" s="1322">
        <f>'ARP Score'!$BG6/'ARP Score'!$G6*G6</f>
        <v>7.1439999999999992</v>
      </c>
      <c r="H18" s="1322">
        <f>'ARP Score'!$BG6/'ARP Score'!$G6*H6</f>
        <v>7.1439999999999992</v>
      </c>
      <c r="I18" s="1322">
        <f>'ARP Score'!$BG6/'ARP Score'!$G6*I6</f>
        <v>7.1439999999999992</v>
      </c>
      <c r="J18" s="1322">
        <f>'ARP Score'!$BG7/'ARP Score'!$G7*J6</f>
        <v>0</v>
      </c>
      <c r="K18" s="1322">
        <f>'ARP Score'!$BG7/'ARP Score'!$G7*K6</f>
        <v>0</v>
      </c>
      <c r="L18" s="1322">
        <f>'ARP Score'!$BG7/'ARP Score'!$G7*L6</f>
        <v>0</v>
      </c>
      <c r="M18" s="1322">
        <f>'ARP Score'!$BG7/'ARP Score'!$G7*M6</f>
        <v>0</v>
      </c>
      <c r="N18" s="1322"/>
      <c r="O18" s="1322"/>
      <c r="P18" s="1322"/>
      <c r="Q18" s="1322"/>
      <c r="R18" s="1322"/>
      <c r="S18" s="1322"/>
      <c r="T18" s="1322"/>
      <c r="U18" s="1322"/>
      <c r="V18" s="1322"/>
      <c r="W18" s="1322"/>
    </row>
    <row r="19" spans="1:23" x14ac:dyDescent="0.35">
      <c r="B19" s="635" t="s">
        <v>735</v>
      </c>
      <c r="C19" s="1322">
        <f>'ARP Score'!$BI5/'ARP Score'!$G5*C6</f>
        <v>0</v>
      </c>
      <c r="D19" s="1322">
        <f>'ARP Score'!$BI5/'ARP Score'!$G5*D6</f>
        <v>15.128640000000001</v>
      </c>
      <c r="E19" s="1322">
        <f>'ARP Score'!$BI5/'ARP Score'!$G5*E6</f>
        <v>68.919360000000012</v>
      </c>
      <c r="F19" s="1322">
        <f>'ARP Score'!$BI6/'ARP Score'!$G6*F6</f>
        <v>5.6120000000000001</v>
      </c>
      <c r="G19" s="1322">
        <f>'ARP Score'!$BI6/'ARP Score'!$G6*G6</f>
        <v>5.6120000000000001</v>
      </c>
      <c r="H19" s="1322">
        <f>'ARP Score'!$BI6/'ARP Score'!$G6*H6</f>
        <v>5.6120000000000001</v>
      </c>
      <c r="I19" s="1322">
        <f>'ARP Score'!$BI6/'ARP Score'!$G6*I6</f>
        <v>5.6120000000000001</v>
      </c>
      <c r="J19" s="1322">
        <f>'ARP Score'!$B7/'ARP Score'!$G7*J6</f>
        <v>0.48599999999999993</v>
      </c>
      <c r="K19" s="1322">
        <f>'ARP Score'!$B7/'ARP Score'!$G7*K6</f>
        <v>0.48599999999999993</v>
      </c>
      <c r="L19" s="1322">
        <f>'ARP Score'!$B7/'ARP Score'!$G7*L6</f>
        <v>0.48599999999999993</v>
      </c>
      <c r="M19" s="1322">
        <f>'ARP Score'!$B7/'ARP Score'!$G7*M6</f>
        <v>0.48599999999999993</v>
      </c>
      <c r="N19" s="1322">
        <f>'ARP Score'!$B8/'ARP Score'!$G8*N6</f>
        <v>0</v>
      </c>
      <c r="O19" s="1322"/>
      <c r="P19" s="1322"/>
      <c r="Q19" s="1322"/>
      <c r="R19" s="1322"/>
      <c r="S19" s="1322"/>
      <c r="T19" s="1322"/>
      <c r="U19" s="1322"/>
      <c r="V19" s="1322"/>
      <c r="W19" s="1322"/>
    </row>
    <row r="20" spans="1:23" x14ac:dyDescent="0.35">
      <c r="B20" s="635" t="s">
        <v>136</v>
      </c>
      <c r="C20" s="1322">
        <f>'ARP Score'!$BF5/'ARP Score'!$G5*C6</f>
        <v>0</v>
      </c>
      <c r="D20" s="1322">
        <f>'ARP Score'!$BF5/'ARP Score'!$G5*D6</f>
        <v>3.2479199999999997</v>
      </c>
      <c r="E20" s="1322">
        <f>'ARP Score'!$BF5/'ARP Score'!$G5*E6</f>
        <v>14.796080000000002</v>
      </c>
      <c r="F20" s="1322">
        <f>'ARP Score'!$BF6/'ARP Score'!$G6*F6</f>
        <v>1.7329999999999999</v>
      </c>
      <c r="G20" s="1322">
        <f>'ARP Score'!$BF6/'ARP Score'!$G6*G6</f>
        <v>1.7329999999999999</v>
      </c>
      <c r="H20" s="1322">
        <f>'ARP Score'!$BF6/'ARP Score'!$G6*H6</f>
        <v>1.7329999999999999</v>
      </c>
      <c r="I20" s="1322">
        <f>'ARP Score'!$BF6/'ARP Score'!$G6*I6</f>
        <v>1.7329999999999999</v>
      </c>
      <c r="J20" s="1322">
        <f>'ARP Score'!$BF7/'ARP Score'!$G7*J6</f>
        <v>0</v>
      </c>
      <c r="K20" s="1322">
        <f>'ARP Score'!$BF7/'ARP Score'!$G7*K6</f>
        <v>0</v>
      </c>
      <c r="L20" s="1322">
        <f>'ARP Score'!$BF7/'ARP Score'!$G7*L6</f>
        <v>0</v>
      </c>
      <c r="M20" s="1322">
        <f>'ARP Score'!$BF7/'ARP Score'!$G7*M6</f>
        <v>0</v>
      </c>
      <c r="N20" s="1322"/>
      <c r="O20" s="1322"/>
      <c r="P20" s="1322"/>
      <c r="Q20" s="1322"/>
      <c r="R20" s="1322"/>
      <c r="S20" s="1322"/>
      <c r="T20" s="1322"/>
      <c r="U20" s="1322"/>
      <c r="V20" s="1322"/>
      <c r="W20" s="1322"/>
    </row>
    <row r="21" spans="1:23" x14ac:dyDescent="0.35">
      <c r="B21" s="1328" t="s">
        <v>377</v>
      </c>
      <c r="C21" s="1322">
        <f>15/40*(C6*'ARP Score'!$BD5/'ARP Score'!$G5)</f>
        <v>0</v>
      </c>
      <c r="D21" s="1322">
        <f>15/40*(D6*('ARP Score'!$BD5+'ARP Score'!$BE5)/'ARP Score'!$G5)</f>
        <v>13.2921</v>
      </c>
      <c r="E21" s="1322">
        <f>15/40*(E6*('ARP Score'!$BD5+'ARP Score'!$BE5)/'ARP Score'!$G5)</f>
        <v>60.552900000000008</v>
      </c>
      <c r="F21" s="1322">
        <f>15/40*(F6*('ARP Score'!$BD6+'ARP Score'!$BE6)/'ARP Score'!$G6)</f>
        <v>1.0687500000000001</v>
      </c>
      <c r="G21" s="1322">
        <f>15/40*(G6*('ARP Score'!$BD6+'ARP Score'!$BE6)/'ARP Score'!$G6)</f>
        <v>1.0687500000000001</v>
      </c>
      <c r="H21" s="1322">
        <f>15/40*(H6*('ARP Score'!$BD6+'ARP Score'!$BE6)/'ARP Score'!$G6)</f>
        <v>1.0687500000000001</v>
      </c>
      <c r="I21" s="1322">
        <f>15/40*(I6*('ARP Score'!$BD6+'ARP Score'!$BE6)/'ARP Score'!$G6)</f>
        <v>1.0687500000000001</v>
      </c>
      <c r="J21" s="1322">
        <f>15/40*(J6*('ARP Score'!$BD7+'ARP Score'!$BE7)/'ARP Score'!$G7)</f>
        <v>0.78750000000000009</v>
      </c>
      <c r="K21" s="1322">
        <f>15/40*(K6*('ARP Score'!$BD7+'ARP Score'!$BE7)/'ARP Score'!$G7)</f>
        <v>0.78750000000000009</v>
      </c>
      <c r="L21" s="1322">
        <f>15/40*(L6*('ARP Score'!$BD7+'ARP Score'!$BE7)/'ARP Score'!$G7)</f>
        <v>0.78750000000000009</v>
      </c>
      <c r="M21" s="1322">
        <f>15/40*(M6*('ARP Score'!$BD7+'ARP Score'!$BE7)/'ARP Score'!$G7)</f>
        <v>0.78750000000000009</v>
      </c>
      <c r="N21" s="1322"/>
      <c r="O21" s="1322"/>
      <c r="P21" s="1322"/>
      <c r="Q21" s="1322"/>
      <c r="R21" s="1322"/>
      <c r="S21" s="1322"/>
      <c r="T21" s="1322"/>
      <c r="U21" s="1322"/>
      <c r="V21" s="1322"/>
      <c r="W21" s="1322"/>
    </row>
    <row r="22" spans="1:23" x14ac:dyDescent="0.35">
      <c r="B22" s="1328" t="s">
        <v>736</v>
      </c>
      <c r="C22" s="1322"/>
      <c r="D22" s="1322">
        <f>D21/15*25</f>
        <v>22.153499999999998</v>
      </c>
      <c r="E22" s="1322">
        <f>E21/15*25</f>
        <v>100.92150000000002</v>
      </c>
      <c r="F22" s="1322">
        <f>F21/15*25</f>
        <v>1.7812500000000002</v>
      </c>
      <c r="G22" s="1322">
        <f>G21/15*25</f>
        <v>1.7812500000000002</v>
      </c>
      <c r="H22" s="1322">
        <f t="shared" ref="H22:J22" si="35">H21/15*25</f>
        <v>1.7812500000000002</v>
      </c>
      <c r="I22" s="1322">
        <f t="shared" si="35"/>
        <v>1.7812500000000002</v>
      </c>
      <c r="J22" s="1322">
        <f t="shared" si="35"/>
        <v>1.3125000000000002</v>
      </c>
      <c r="K22" s="1322">
        <f t="shared" ref="K22" si="36">K21/15*25</f>
        <v>1.3125000000000002</v>
      </c>
      <c r="L22" s="1322">
        <f t="shared" ref="L22" si="37">L21/15*25</f>
        <v>1.3125000000000002</v>
      </c>
      <c r="M22" s="1322">
        <f t="shared" ref="M22" si="38">M21/15*25</f>
        <v>1.3125000000000002</v>
      </c>
      <c r="N22" s="1322"/>
      <c r="O22" s="1322"/>
      <c r="P22" s="1322"/>
      <c r="Q22" s="1322"/>
      <c r="R22" s="1322"/>
      <c r="S22" s="1322"/>
      <c r="T22" s="1322"/>
      <c r="U22" s="1322"/>
      <c r="V22" s="1322"/>
      <c r="W22" s="1322"/>
    </row>
    <row r="23" spans="1:23" x14ac:dyDescent="0.35">
      <c r="B23" s="635" t="s">
        <v>389</v>
      </c>
      <c r="C23" s="1322">
        <f>'ARP Score'!$BB5/'ARP Score'!$G5*C6</f>
        <v>0</v>
      </c>
      <c r="D23" s="1322">
        <f>'ARP Score'!$BB5/'ARP Score'!$G5*D6</f>
        <v>2.9519999999999995</v>
      </c>
      <c r="E23" s="1322">
        <f>'ARP Score'!$BB5/'ARP Score'!$G5*E6</f>
        <v>13.448</v>
      </c>
      <c r="F23" s="1322">
        <f>'ARP Score'!$BB6/'ARP Score'!$G6*F6</f>
        <v>11.3</v>
      </c>
      <c r="G23" s="1322">
        <f>'ARP Score'!$BB6/'ARP Score'!$G6*G6</f>
        <v>11.3</v>
      </c>
      <c r="H23" s="1322">
        <f>'ARP Score'!$BB6/'ARP Score'!$G6*H6</f>
        <v>11.3</v>
      </c>
      <c r="I23" s="1322">
        <f>'ARP Score'!$BB6/'ARP Score'!$G6*I6</f>
        <v>11.3</v>
      </c>
      <c r="J23" s="1322">
        <f>'ARP Score'!$BB7/'ARP Score'!$G7*J6</f>
        <v>8.4</v>
      </c>
      <c r="K23" s="1322">
        <f>'ARP Score'!$BB7/'ARP Score'!$G7*K6</f>
        <v>8.4</v>
      </c>
      <c r="L23" s="1322">
        <f>'ARP Score'!$BB7/'ARP Score'!$G7*L6</f>
        <v>8.4</v>
      </c>
      <c r="M23" s="1322">
        <f>'ARP Score'!$BB7/'ARP Score'!$G7*M6</f>
        <v>8.4</v>
      </c>
      <c r="N23" s="1322">
        <f>'ARP Score'!$BB8/'ARP Score'!$G8*N6</f>
        <v>0.2</v>
      </c>
      <c r="O23" s="1322">
        <f>'ARP Score'!$BB8/'ARP Score'!$G8*O6</f>
        <v>0.2</v>
      </c>
      <c r="P23" s="1322">
        <f>'ARP Score'!$BB8/'ARP Score'!$G8*P6</f>
        <v>0.2</v>
      </c>
      <c r="Q23" s="1322">
        <f>'ARP Score'!$BB8/'ARP Score'!$G8*Q6</f>
        <v>0.2</v>
      </c>
      <c r="R23" s="1322"/>
      <c r="S23" s="1322"/>
      <c r="T23" s="1322"/>
      <c r="U23" s="1322"/>
      <c r="V23" s="1322"/>
      <c r="W23" s="1322"/>
    </row>
    <row r="24" spans="1:23" x14ac:dyDescent="0.35">
      <c r="B24" s="635" t="s">
        <v>390</v>
      </c>
      <c r="C24" s="1322">
        <f>'ARP Score'!$BH5/'ARP Score'!$G5*C6</f>
        <v>0</v>
      </c>
      <c r="D24" s="1322">
        <f>'ARP Score'!$BH5/'ARP Score'!$G5*D6</f>
        <v>-0.20447999999999997</v>
      </c>
      <c r="E24" s="1322">
        <f>'ARP Score'!$BH5/'ARP Score'!$G5*E6</f>
        <v>-0.93152000000000001</v>
      </c>
      <c r="F24" s="1322">
        <f>'ARP Score'!$BH6/'ARP Score'!$G6*F6</f>
        <v>81.608999999999995</v>
      </c>
      <c r="G24" s="1322">
        <f>'ARP Score'!$BH6/'ARP Score'!$G6*G6</f>
        <v>81.608999999999995</v>
      </c>
      <c r="H24" s="1322">
        <f>'ARP Score'!$BH6/'ARP Score'!$G6*H6</f>
        <v>81.608999999999995</v>
      </c>
      <c r="I24" s="1322">
        <f>'ARP Score'!$BH6/'ARP Score'!$G6*I6</f>
        <v>81.608999999999995</v>
      </c>
      <c r="J24" s="1322">
        <f>'ARP Score'!$BH7/'ARP Score'!$G7*J6</f>
        <v>1.3759999999999999</v>
      </c>
      <c r="K24" s="1322">
        <f>'ARP Score'!$BH7/'ARP Score'!$G7*K6</f>
        <v>1.3759999999999999</v>
      </c>
      <c r="L24" s="1322">
        <f>'ARP Score'!$BH7/'ARP Score'!$G7*L6</f>
        <v>1.3759999999999999</v>
      </c>
      <c r="M24" s="1322">
        <f>'ARP Score'!$BH7/'ARP Score'!$G7*M6</f>
        <v>1.3759999999999999</v>
      </c>
      <c r="N24" s="1322">
        <f>'ARP Score'!$BH8/'ARP Score'!$G8*N6</f>
        <v>-0.87500000000000011</v>
      </c>
      <c r="O24" s="1322">
        <f>'ARP Score'!$BH8/'ARP Score'!$G8*O6</f>
        <v>-0.87500000000000011</v>
      </c>
      <c r="P24" s="1322">
        <f>'ARP Score'!$BH8/'ARP Score'!$G8*P6</f>
        <v>-0.87500000000000011</v>
      </c>
      <c r="Q24" s="1322">
        <f>'ARP Score'!$BH8/'ARP Score'!$G8*Q6</f>
        <v>-0.87500000000000011</v>
      </c>
      <c r="R24" s="1322"/>
      <c r="S24" s="1322"/>
      <c r="T24" s="1322"/>
      <c r="U24" s="1322"/>
      <c r="V24" s="1322"/>
      <c r="W24" s="1322"/>
    </row>
    <row r="25" spans="1:23" x14ac:dyDescent="0.35">
      <c r="B25" s="635" t="s">
        <v>278</v>
      </c>
      <c r="C25" s="1322">
        <f>SUM(C18:C24)</f>
        <v>0</v>
      </c>
      <c r="D25" s="1322">
        <f t="shared" ref="D25:Q25" si="39">SUM(D18:D24)</f>
        <v>58.782959999999996</v>
      </c>
      <c r="E25" s="1322">
        <f t="shared" si="39"/>
        <v>267.78904000000006</v>
      </c>
      <c r="F25" s="1322">
        <f t="shared" si="39"/>
        <v>110.24799999999999</v>
      </c>
      <c r="G25" s="1322">
        <f t="shared" si="39"/>
        <v>110.24799999999999</v>
      </c>
      <c r="H25" s="1322">
        <f t="shared" si="39"/>
        <v>110.24799999999999</v>
      </c>
      <c r="I25" s="1322">
        <f t="shared" si="39"/>
        <v>110.24799999999999</v>
      </c>
      <c r="J25" s="1322">
        <f t="shared" si="39"/>
        <v>12.362</v>
      </c>
      <c r="K25" s="1322">
        <f t="shared" si="39"/>
        <v>12.362</v>
      </c>
      <c r="L25" s="1322">
        <f t="shared" si="39"/>
        <v>12.362</v>
      </c>
      <c r="M25" s="1322">
        <f t="shared" si="39"/>
        <v>12.362</v>
      </c>
      <c r="N25" s="1322">
        <f t="shared" si="39"/>
        <v>-0.67500000000000004</v>
      </c>
      <c r="O25" s="1322">
        <f t="shared" si="39"/>
        <v>-0.67500000000000004</v>
      </c>
      <c r="P25" s="1322">
        <f t="shared" si="39"/>
        <v>-0.67500000000000004</v>
      </c>
      <c r="Q25" s="1322">
        <f t="shared" si="39"/>
        <v>-0.67500000000000004</v>
      </c>
      <c r="R25" s="1322"/>
      <c r="S25" s="1322"/>
      <c r="T25" s="1322"/>
      <c r="U25" s="1322"/>
      <c r="V25" s="1322"/>
      <c r="W25" s="1322"/>
    </row>
    <row r="26" spans="1:23" x14ac:dyDescent="0.35">
      <c r="D26" s="1320">
        <f>D6-D25</f>
        <v>0</v>
      </c>
      <c r="E26" s="1320">
        <f t="shared" ref="E26:M26" si="40">E6-E25</f>
        <v>0</v>
      </c>
      <c r="F26" s="1320">
        <f t="shared" si="40"/>
        <v>0</v>
      </c>
      <c r="G26" s="1320">
        <f t="shared" si="40"/>
        <v>0</v>
      </c>
      <c r="H26" s="1320">
        <f t="shared" si="40"/>
        <v>0</v>
      </c>
      <c r="I26" s="1320">
        <f t="shared" si="40"/>
        <v>0</v>
      </c>
      <c r="J26" s="1320">
        <f t="shared" si="40"/>
        <v>0.36400000000000077</v>
      </c>
      <c r="K26" s="1320">
        <f t="shared" si="40"/>
        <v>0.36400000000000077</v>
      </c>
      <c r="L26" s="1320">
        <f t="shared" si="40"/>
        <v>0.36400000000000077</v>
      </c>
      <c r="M26" s="1320">
        <f t="shared" si="40"/>
        <v>0.36400000000000077</v>
      </c>
    </row>
    <row r="27" spans="1:23" x14ac:dyDescent="0.35">
      <c r="B27" s="877" t="s">
        <v>737</v>
      </c>
      <c r="D27" s="745" t="s">
        <v>238</v>
      </c>
      <c r="E27" s="745" t="s">
        <v>168</v>
      </c>
      <c r="F27" s="745" t="s">
        <v>169</v>
      </c>
      <c r="G27" s="745" t="s">
        <v>170</v>
      </c>
      <c r="H27" s="745" t="s">
        <v>171</v>
      </c>
      <c r="I27" s="745" t="s">
        <v>172</v>
      </c>
      <c r="J27" s="745" t="s">
        <v>173</v>
      </c>
      <c r="K27" s="745" t="s">
        <v>174</v>
      </c>
      <c r="L27" s="745" t="s">
        <v>175</v>
      </c>
      <c r="M27" s="745" t="s">
        <v>176</v>
      </c>
      <c r="N27" s="745" t="s">
        <v>177</v>
      </c>
      <c r="O27" s="745" t="s">
        <v>178</v>
      </c>
      <c r="P27" s="745" t="s">
        <v>179</v>
      </c>
      <c r="Q27" s="745" t="s">
        <v>163</v>
      </c>
      <c r="R27" s="745" t="s">
        <v>164</v>
      </c>
      <c r="S27" s="745" t="s">
        <v>165</v>
      </c>
      <c r="T27" s="745" t="s">
        <v>728</v>
      </c>
      <c r="U27" s="745" t="s">
        <v>729</v>
      </c>
      <c r="V27" s="745" t="s">
        <v>730</v>
      </c>
    </row>
    <row r="28" spans="1:23" x14ac:dyDescent="0.35">
      <c r="B28" s="41"/>
      <c r="C28" s="1320" t="s">
        <v>278</v>
      </c>
      <c r="D28" s="1324">
        <f>SUM(D29:D43)</f>
        <v>5.8765000000000009</v>
      </c>
      <c r="E28" s="1324">
        <f t="shared" ref="E28:V28" si="41">SUM(E29:E43)</f>
        <v>11.753000000000002</v>
      </c>
      <c r="F28" s="1324">
        <f t="shared" si="41"/>
        <v>15.762320000000003</v>
      </c>
      <c r="G28" s="1324">
        <f t="shared" si="41"/>
        <v>19.771640000000005</v>
      </c>
      <c r="H28" s="1324">
        <f t="shared" si="41"/>
        <v>23.812229000000006</v>
      </c>
      <c r="I28" s="1324">
        <f t="shared" si="41"/>
        <v>27.852818000000006</v>
      </c>
      <c r="J28" s="1324">
        <f t="shared" si="41"/>
        <v>30.517977000000005</v>
      </c>
      <c r="K28" s="1324">
        <f t="shared" si="41"/>
        <v>33.183136000000005</v>
      </c>
      <c r="L28" s="1324">
        <f t="shared" si="41"/>
        <v>36.260924000000003</v>
      </c>
      <c r="M28" s="1324">
        <f t="shared" si="41"/>
        <v>39.338711999999994</v>
      </c>
      <c r="N28" s="1324">
        <f t="shared" si="41"/>
        <v>40.928439999999995</v>
      </c>
      <c r="O28" s="1324">
        <f t="shared" si="41"/>
        <v>42.518167999999996</v>
      </c>
      <c r="P28" s="1324">
        <f t="shared" si="41"/>
        <v>44.428388999999996</v>
      </c>
      <c r="Q28" s="1324">
        <f t="shared" si="41"/>
        <v>46.338610000000003</v>
      </c>
      <c r="R28" s="1324">
        <f t="shared" si="41"/>
        <v>47.279744500000007</v>
      </c>
      <c r="S28" s="1324">
        <f t="shared" si="41"/>
        <v>46.283419000000009</v>
      </c>
      <c r="T28" s="1324">
        <f t="shared" si="41"/>
        <v>45.578489500000011</v>
      </c>
      <c r="U28" s="1324">
        <f t="shared" si="41"/>
        <v>45.454798000000011</v>
      </c>
      <c r="V28" s="1324">
        <f t="shared" si="41"/>
        <v>45.360580000000013</v>
      </c>
    </row>
    <row r="29" spans="1:23" x14ac:dyDescent="0.35">
      <c r="A29" s="877">
        <v>2021</v>
      </c>
      <c r="B29" s="41" t="s">
        <v>738</v>
      </c>
      <c r="C29" s="1320"/>
      <c r="D29" s="877">
        <f>($D$9+$D$10)*'ARP Timing'!B$16</f>
        <v>5.8765000000000009</v>
      </c>
      <c r="E29" s="877">
        <f>($D$9+$D$10)*'ARP Timing'!C$16</f>
        <v>5.8765000000000009</v>
      </c>
      <c r="F29" s="877">
        <f>($D$9+$D$10)*'ARP Timing'!D$16</f>
        <v>4.11355</v>
      </c>
      <c r="G29" s="877">
        <f>($D$9+$D$10)*'ARP Timing'!E$16</f>
        <v>4.11355</v>
      </c>
      <c r="H29" s="877">
        <f>($D$9+$D$10)*'ARP Timing'!F$16</f>
        <v>4.11355</v>
      </c>
      <c r="I29" s="877">
        <f>($D$9+$D$10)*'ARP Timing'!G$16</f>
        <v>4.11355</v>
      </c>
      <c r="J29" s="877">
        <f>($D$9+$D$10)*'ARP Timing'!H$16</f>
        <v>4.11355</v>
      </c>
      <c r="K29" s="877">
        <f>($D$9+$D$10)*'ARP Timing'!I$16</f>
        <v>4.11355</v>
      </c>
      <c r="L29" s="877">
        <f>($D$9+$D$10)*'ARP Timing'!J$16</f>
        <v>4.11355</v>
      </c>
      <c r="M29" s="877">
        <f>($D$9+$D$10)*'ARP Timing'!K$16</f>
        <v>4.11355</v>
      </c>
      <c r="N29" s="877">
        <f>($D$9+$D$10)*'ARP Timing'!L$16</f>
        <v>4.11355</v>
      </c>
      <c r="O29" s="877">
        <f>($D$9+$D$10)*'ARP Timing'!M$16</f>
        <v>4.11355</v>
      </c>
      <c r="P29" s="877">
        <f>($D$9+$D$10)*'ARP Timing'!N$16</f>
        <v>3.987625</v>
      </c>
      <c r="Q29" s="877">
        <f>($D$9+$D$10)*'ARP Timing'!O$16</f>
        <v>3.987625</v>
      </c>
      <c r="R29" s="877">
        <f>($D$9+$D$10)*'ARP Timing'!P$16</f>
        <v>3.987625</v>
      </c>
      <c r="S29" s="877">
        <f>($D$9+$D$10)*'ARP Timing'!Q$16</f>
        <v>3.987625</v>
      </c>
      <c r="T29" s="877">
        <f>($D$9+$D$10)*'ARP Timing'!R$16</f>
        <v>3.987625</v>
      </c>
      <c r="U29" s="877">
        <f>($D$9+$D$10)*'ARP Timing'!S$16</f>
        <v>3.987625</v>
      </c>
      <c r="V29" s="877">
        <f>($D$9+$D$10)*'ARP Timing'!T$16</f>
        <v>3.987625</v>
      </c>
    </row>
    <row r="30" spans="1:23" x14ac:dyDescent="0.35">
      <c r="B30" s="41" t="s">
        <v>297</v>
      </c>
      <c r="C30" s="1320"/>
      <c r="E30" s="877">
        <f>($E$9+$E$10)*'ARP Timing'!B$16</f>
        <v>5.8765000000000009</v>
      </c>
      <c r="F30" s="877">
        <f>($E$9+$E$10)*'ARP Timing'!C$16</f>
        <v>5.8765000000000009</v>
      </c>
      <c r="G30" s="877">
        <f>($E$9+$E$10)*'ARP Timing'!D$16</f>
        <v>4.11355</v>
      </c>
      <c r="H30" s="877">
        <f>($E$9+$E$10)*'ARP Timing'!E$16</f>
        <v>4.11355</v>
      </c>
      <c r="I30" s="877">
        <f>($E$9+$E$10)*'ARP Timing'!F$16</f>
        <v>4.11355</v>
      </c>
      <c r="J30" s="877">
        <f>($E$9+$E$10)*'ARP Timing'!G$16</f>
        <v>4.11355</v>
      </c>
      <c r="K30" s="877">
        <f>($E$9+$E$10)*'ARP Timing'!H$16</f>
        <v>4.11355</v>
      </c>
      <c r="L30" s="877">
        <f>($E$9+$E$10)*'ARP Timing'!I$16</f>
        <v>4.11355</v>
      </c>
      <c r="M30" s="877">
        <f>($E$9+$E$10)*'ARP Timing'!J$16</f>
        <v>4.11355</v>
      </c>
      <c r="N30" s="877">
        <f>($E$9+$E$10)*'ARP Timing'!K$16</f>
        <v>4.11355</v>
      </c>
      <c r="O30" s="877">
        <f>($E$9+$E$10)*'ARP Timing'!L$16</f>
        <v>4.11355</v>
      </c>
      <c r="P30" s="877">
        <f>($E$9+$E$10)*'ARP Timing'!M$16</f>
        <v>4.11355</v>
      </c>
      <c r="Q30" s="877">
        <f>($E$9+$E$10)*'ARP Timing'!N$16</f>
        <v>3.987625</v>
      </c>
      <c r="R30" s="877">
        <f>($E$9+$E$10)*'ARP Timing'!O$16</f>
        <v>3.987625</v>
      </c>
      <c r="S30" s="877">
        <f>($E$9+$E$10)*'ARP Timing'!P$16</f>
        <v>3.987625</v>
      </c>
      <c r="T30" s="877">
        <f>($E$9+$E$10)*'ARP Timing'!Q$16</f>
        <v>3.987625</v>
      </c>
      <c r="U30" s="877">
        <f>($E$9+$E$10)*'ARP Timing'!R$16</f>
        <v>3.987625</v>
      </c>
      <c r="V30" s="877">
        <f>($E$9+$E$10)*'ARP Timing'!S$16</f>
        <v>3.987625</v>
      </c>
    </row>
    <row r="31" spans="1:23" x14ac:dyDescent="0.35">
      <c r="B31" s="41" t="s">
        <v>739</v>
      </c>
      <c r="C31" s="1320"/>
      <c r="F31" s="877">
        <f>($F$9+$F$10)*'ARP Timing'!B$16</f>
        <v>5.7722700000000016</v>
      </c>
      <c r="G31" s="877">
        <f>($F$9+$F$10)*'ARP Timing'!C$16</f>
        <v>5.7722700000000016</v>
      </c>
      <c r="H31" s="877">
        <f>($F$9+$F$10)*'ARP Timing'!D$16</f>
        <v>4.0405890000000007</v>
      </c>
      <c r="I31" s="877">
        <f>($F$9+$F$10)*'ARP Timing'!E$16</f>
        <v>4.0405890000000007</v>
      </c>
      <c r="J31" s="877">
        <f>($F$9+$F$10)*'ARP Timing'!F$16</f>
        <v>4.0405890000000007</v>
      </c>
      <c r="K31" s="877">
        <f>($F$9+$F$10)*'ARP Timing'!G$16</f>
        <v>4.0405890000000007</v>
      </c>
      <c r="L31" s="877">
        <f>($F$9+$F$10)*'ARP Timing'!H$16</f>
        <v>4.0405890000000007</v>
      </c>
      <c r="M31" s="877">
        <f>($F$9+$F$10)*'ARP Timing'!I$16</f>
        <v>4.0405890000000007</v>
      </c>
      <c r="N31" s="877">
        <f>($F$9+$F$10)*'ARP Timing'!J$16</f>
        <v>4.0405890000000007</v>
      </c>
      <c r="O31" s="877">
        <f>($F$9+$F$10)*'ARP Timing'!K$16</f>
        <v>4.0405890000000007</v>
      </c>
      <c r="P31" s="877">
        <f>($F$9+$F$10)*'ARP Timing'!L$16</f>
        <v>4.0405890000000007</v>
      </c>
      <c r="Q31" s="877">
        <f>($F$9+$F$10)*'ARP Timing'!M$16</f>
        <v>4.0405890000000007</v>
      </c>
      <c r="R31" s="877">
        <f>($F$9+$F$10)*'ARP Timing'!N$16</f>
        <v>3.9168975000000006</v>
      </c>
      <c r="S31" s="877">
        <f>($F$9+$F$10)*'ARP Timing'!O$16</f>
        <v>3.9168975000000006</v>
      </c>
      <c r="T31" s="877">
        <f>($F$9+$F$10)*'ARP Timing'!P$16</f>
        <v>3.9168975000000006</v>
      </c>
      <c r="U31" s="877">
        <f>($F$9+$F$10)*'ARP Timing'!Q$16</f>
        <v>3.9168975000000006</v>
      </c>
      <c r="V31" s="877">
        <f>($F$9+$F$10)*'ARP Timing'!R$16</f>
        <v>3.9168975000000006</v>
      </c>
    </row>
    <row r="32" spans="1:23" x14ac:dyDescent="0.35">
      <c r="A32" s="877">
        <v>2022</v>
      </c>
      <c r="B32" s="41" t="s">
        <v>228</v>
      </c>
      <c r="C32" s="1320"/>
      <c r="G32" s="877">
        <f>($G$9+$G$10)*'ARP Timing'!B$16</f>
        <v>5.7722700000000016</v>
      </c>
      <c r="H32" s="877">
        <f>($G$9+$G$10)*'ARP Timing'!C$16</f>
        <v>5.7722700000000016</v>
      </c>
      <c r="I32" s="877">
        <f>($G$9+$G$10)*'ARP Timing'!D$16</f>
        <v>4.0405890000000007</v>
      </c>
      <c r="J32" s="877">
        <f>($G$9+$G$10)*'ARP Timing'!E$16</f>
        <v>4.0405890000000007</v>
      </c>
      <c r="K32" s="877">
        <f>($G$9+$G$10)*'ARP Timing'!F$16</f>
        <v>4.0405890000000007</v>
      </c>
      <c r="L32" s="877">
        <f>($G$9+$G$10)*'ARP Timing'!G$16</f>
        <v>4.0405890000000007</v>
      </c>
      <c r="M32" s="877">
        <f>($G$9+$G$10)*'ARP Timing'!H$16</f>
        <v>4.0405890000000007</v>
      </c>
      <c r="N32" s="877">
        <f>($G$9+$G$10)*'ARP Timing'!I$16</f>
        <v>4.0405890000000007</v>
      </c>
      <c r="O32" s="877">
        <f>($G$9+$G$10)*'ARP Timing'!J$16</f>
        <v>4.0405890000000007</v>
      </c>
      <c r="P32" s="877">
        <f>($G$9+$G$10)*'ARP Timing'!K$16</f>
        <v>4.0405890000000007</v>
      </c>
      <c r="Q32" s="877">
        <f>($G$9+$G$10)*'ARP Timing'!L$16</f>
        <v>4.0405890000000007</v>
      </c>
      <c r="R32" s="877">
        <f>($G$9+$G$10)*'ARP Timing'!M$16</f>
        <v>4.0405890000000007</v>
      </c>
      <c r="S32" s="877">
        <f>($G$9+$G$10)*'ARP Timing'!N$16</f>
        <v>3.9168975000000006</v>
      </c>
      <c r="T32" s="877">
        <f>($G$9+$G$10)*'ARP Timing'!O$16</f>
        <v>3.9168975000000006</v>
      </c>
      <c r="U32" s="877">
        <f>($G$9+$G$10)*'ARP Timing'!P$16</f>
        <v>3.9168975000000006</v>
      </c>
      <c r="V32" s="877">
        <f>($G$9+$G$10)*'ARP Timing'!Q$16</f>
        <v>3.9168975000000006</v>
      </c>
    </row>
    <row r="33" spans="1:23" x14ac:dyDescent="0.35">
      <c r="B33" s="41" t="s">
        <v>229</v>
      </c>
      <c r="C33" s="1320"/>
      <c r="H33" s="877">
        <f>($H$9+$H$10)*'ARP Timing'!B$16</f>
        <v>5.7722700000000016</v>
      </c>
      <c r="I33" s="877">
        <f>($H$9+$H$10)*'ARP Timing'!C$16</f>
        <v>5.7722700000000016</v>
      </c>
      <c r="J33" s="877">
        <f>($H$9+$H$10)*'ARP Timing'!D$16</f>
        <v>4.0405890000000007</v>
      </c>
      <c r="K33" s="877">
        <f>($H$9+$H$10)*'ARP Timing'!E$16</f>
        <v>4.0405890000000007</v>
      </c>
      <c r="L33" s="877">
        <f>($H$9+$H$10)*'ARP Timing'!F$16</f>
        <v>4.0405890000000007</v>
      </c>
      <c r="M33" s="877">
        <f>($H$9+$H$10)*'ARP Timing'!G$16</f>
        <v>4.0405890000000007</v>
      </c>
      <c r="N33" s="877">
        <f>($H$9+$H$10)*'ARP Timing'!H$16</f>
        <v>4.0405890000000007</v>
      </c>
      <c r="O33" s="877">
        <f>($H$9+$H$10)*'ARP Timing'!I$16</f>
        <v>4.0405890000000007</v>
      </c>
      <c r="P33" s="877">
        <f>($H$9+$H$10)*'ARP Timing'!J$16</f>
        <v>4.0405890000000007</v>
      </c>
      <c r="Q33" s="877">
        <f>($H$9+$H$10)*'ARP Timing'!K$16</f>
        <v>4.0405890000000007</v>
      </c>
      <c r="R33" s="877">
        <f>($H$9+$H$10)*'ARP Timing'!L$16</f>
        <v>4.0405890000000007</v>
      </c>
      <c r="S33" s="877">
        <f>($H$9+$H$10)*'ARP Timing'!M$16</f>
        <v>4.0405890000000007</v>
      </c>
      <c r="T33" s="877">
        <f>($H$9+$H$10)*'ARP Timing'!N$16</f>
        <v>3.9168975000000006</v>
      </c>
      <c r="U33" s="877">
        <f>($H$9+$H$10)*'ARP Timing'!O$16</f>
        <v>3.9168975000000006</v>
      </c>
      <c r="V33" s="877">
        <f>($H$9+$H$10)*'ARP Timing'!P$16</f>
        <v>3.9168975000000006</v>
      </c>
    </row>
    <row r="34" spans="1:23" x14ac:dyDescent="0.35">
      <c r="B34" s="41" t="s">
        <v>297</v>
      </c>
      <c r="C34" s="1320"/>
      <c r="H34" s="1320"/>
      <c r="I34" s="877">
        <f>($I$9+$I10)*'ARP Timing'!B$16</f>
        <v>5.7722700000000016</v>
      </c>
      <c r="J34" s="877">
        <f>($I$9+$I10)*'ARP Timing'!C$16</f>
        <v>5.7722700000000016</v>
      </c>
      <c r="K34" s="877">
        <f>($I$9+$I10)*'ARP Timing'!D$16</f>
        <v>4.0405890000000007</v>
      </c>
      <c r="L34" s="877">
        <f>($I$9+$I10)*'ARP Timing'!E$16</f>
        <v>4.0405890000000007</v>
      </c>
      <c r="M34" s="877">
        <f>($I$9+$I10)*'ARP Timing'!F$16</f>
        <v>4.0405890000000007</v>
      </c>
      <c r="N34" s="877">
        <f>($I$9+$I10)*'ARP Timing'!G$16</f>
        <v>4.0405890000000007</v>
      </c>
      <c r="O34" s="877">
        <f>($I$9+$I10)*'ARP Timing'!H$16</f>
        <v>4.0405890000000007</v>
      </c>
      <c r="P34" s="877">
        <f>($I$9+$I10)*'ARP Timing'!I$16</f>
        <v>4.0405890000000007</v>
      </c>
      <c r="Q34" s="877">
        <f>($I$9+$I10)*'ARP Timing'!J$16</f>
        <v>4.0405890000000007</v>
      </c>
      <c r="R34" s="877">
        <f>($I$9+$I10)*'ARP Timing'!K$16</f>
        <v>4.0405890000000007</v>
      </c>
      <c r="S34" s="877">
        <f>($I$9+$I10)*'ARP Timing'!L$16</f>
        <v>4.0405890000000007</v>
      </c>
      <c r="T34" s="877">
        <f>($I$9+$I10)*'ARP Timing'!M$16</f>
        <v>4.0405890000000007</v>
      </c>
      <c r="U34" s="877">
        <f>($I$9+$I10)*'ARP Timing'!N$16</f>
        <v>3.9168975000000006</v>
      </c>
      <c r="V34" s="877">
        <f>($I$9+$I10)*'ARP Timing'!O$16</f>
        <v>3.9168975000000006</v>
      </c>
    </row>
    <row r="35" spans="1:23" x14ac:dyDescent="0.35">
      <c r="B35" s="41" t="s">
        <v>739</v>
      </c>
      <c r="C35" s="1320"/>
      <c r="H35" s="1320"/>
      <c r="J35" s="877">
        <f>($J$9+$J$10)*'ARP Timing'!B$16</f>
        <v>4.3968400000000001</v>
      </c>
      <c r="K35" s="877">
        <f>($J$9+$J$10)*'ARP Timing'!C$16</f>
        <v>4.3968400000000001</v>
      </c>
      <c r="L35" s="877">
        <f>($J$9+$J$10)*'ARP Timing'!D$16</f>
        <v>3.077788</v>
      </c>
      <c r="M35" s="877">
        <f>($J$9+$J$10)*'ARP Timing'!E$16</f>
        <v>3.077788</v>
      </c>
      <c r="N35" s="877">
        <f>($J$9+$J$10)*'ARP Timing'!F$16</f>
        <v>3.077788</v>
      </c>
      <c r="O35" s="877">
        <f>($J$9+$J$10)*'ARP Timing'!G$16</f>
        <v>3.077788</v>
      </c>
      <c r="P35" s="877">
        <f>($J$9+$J$10)*'ARP Timing'!H$16</f>
        <v>3.077788</v>
      </c>
      <c r="Q35" s="877">
        <f>($J$9+$J$10)*'ARP Timing'!I$16</f>
        <v>3.077788</v>
      </c>
      <c r="R35" s="877">
        <f>($J$9+$J$10)*'ARP Timing'!J$16</f>
        <v>3.077788</v>
      </c>
      <c r="S35" s="877">
        <f>($J$9+$J$10)*'ARP Timing'!K$16</f>
        <v>3.077788</v>
      </c>
      <c r="T35" s="877">
        <f>($J$9+$J$10)*'ARP Timing'!L$16</f>
        <v>3.077788</v>
      </c>
      <c r="U35" s="877">
        <f>($J$9+$J$10)*'ARP Timing'!M$16</f>
        <v>3.077788</v>
      </c>
      <c r="V35" s="877">
        <f>($J$9+$J$10)*'ARP Timing'!N$16</f>
        <v>2.9835699999999998</v>
      </c>
    </row>
    <row r="36" spans="1:23" x14ac:dyDescent="0.35">
      <c r="A36" s="877">
        <v>2023</v>
      </c>
      <c r="B36" s="41" t="s">
        <v>228</v>
      </c>
      <c r="C36" s="1320"/>
      <c r="H36" s="1320"/>
      <c r="K36" s="877">
        <f>($K$9+$K$10)*'ARP Timing'!B$16</f>
        <v>4.3968400000000001</v>
      </c>
      <c r="L36" s="877">
        <f>($K$9+$K$10)*'ARP Timing'!C$16</f>
        <v>4.3968400000000001</v>
      </c>
      <c r="M36" s="877">
        <f>($K$9+$K$10)*'ARP Timing'!D$16</f>
        <v>3.077788</v>
      </c>
      <c r="N36" s="877">
        <f>($K$9+$K$10)*'ARP Timing'!E$16</f>
        <v>3.077788</v>
      </c>
      <c r="O36" s="877">
        <f>($K$9+$K$10)*'ARP Timing'!F$16</f>
        <v>3.077788</v>
      </c>
      <c r="P36" s="877">
        <f>($K$9+$K$10)*'ARP Timing'!G$16</f>
        <v>3.077788</v>
      </c>
      <c r="Q36" s="877">
        <f>($K$9+$K$10)*'ARP Timing'!H$16</f>
        <v>3.077788</v>
      </c>
      <c r="R36" s="877">
        <f>($K$9+$K$10)*'ARP Timing'!I$16</f>
        <v>3.077788</v>
      </c>
      <c r="S36" s="877">
        <f>($K$9+$K$10)*'ARP Timing'!J$16</f>
        <v>3.077788</v>
      </c>
      <c r="T36" s="877">
        <f>($K$9+$K$10)*'ARP Timing'!K$16</f>
        <v>3.077788</v>
      </c>
      <c r="U36" s="877">
        <f>($K$9+$K$10)*'ARP Timing'!L$16</f>
        <v>3.077788</v>
      </c>
      <c r="V36" s="877">
        <f>($K$9+$K$10)*'ARP Timing'!M$16</f>
        <v>3.077788</v>
      </c>
    </row>
    <row r="37" spans="1:23" x14ac:dyDescent="0.35">
      <c r="B37" s="41" t="s">
        <v>229</v>
      </c>
      <c r="C37" s="1320"/>
      <c r="H37" s="1320"/>
      <c r="L37" s="877">
        <f>($L$9+$L$10)*'ARP Timing'!B$16</f>
        <v>4.3968400000000001</v>
      </c>
      <c r="M37" s="877">
        <f>($L$9+$L$10)*'ARP Timing'!C$16</f>
        <v>4.3968400000000001</v>
      </c>
      <c r="N37" s="877">
        <f>($L$9+$L$10)*'ARP Timing'!D$16</f>
        <v>3.077788</v>
      </c>
      <c r="O37" s="877">
        <f>($L$9+$L$10)*'ARP Timing'!E$16</f>
        <v>3.077788</v>
      </c>
      <c r="P37" s="877">
        <f>($L$9+$L$10)*'ARP Timing'!F$16</f>
        <v>3.077788</v>
      </c>
      <c r="Q37" s="877">
        <f>($L$9+$L$10)*'ARP Timing'!G$16</f>
        <v>3.077788</v>
      </c>
      <c r="R37" s="877">
        <f>($L$9+$L$10)*'ARP Timing'!H$16</f>
        <v>3.077788</v>
      </c>
      <c r="S37" s="877">
        <f>($L$9+$L$10)*'ARP Timing'!I$16</f>
        <v>3.077788</v>
      </c>
      <c r="T37" s="877">
        <f>($L$9+$L$10)*'ARP Timing'!J$16</f>
        <v>3.077788</v>
      </c>
      <c r="U37" s="877">
        <f>($L$9+$L$10)*'ARP Timing'!K$16</f>
        <v>3.077788</v>
      </c>
      <c r="V37" s="877">
        <f>($L$9+$L$10)*'ARP Timing'!L$16</f>
        <v>3.077788</v>
      </c>
    </row>
    <row r="38" spans="1:23" x14ac:dyDescent="0.35">
      <c r="B38" s="41" t="s">
        <v>297</v>
      </c>
      <c r="C38" s="1320"/>
      <c r="H38" s="1320"/>
      <c r="M38" s="877">
        <f>($M$9+$M$10)*'ARP Timing'!B$16</f>
        <v>4.3968400000000001</v>
      </c>
      <c r="N38" s="877">
        <f>($M$9+$M$10)*'ARP Timing'!C$16</f>
        <v>4.3968400000000001</v>
      </c>
      <c r="O38" s="877">
        <f>($M$9+$M$10)*'ARP Timing'!D$16</f>
        <v>3.077788</v>
      </c>
      <c r="P38" s="877">
        <f>($M$9+$M$10)*'ARP Timing'!E$16</f>
        <v>3.077788</v>
      </c>
      <c r="Q38" s="877">
        <f>($M$9+$M$10)*'ARP Timing'!F$16</f>
        <v>3.077788</v>
      </c>
      <c r="R38" s="877">
        <f>($M$9+$M$10)*'ARP Timing'!G$16</f>
        <v>3.077788</v>
      </c>
      <c r="S38" s="877">
        <f>($M$9+$M$10)*'ARP Timing'!H$16</f>
        <v>3.077788</v>
      </c>
      <c r="T38" s="877">
        <f>($M$9+$M$10)*'ARP Timing'!I$16</f>
        <v>3.077788</v>
      </c>
      <c r="U38" s="877">
        <f>($M$9+$M$10)*'ARP Timing'!J$16</f>
        <v>3.077788</v>
      </c>
      <c r="V38" s="877">
        <f>($M$9+$M$10)*'ARP Timing'!K$16</f>
        <v>3.077788</v>
      </c>
    </row>
    <row r="39" spans="1:23" x14ac:dyDescent="0.35">
      <c r="B39" s="41" t="s">
        <v>739</v>
      </c>
      <c r="C39" s="1320"/>
      <c r="H39" s="1320"/>
      <c r="N39" s="877">
        <f>($N$9+$N$10)*'ARP Timing'!B$16</f>
        <v>2.9087800000000006</v>
      </c>
      <c r="O39" s="877">
        <f>($N$9+$N$10)*'ARP Timing'!C$16</f>
        <v>2.9087800000000006</v>
      </c>
      <c r="P39" s="877">
        <f>($N$9+$N$10)*'ARP Timing'!D$16</f>
        <v>2.036146</v>
      </c>
      <c r="Q39" s="877">
        <f>($N$9+$N$10)*'ARP Timing'!E$16</f>
        <v>2.036146</v>
      </c>
      <c r="R39" s="877">
        <f>($N$9+$N$10)*'ARP Timing'!F$16</f>
        <v>2.036146</v>
      </c>
      <c r="S39" s="877">
        <f>($N$9+$N$10)*'ARP Timing'!G$16</f>
        <v>2.036146</v>
      </c>
      <c r="T39" s="877">
        <f>($N$9+$N$10)*'ARP Timing'!H$16</f>
        <v>2.036146</v>
      </c>
      <c r="U39" s="877">
        <f>($N$9+$N$10)*'ARP Timing'!I$16</f>
        <v>2.036146</v>
      </c>
      <c r="V39" s="877">
        <f>($N$9+$N$10)*'ARP Timing'!J$16</f>
        <v>2.036146</v>
      </c>
    </row>
    <row r="40" spans="1:23" x14ac:dyDescent="0.35">
      <c r="A40" s="877">
        <v>2024</v>
      </c>
      <c r="B40" s="41" t="s">
        <v>228</v>
      </c>
      <c r="C40" s="1320"/>
      <c r="H40" s="1320"/>
      <c r="O40" s="877">
        <f>($O$9+$O$10)*'ARP Timing'!B$16</f>
        <v>2.9087800000000006</v>
      </c>
      <c r="P40" s="877">
        <f>($O$9+$O$10)*'ARP Timing'!C$16</f>
        <v>2.9087800000000006</v>
      </c>
      <c r="Q40" s="877">
        <f>($O$9+$O$10)*'ARP Timing'!D$16</f>
        <v>2.036146</v>
      </c>
      <c r="R40" s="877">
        <f>($O$9+$O$10)*'ARP Timing'!E$16</f>
        <v>2.036146</v>
      </c>
      <c r="S40" s="877">
        <f>($O$9+$O$10)*'ARP Timing'!F$16</f>
        <v>2.036146</v>
      </c>
      <c r="T40" s="877">
        <f>($O$9+$O$10)*'ARP Timing'!G$16</f>
        <v>2.036146</v>
      </c>
      <c r="U40" s="877">
        <f>($O$9+$O$10)*'ARP Timing'!H$16</f>
        <v>2.036146</v>
      </c>
      <c r="V40" s="877">
        <f>($O$9+$O$10)*'ARP Timing'!I$16</f>
        <v>2.036146</v>
      </c>
    </row>
    <row r="41" spans="1:23" x14ac:dyDescent="0.35">
      <c r="B41" s="41" t="s">
        <v>229</v>
      </c>
      <c r="C41" s="1320"/>
      <c r="H41" s="1320"/>
      <c r="P41" s="877">
        <f>($P$9+$P$10)*'ARP Timing'!B$16</f>
        <v>2.9087800000000006</v>
      </c>
      <c r="Q41" s="877">
        <f>($P$9+$P$10)*'ARP Timing'!C$16</f>
        <v>2.9087800000000006</v>
      </c>
      <c r="R41" s="877">
        <f>($P$9+$P$10)*'ARP Timing'!D$16</f>
        <v>2.036146</v>
      </c>
      <c r="S41" s="877">
        <f>($P$9+$P$10)*'ARP Timing'!E$16</f>
        <v>2.036146</v>
      </c>
      <c r="T41" s="877">
        <f>($P$9+$P$10)*'ARP Timing'!F$16</f>
        <v>2.036146</v>
      </c>
      <c r="U41" s="877">
        <f>($P$9+$P$10)*'ARP Timing'!G$16</f>
        <v>2.036146</v>
      </c>
      <c r="V41" s="877">
        <f>($P$9+$P$10)*'ARP Timing'!H$16</f>
        <v>2.036146</v>
      </c>
    </row>
    <row r="42" spans="1:23" x14ac:dyDescent="0.35">
      <c r="B42" s="41" t="s">
        <v>297</v>
      </c>
      <c r="C42" s="1320"/>
      <c r="H42" s="1320"/>
      <c r="Q42" s="877">
        <f>($Q$9+$Q$10)*'ARP Timing'!B$16</f>
        <v>2.9087800000000006</v>
      </c>
      <c r="R42" s="877">
        <f>($Q$9+$Q$10)*'ARP Timing'!C$16</f>
        <v>2.9087800000000006</v>
      </c>
      <c r="S42" s="877">
        <f>($Q$9+$Q$10)*'ARP Timing'!D$16</f>
        <v>2.036146</v>
      </c>
      <c r="T42" s="877">
        <f>($Q$9+$Q$10)*'ARP Timing'!E$16</f>
        <v>2.036146</v>
      </c>
      <c r="U42" s="877">
        <f>($Q$9+$Q$10)*'ARP Timing'!F$16</f>
        <v>2.036146</v>
      </c>
      <c r="V42" s="877">
        <f>($Q$9+$Q$10)*'ARP Timing'!G$16</f>
        <v>2.036146</v>
      </c>
    </row>
    <row r="43" spans="1:23" x14ac:dyDescent="0.35">
      <c r="B43" s="41" t="s">
        <v>739</v>
      </c>
      <c r="C43" s="1320"/>
      <c r="H43" s="1320"/>
      <c r="R43" s="877">
        <f>($R$9+$R$10)*'ARP Timing'!B$16</f>
        <v>1.9374600000000002</v>
      </c>
      <c r="S43" s="877">
        <f>($R$9+$R$10)*'ARP Timing'!C$16</f>
        <v>1.9374600000000002</v>
      </c>
      <c r="T43" s="877">
        <f>($R$9+$R$10)*'ARP Timing'!D$16</f>
        <v>1.356222</v>
      </c>
      <c r="U43" s="877">
        <f>($R$9+$R$10)*'ARP Timing'!E$16</f>
        <v>1.356222</v>
      </c>
      <c r="V43" s="877">
        <f>($R$9+$R$10)*'ARP Timing'!F$16</f>
        <v>1.356222</v>
      </c>
    </row>
    <row r="44" spans="1:23" x14ac:dyDescent="0.35">
      <c r="S44" s="877">
        <f>($S$9+$S$10)*'ARP Timing'!B$16</f>
        <v>1.9374600000000002</v>
      </c>
      <c r="T44" s="877">
        <f>($S$9+$S$10)*'ARP Timing'!C$16</f>
        <v>1.9374600000000002</v>
      </c>
      <c r="U44" s="877">
        <f>($S$9+$S$10)*'ARP Timing'!D$16</f>
        <v>1.356222</v>
      </c>
      <c r="V44" s="877">
        <f>($S$9+$S$10)*'ARP Timing'!E$16</f>
        <v>1.356222</v>
      </c>
    </row>
    <row r="46" spans="1:23" x14ac:dyDescent="0.35">
      <c r="B46" s="877" t="s">
        <v>740</v>
      </c>
      <c r="D46" s="745" t="s">
        <v>238</v>
      </c>
      <c r="E46" s="745" t="s">
        <v>168</v>
      </c>
      <c r="F46" s="745" t="s">
        <v>169</v>
      </c>
      <c r="G46" s="745" t="s">
        <v>170</v>
      </c>
      <c r="H46" s="745" t="s">
        <v>171</v>
      </c>
      <c r="I46" s="745" t="s">
        <v>172</v>
      </c>
      <c r="J46" s="745" t="s">
        <v>173</v>
      </c>
      <c r="K46" s="745" t="s">
        <v>174</v>
      </c>
      <c r="L46" s="745" t="s">
        <v>175</v>
      </c>
      <c r="M46" s="745" t="s">
        <v>176</v>
      </c>
      <c r="N46" s="745" t="s">
        <v>177</v>
      </c>
      <c r="O46" s="745" t="s">
        <v>178</v>
      </c>
      <c r="P46" s="745" t="s">
        <v>179</v>
      </c>
      <c r="Q46" s="745" t="s">
        <v>163</v>
      </c>
      <c r="R46" s="745" t="s">
        <v>164</v>
      </c>
      <c r="S46" s="745" t="s">
        <v>165</v>
      </c>
      <c r="T46" s="745" t="s">
        <v>728</v>
      </c>
      <c r="U46" s="745" t="s">
        <v>729</v>
      </c>
      <c r="V46" s="745" t="s">
        <v>730</v>
      </c>
    </row>
    <row r="47" spans="1:23" x14ac:dyDescent="0.35">
      <c r="B47" s="41"/>
      <c r="C47" s="1320" t="s">
        <v>278</v>
      </c>
      <c r="D47" s="1324">
        <f t="shared" ref="D47:U47" si="42">SUM(D48:D66)</f>
        <v>0</v>
      </c>
      <c r="E47" s="1324">
        <f t="shared" si="42"/>
        <v>0</v>
      </c>
      <c r="F47" s="1324">
        <f t="shared" si="42"/>
        <v>34.620851999999999</v>
      </c>
      <c r="G47" s="1324">
        <f t="shared" si="42"/>
        <v>50.996274799999995</v>
      </c>
      <c r="H47" s="1324">
        <f t="shared" si="42"/>
        <v>69.350031999999999</v>
      </c>
      <c r="I47" s="1324">
        <f t="shared" si="42"/>
        <v>79.295867999999999</v>
      </c>
      <c r="J47" s="1324">
        <f t="shared" si="42"/>
        <v>80.538927999999999</v>
      </c>
      <c r="K47" s="1324">
        <f t="shared" si="42"/>
        <v>80.122543199999996</v>
      </c>
      <c r="L47" s="1324">
        <f t="shared" si="42"/>
        <v>88.916719999999998</v>
      </c>
      <c r="M47" s="1324">
        <f t="shared" si="42"/>
        <v>92.213943999999998</v>
      </c>
      <c r="N47" s="1324">
        <f t="shared" si="42"/>
        <v>92.213943999999998</v>
      </c>
      <c r="O47" s="1324">
        <f t="shared" si="42"/>
        <v>94.213943999999998</v>
      </c>
      <c r="P47" s="1324">
        <f t="shared" si="42"/>
        <v>98.916719999999998</v>
      </c>
      <c r="Q47" s="1324">
        <f t="shared" si="42"/>
        <v>98.916719999999998</v>
      </c>
      <c r="R47" s="1324">
        <f t="shared" si="42"/>
        <v>99.081581199999988</v>
      </c>
      <c r="S47" s="1324">
        <f t="shared" si="42"/>
        <v>93.146578000000005</v>
      </c>
      <c r="T47" s="1324">
        <f t="shared" si="42"/>
        <v>86.552129999999991</v>
      </c>
      <c r="U47" s="1324">
        <f t="shared" si="42"/>
        <v>86.552129999999991</v>
      </c>
      <c r="V47" s="1324">
        <f>SUM(V48:V66)</f>
        <v>82.265738799999994</v>
      </c>
      <c r="W47" s="877">
        <f>SUM(G47:V47)/4</f>
        <v>343.32344900000004</v>
      </c>
    </row>
    <row r="48" spans="1:23" x14ac:dyDescent="0.35">
      <c r="A48" s="877">
        <v>2021</v>
      </c>
      <c r="B48" s="41" t="s">
        <v>738</v>
      </c>
      <c r="C48" s="1320"/>
      <c r="D48" s="877">
        <f>($D$8)*'ARP Timing'!B17</f>
        <v>0</v>
      </c>
      <c r="E48" s="877">
        <f>($D$8)*'ARP Timing'!C17</f>
        <v>0</v>
      </c>
      <c r="F48" s="877">
        <f>($D$8)*'ARP Timing'!D17</f>
        <v>34.620851999999999</v>
      </c>
      <c r="G48" s="877">
        <f>($D$8)*'ARP Timing'!E17</f>
        <v>45.996274799999995</v>
      </c>
      <c r="H48" s="877">
        <f>($D$8)*'ARP Timing'!F17</f>
        <v>59.350031999999992</v>
      </c>
      <c r="I48" s="877">
        <f>($D$8)*'ARP Timing'!G17</f>
        <v>64.295867999999999</v>
      </c>
      <c r="J48" s="877">
        <f>($D$8)*'ARP Timing'!H17</f>
        <v>49.458359999999999</v>
      </c>
      <c r="K48" s="877">
        <f>($D$8)*'ARP Timing'!I17</f>
        <v>49.458359999999999</v>
      </c>
      <c r="L48" s="877">
        <f>($D$8)*'ARP Timing'!J17</f>
        <v>59.350031999999992</v>
      </c>
      <c r="M48" s="877">
        <f>($D$8)*'ARP Timing'!K17</f>
        <v>59.350031999999992</v>
      </c>
      <c r="N48" s="877">
        <f>($D$8)*'ARP Timing'!L17</f>
        <v>69.241703999999999</v>
      </c>
      <c r="O48" s="877">
        <f>($D$8)*'ARP Timing'!M17</f>
        <v>69.241703999999999</v>
      </c>
      <c r="P48" s="877">
        <f>($D$8)*'ARP Timing'!N17</f>
        <v>59.350031999999992</v>
      </c>
      <c r="Q48" s="877">
        <f>($D$8)*'ARP Timing'!O17</f>
        <v>59.350031999999992</v>
      </c>
      <c r="R48" s="877">
        <f>($D$8)*'ARP Timing'!P17</f>
        <v>52.920445199999989</v>
      </c>
      <c r="S48" s="877">
        <f>($D$8)*'ARP Timing'!Q17</f>
        <v>46.985441999999992</v>
      </c>
      <c r="T48" s="877">
        <f>($D$8)*'ARP Timing'!R17</f>
        <v>46.985441999999992</v>
      </c>
      <c r="U48" s="877">
        <f>($D$8)*'ARP Timing'!S17</f>
        <v>46.985441999999992</v>
      </c>
      <c r="V48" s="877">
        <f>($D$8)*'ARP Timing'!T17</f>
        <v>46.985441999999992</v>
      </c>
    </row>
    <row r="49" spans="1:22" x14ac:dyDescent="0.35">
      <c r="B49" s="41" t="s">
        <v>297</v>
      </c>
      <c r="C49" s="1320"/>
      <c r="E49" s="877">
        <f>($E$8)*'ARP Timing'!B$17</f>
        <v>0</v>
      </c>
      <c r="F49" s="877">
        <f>($E$8)*'ARP Timing'!C$16</f>
        <v>0</v>
      </c>
      <c r="G49" s="877">
        <f>($E$8)*'ARP Timing'!D$16</f>
        <v>0</v>
      </c>
      <c r="H49" s="877">
        <f>($E$8)*'ARP Timing'!E$16</f>
        <v>0</v>
      </c>
      <c r="I49" s="877">
        <f>($E$8)*'ARP Timing'!F$16</f>
        <v>0</v>
      </c>
      <c r="J49" s="877">
        <f>($E$8)*'ARP Timing'!G$16</f>
        <v>0</v>
      </c>
      <c r="K49" s="877">
        <f>($E$8)*'ARP Timing'!H$16</f>
        <v>0</v>
      </c>
      <c r="L49" s="877">
        <f>($E$8)*'ARP Timing'!I$16</f>
        <v>0</v>
      </c>
      <c r="M49" s="877">
        <f>($E$8)*'ARP Timing'!J$16</f>
        <v>0</v>
      </c>
      <c r="N49" s="877">
        <f>($E$8)*'ARP Timing'!K$16</f>
        <v>0</v>
      </c>
      <c r="O49" s="877">
        <f>($E$8)*'ARP Timing'!L$16</f>
        <v>0</v>
      </c>
      <c r="P49" s="877">
        <f>($E$8)*'ARP Timing'!M$16</f>
        <v>0</v>
      </c>
      <c r="Q49" s="877">
        <f>($E$8)*'ARP Timing'!N$16</f>
        <v>0</v>
      </c>
      <c r="R49" s="877">
        <f>($E$8)*'ARP Timing'!O$16</f>
        <v>0</v>
      </c>
      <c r="S49" s="877">
        <f>($E$8)*'ARP Timing'!P$16</f>
        <v>0</v>
      </c>
      <c r="T49" s="877">
        <f>($E$8)*'ARP Timing'!Q$16</f>
        <v>0</v>
      </c>
      <c r="U49" s="877">
        <f>($E$8)*'ARP Timing'!R$16</f>
        <v>0</v>
      </c>
      <c r="V49" s="877">
        <f>($E$8)*'ARP Timing'!S$16</f>
        <v>0</v>
      </c>
    </row>
    <row r="50" spans="1:22" x14ac:dyDescent="0.35">
      <c r="B50" s="41" t="s">
        <v>739</v>
      </c>
      <c r="C50" s="1320"/>
      <c r="F50" s="877">
        <f>($F$8)*'ARP Timing'!C$17</f>
        <v>0</v>
      </c>
      <c r="G50" s="877">
        <f>($F$8)*'ARP Timing'!D$17</f>
        <v>0</v>
      </c>
      <c r="H50" s="877">
        <f>($F$8)*'ARP Timing'!E$17</f>
        <v>0</v>
      </c>
      <c r="I50" s="877">
        <f>($F$8)*'ARP Timing'!F$17</f>
        <v>0</v>
      </c>
      <c r="J50" s="877">
        <f>($F$8)*'ARP Timing'!G$17</f>
        <v>0</v>
      </c>
      <c r="K50" s="877">
        <f>($F$8)*'ARP Timing'!H$17</f>
        <v>0</v>
      </c>
      <c r="L50" s="877">
        <f>($F$8)*'ARP Timing'!I$17</f>
        <v>0</v>
      </c>
      <c r="M50" s="877">
        <f>($F$8)*'ARP Timing'!J$17</f>
        <v>0</v>
      </c>
      <c r="N50" s="877">
        <f>($F$8)*'ARP Timing'!K$17</f>
        <v>0</v>
      </c>
      <c r="O50" s="877">
        <f>($F$8)*'ARP Timing'!L$17</f>
        <v>0</v>
      </c>
      <c r="P50" s="877">
        <f>($F$8)*'ARP Timing'!M$17</f>
        <v>0</v>
      </c>
      <c r="Q50" s="877">
        <f>($F$8)*'ARP Timing'!N$17</f>
        <v>0</v>
      </c>
      <c r="R50" s="877">
        <f>($F$8)*'ARP Timing'!O$17</f>
        <v>0</v>
      </c>
      <c r="S50" s="877">
        <f>($F$8)*'ARP Timing'!P$17</f>
        <v>0</v>
      </c>
      <c r="T50" s="877">
        <f>($F$8)*'ARP Timing'!Q$17</f>
        <v>0</v>
      </c>
      <c r="U50" s="877">
        <f>($F$8)*'ARP Timing'!R$17</f>
        <v>0</v>
      </c>
      <c r="V50" s="877">
        <f>($F$8)*'ARP Timing'!S$17</f>
        <v>0</v>
      </c>
    </row>
    <row r="51" spans="1:22" x14ac:dyDescent="0.35">
      <c r="A51" s="877">
        <v>2022</v>
      </c>
      <c r="B51" s="41" t="s">
        <v>228</v>
      </c>
      <c r="C51" s="1320"/>
      <c r="G51" s="877">
        <f>($G$8)*'ARP Timing'!D$17</f>
        <v>0</v>
      </c>
      <c r="H51" s="877">
        <f>($G$8)*'ARP Timing'!E$17</f>
        <v>0</v>
      </c>
      <c r="I51" s="877">
        <f>($G$8)*'ARP Timing'!F$17</f>
        <v>0</v>
      </c>
      <c r="J51" s="877">
        <f>($G$8)*'ARP Timing'!G$17</f>
        <v>0</v>
      </c>
      <c r="K51" s="877">
        <f>($G$8)*'ARP Timing'!H$17</f>
        <v>0</v>
      </c>
      <c r="L51" s="877">
        <f>($G$8)*'ARP Timing'!I$17</f>
        <v>0</v>
      </c>
      <c r="M51" s="877">
        <f>($G$8)*'ARP Timing'!J$17</f>
        <v>0</v>
      </c>
      <c r="N51" s="877">
        <f>($G$8)*'ARP Timing'!K$17</f>
        <v>0</v>
      </c>
      <c r="O51" s="877">
        <f>($G$8)*'ARP Timing'!L$17</f>
        <v>0</v>
      </c>
      <c r="P51" s="877">
        <f>($G$8)*'ARP Timing'!M$17</f>
        <v>0</v>
      </c>
      <c r="Q51" s="877">
        <f>($G$8)*'ARP Timing'!N$17</f>
        <v>0</v>
      </c>
      <c r="R51" s="877">
        <f>($G$8)*'ARP Timing'!O$17</f>
        <v>0</v>
      </c>
      <c r="S51" s="877">
        <f>($G$8)*'ARP Timing'!P$17</f>
        <v>0</v>
      </c>
      <c r="T51" s="877">
        <f>($G$8)*'ARP Timing'!Q$17</f>
        <v>0</v>
      </c>
      <c r="U51" s="877">
        <f>($G$8)*'ARP Timing'!R$17</f>
        <v>0</v>
      </c>
      <c r="V51" s="877">
        <f>($G$8)*'ARP Timing'!S$17</f>
        <v>0</v>
      </c>
    </row>
    <row r="52" spans="1:22" x14ac:dyDescent="0.35">
      <c r="B52" s="41" t="s">
        <v>229</v>
      </c>
      <c r="C52" s="1320"/>
      <c r="H52" s="877">
        <f>($H$8)*'ARP Timing'!B$17</f>
        <v>0</v>
      </c>
      <c r="I52" s="877">
        <f>($H$8)*'ARP Timing'!C$17</f>
        <v>0</v>
      </c>
      <c r="J52" s="877">
        <f>($H$8)*'ARP Timing'!D$17</f>
        <v>23.080568000000003</v>
      </c>
      <c r="K52" s="877">
        <f>($H$8)*'ARP Timing'!E$17</f>
        <v>30.6641832</v>
      </c>
      <c r="L52" s="877">
        <f>($H$8)*'ARP Timing'!F$17</f>
        <v>39.566687999999999</v>
      </c>
      <c r="M52" s="877">
        <f>($H$8)*'ARP Timing'!G$17</f>
        <v>42.863911999999999</v>
      </c>
      <c r="N52" s="877">
        <f>($H$8)*'ARP Timing'!H$17</f>
        <v>32.972239999999999</v>
      </c>
      <c r="O52" s="877">
        <f>($H$8)*'ARP Timing'!I$17</f>
        <v>32.972239999999999</v>
      </c>
      <c r="P52" s="877">
        <f>($H$8)*'ARP Timing'!J$17</f>
        <v>39.566687999999999</v>
      </c>
      <c r="Q52" s="877">
        <f>($H$8)*'ARP Timing'!K$17</f>
        <v>39.566687999999999</v>
      </c>
      <c r="R52" s="877">
        <f>($H$8)*'ARP Timing'!L$17</f>
        <v>46.161136000000006</v>
      </c>
      <c r="S52" s="877">
        <f>($H$8)*'ARP Timing'!M$17</f>
        <v>46.161136000000006</v>
      </c>
      <c r="T52" s="877">
        <f>($H$8)*'ARP Timing'!N$17</f>
        <v>39.566687999999999</v>
      </c>
      <c r="U52" s="877">
        <f>($H$8)*'ARP Timing'!O$17</f>
        <v>39.566687999999999</v>
      </c>
      <c r="V52" s="877">
        <f>($H$8)*'ARP Timing'!P$17</f>
        <v>35.280296800000002</v>
      </c>
    </row>
    <row r="53" spans="1:22" x14ac:dyDescent="0.35">
      <c r="B53" s="41" t="s">
        <v>297</v>
      </c>
      <c r="C53" s="1320"/>
      <c r="H53" s="1320"/>
      <c r="I53" s="877">
        <f>($I$8)*'ARP Timing'!B$17</f>
        <v>0</v>
      </c>
      <c r="J53" s="877">
        <f>($I$8)*'ARP Timing'!C$17</f>
        <v>0</v>
      </c>
      <c r="K53" s="877">
        <f>($I$8)*'ARP Timing'!D$17</f>
        <v>0</v>
      </c>
      <c r="L53" s="877">
        <f>($I$8)*'ARP Timing'!E$17</f>
        <v>0</v>
      </c>
      <c r="M53" s="877">
        <f>($I$8)*'ARP Timing'!F$17</f>
        <v>0</v>
      </c>
      <c r="N53" s="877">
        <f>($I$8)*'ARP Timing'!G$17</f>
        <v>0</v>
      </c>
      <c r="O53" s="877">
        <f>($I$8)*'ARP Timing'!H$17</f>
        <v>0</v>
      </c>
      <c r="P53" s="877">
        <f>($I$8)*'ARP Timing'!I$17</f>
        <v>0</v>
      </c>
      <c r="Q53" s="877">
        <f>($I$8)*'ARP Timing'!J$17</f>
        <v>0</v>
      </c>
      <c r="R53" s="877">
        <f>($I$8)*'ARP Timing'!K$17</f>
        <v>0</v>
      </c>
      <c r="S53" s="877">
        <f>($I$8)*'ARP Timing'!L$17</f>
        <v>0</v>
      </c>
      <c r="T53" s="877">
        <f>($I$8)*'ARP Timing'!M$17</f>
        <v>0</v>
      </c>
      <c r="U53" s="877">
        <f>($I$8)*'ARP Timing'!N$17</f>
        <v>0</v>
      </c>
      <c r="V53" s="877">
        <f>($I$8)*'ARP Timing'!O$17</f>
        <v>0</v>
      </c>
    </row>
    <row r="54" spans="1:22" x14ac:dyDescent="0.35">
      <c r="B54" s="41" t="s">
        <v>739</v>
      </c>
      <c r="C54" s="1320"/>
      <c r="H54" s="1320"/>
    </row>
    <row r="55" spans="1:22" x14ac:dyDescent="0.35">
      <c r="A55" s="877">
        <v>2023</v>
      </c>
      <c r="B55" s="41" t="s">
        <v>228</v>
      </c>
      <c r="C55" s="1320"/>
      <c r="H55" s="1320"/>
    </row>
    <row r="56" spans="1:22" x14ac:dyDescent="0.35">
      <c r="B56" s="41" t="s">
        <v>229</v>
      </c>
      <c r="C56" s="1320"/>
      <c r="H56" s="1320"/>
    </row>
    <row r="57" spans="1:22" x14ac:dyDescent="0.35">
      <c r="B57" s="41" t="s">
        <v>297</v>
      </c>
      <c r="C57" s="1320"/>
      <c r="H57" s="1320"/>
    </row>
    <row r="58" spans="1:22" x14ac:dyDescent="0.35">
      <c r="B58" s="41" t="s">
        <v>739</v>
      </c>
      <c r="C58" s="1320"/>
      <c r="H58" s="1320"/>
    </row>
    <row r="59" spans="1:22" x14ac:dyDescent="0.35">
      <c r="A59" s="877">
        <v>2024</v>
      </c>
      <c r="B59" s="41" t="s">
        <v>228</v>
      </c>
      <c r="C59" s="1320"/>
      <c r="H59" s="1320"/>
    </row>
    <row r="60" spans="1:22" x14ac:dyDescent="0.35">
      <c r="B60" s="41" t="s">
        <v>229</v>
      </c>
      <c r="C60" s="1320"/>
      <c r="H60" s="1320"/>
    </row>
    <row r="61" spans="1:22" x14ac:dyDescent="0.35">
      <c r="B61" s="41" t="s">
        <v>297</v>
      </c>
      <c r="C61" s="1320"/>
      <c r="H61" s="1320"/>
    </row>
    <row r="62" spans="1:22" x14ac:dyDescent="0.35">
      <c r="B62" s="41" t="s">
        <v>739</v>
      </c>
      <c r="C62" s="1320"/>
      <c r="H62" s="1320"/>
    </row>
    <row r="63" spans="1:22" x14ac:dyDescent="0.35">
      <c r="A63" t="s">
        <v>846</v>
      </c>
      <c r="B63" s="41"/>
      <c r="C63" s="1320"/>
      <c r="G63">
        <v>5</v>
      </c>
      <c r="H63" s="1320">
        <v>10</v>
      </c>
      <c r="I63">
        <v>15</v>
      </c>
      <c r="J63">
        <v>8</v>
      </c>
      <c r="K63">
        <v>0</v>
      </c>
      <c r="L63">
        <v>-10</v>
      </c>
      <c r="M63">
        <v>-10</v>
      </c>
      <c r="N63">
        <v>-10</v>
      </c>
      <c r="O63">
        <v>-8</v>
      </c>
    </row>
    <row r="64" spans="1:22" x14ac:dyDescent="0.35">
      <c r="B64" s="41"/>
      <c r="C64" s="1320"/>
      <c r="H64" s="1320"/>
    </row>
    <row r="65" spans="2:24" x14ac:dyDescent="0.35">
      <c r="B65" s="41"/>
      <c r="C65" s="1320"/>
      <c r="H65" s="1320"/>
    </row>
    <row r="66" spans="2:24" x14ac:dyDescent="0.35">
      <c r="B66" s="41"/>
      <c r="C66" s="1320"/>
      <c r="H66" s="1320"/>
    </row>
    <row r="67" spans="2:24" x14ac:dyDescent="0.35">
      <c r="B67" s="41"/>
      <c r="C67" s="1320"/>
      <c r="H67" s="1320"/>
    </row>
    <row r="68" spans="2:24" x14ac:dyDescent="0.35">
      <c r="B68" s="41"/>
      <c r="C68" s="1320"/>
      <c r="H68" s="1320"/>
    </row>
    <row r="69" spans="2:24" x14ac:dyDescent="0.35">
      <c r="B69" s="41"/>
      <c r="C69" s="1320"/>
      <c r="H69" s="1320"/>
    </row>
    <row r="70" spans="2:24" x14ac:dyDescent="0.35">
      <c r="B70" s="41"/>
      <c r="C70" s="1320"/>
      <c r="H70" s="1320"/>
    </row>
    <row r="71" spans="2:24" x14ac:dyDescent="0.35">
      <c r="B71" s="41"/>
      <c r="C71" s="1320"/>
      <c r="H71" s="1320"/>
    </row>
    <row r="72" spans="2:24" x14ac:dyDescent="0.35">
      <c r="B72" s="41"/>
      <c r="C72" s="1320"/>
      <c r="H72" s="1320"/>
    </row>
    <row r="73" spans="2:24" x14ac:dyDescent="0.35">
      <c r="B73" s="41" t="s">
        <v>741</v>
      </c>
      <c r="C73" s="1321">
        <v>2021</v>
      </c>
      <c r="D73" s="1321">
        <v>2022</v>
      </c>
      <c r="E73" s="1321">
        <v>2023</v>
      </c>
      <c r="F73" s="1321">
        <v>2024</v>
      </c>
      <c r="G73" s="1321">
        <v>2025</v>
      </c>
      <c r="H73" s="1320"/>
    </row>
    <row r="74" spans="2:24" x14ac:dyDescent="0.35">
      <c r="B74" s="41" t="s">
        <v>638</v>
      </c>
      <c r="C74" s="1325">
        <f t="shared" ref="C74:C85" si="43">SUM(C4:E4)/4</f>
        <v>0.77600000000001046</v>
      </c>
      <c r="D74" s="1325">
        <f t="shared" ref="D74:D85" si="44">SUM(F4:I4)/4</f>
        <v>19.719000000000005</v>
      </c>
      <c r="E74" s="1325">
        <f t="shared" ref="E74:E85" si="45">SUM(J4:M4)/4</f>
        <v>1.4159999999999999</v>
      </c>
      <c r="F74" s="1325">
        <f t="shared" ref="F74:F85" si="46">SUM(N4:Q4)/4</f>
        <v>1.4790000000000001</v>
      </c>
      <c r="G74" s="1325">
        <f t="shared" ref="G74:G85" si="47">SUM(R4:U4)/4</f>
        <v>1.63</v>
      </c>
    </row>
    <row r="75" spans="2:24" x14ac:dyDescent="0.35">
      <c r="B75" s="41" t="s">
        <v>639</v>
      </c>
      <c r="C75" s="1325">
        <f t="shared" si="43"/>
        <v>19.722000000000016</v>
      </c>
      <c r="D75" s="1325">
        <f t="shared" si="44"/>
        <v>52.756999999999998</v>
      </c>
      <c r="E75" s="1325">
        <f t="shared" si="45"/>
        <v>12</v>
      </c>
      <c r="F75" s="1325">
        <f t="shared" si="46"/>
        <v>4.2219999999999995</v>
      </c>
      <c r="G75" s="1325">
        <f t="shared" si="47"/>
        <v>2.3719999999999999</v>
      </c>
      <c r="H75" s="1320"/>
    </row>
    <row r="76" spans="2:24" x14ac:dyDescent="0.35">
      <c r="B76" s="41" t="s">
        <v>43</v>
      </c>
      <c r="C76" s="1325">
        <f t="shared" si="43"/>
        <v>81.643000000000001</v>
      </c>
      <c r="D76" s="1325">
        <f t="shared" si="44"/>
        <v>110.24799999999999</v>
      </c>
      <c r="E76" s="1325">
        <f t="shared" si="45"/>
        <v>12.726000000000001</v>
      </c>
      <c r="F76" s="1325">
        <f t="shared" si="46"/>
        <v>1.365</v>
      </c>
      <c r="G76" s="1325">
        <f t="shared" si="47"/>
        <v>-0.90100000000000025</v>
      </c>
      <c r="H76" s="1320"/>
      <c r="O76" s="41"/>
      <c r="P76" s="41"/>
      <c r="Q76" s="41"/>
      <c r="R76" s="41"/>
      <c r="S76" s="1326"/>
      <c r="T76" s="1326"/>
      <c r="U76" s="1326"/>
      <c r="V76" s="24"/>
      <c r="W76" s="41"/>
      <c r="X76" s="41"/>
    </row>
    <row r="77" spans="2:24" x14ac:dyDescent="0.35">
      <c r="B77" s="41" t="s">
        <v>119</v>
      </c>
      <c r="C77" s="1325">
        <f t="shared" si="43"/>
        <v>7.798</v>
      </c>
      <c r="D77" s="1325">
        <f t="shared" si="44"/>
        <v>7.9489999999999998</v>
      </c>
      <c r="E77" s="1325">
        <f t="shared" si="45"/>
        <v>4.7519999999999998</v>
      </c>
      <c r="F77" s="1325">
        <f t="shared" si="46"/>
        <v>4.637999999999999</v>
      </c>
      <c r="G77" s="1325">
        <f t="shared" si="47"/>
        <v>1.8800000000000001</v>
      </c>
      <c r="H77" s="1320"/>
    </row>
    <row r="78" spans="2:24" x14ac:dyDescent="0.35">
      <c r="B78" s="1323" t="s">
        <v>314</v>
      </c>
      <c r="C78" s="1325">
        <f t="shared" si="43"/>
        <v>247.29179999999997</v>
      </c>
      <c r="D78" s="1325">
        <f t="shared" si="44"/>
        <v>164.8612</v>
      </c>
      <c r="E78" s="1325">
        <f t="shared" si="45"/>
        <v>0</v>
      </c>
      <c r="F78" s="1325">
        <f t="shared" si="46"/>
        <v>0</v>
      </c>
      <c r="G78" s="1325">
        <f t="shared" si="47"/>
        <v>0</v>
      </c>
      <c r="H78" s="1320"/>
      <c r="R78" s="1291"/>
      <c r="S78" s="1291"/>
    </row>
    <row r="79" spans="2:24" x14ac:dyDescent="0.35">
      <c r="B79" s="1323" t="s">
        <v>138</v>
      </c>
      <c r="C79" s="1325">
        <f t="shared" si="43"/>
        <v>12.347</v>
      </c>
      <c r="D79" s="1325">
        <f t="shared" si="44"/>
        <v>46.79</v>
      </c>
      <c r="E79" s="1325">
        <f t="shared" si="45"/>
        <v>38.595999999999997</v>
      </c>
      <c r="F79" s="1325">
        <f t="shared" si="46"/>
        <v>31.911000000000001</v>
      </c>
      <c r="G79" s="1325">
        <f t="shared" si="47"/>
        <v>23.099</v>
      </c>
      <c r="H79" s="1320"/>
      <c r="R79" s="1291"/>
      <c r="S79" s="1291"/>
    </row>
    <row r="80" spans="2:24" x14ac:dyDescent="0.35">
      <c r="B80" s="1323" t="s">
        <v>330</v>
      </c>
      <c r="C80" s="1325">
        <f t="shared" si="43"/>
        <v>29.628</v>
      </c>
      <c r="D80" s="1325">
        <f t="shared" si="44"/>
        <v>35.671000000000006</v>
      </c>
      <c r="E80" s="1325">
        <f t="shared" si="45"/>
        <v>24.216000000000001</v>
      </c>
      <c r="F80" s="1325">
        <f t="shared" si="46"/>
        <v>9.6430000000000007</v>
      </c>
      <c r="G80" s="1325">
        <f t="shared" si="47"/>
        <v>4.5789999999999997</v>
      </c>
      <c r="H80" s="1320"/>
      <c r="R80" s="1291"/>
      <c r="S80" s="1291"/>
    </row>
    <row r="81" spans="2:19" x14ac:dyDescent="0.35">
      <c r="B81" s="24" t="s">
        <v>147</v>
      </c>
      <c r="C81" s="1325">
        <f t="shared" si="43"/>
        <v>25.75</v>
      </c>
      <c r="D81" s="1325">
        <f t="shared" si="44"/>
        <v>0</v>
      </c>
      <c r="E81" s="1325">
        <f t="shared" si="45"/>
        <v>0</v>
      </c>
      <c r="F81" s="1325">
        <f t="shared" si="46"/>
        <v>0</v>
      </c>
      <c r="G81" s="1325">
        <f t="shared" si="47"/>
        <v>0</v>
      </c>
      <c r="H81" s="1320"/>
      <c r="R81" s="1291"/>
      <c r="S81" s="1291"/>
    </row>
    <row r="82" spans="2:19" x14ac:dyDescent="0.35">
      <c r="B82" s="41" t="s">
        <v>97</v>
      </c>
      <c r="C82" s="1325">
        <f t="shared" si="43"/>
        <v>31.939</v>
      </c>
      <c r="D82" s="1325">
        <f t="shared" si="44"/>
        <v>56.413000000000004</v>
      </c>
      <c r="E82" s="1325">
        <f t="shared" si="45"/>
        <v>15.652999999999999</v>
      </c>
      <c r="F82" s="1325">
        <f t="shared" si="46"/>
        <v>3.9320000000000004</v>
      </c>
      <c r="G82" s="1325">
        <f t="shared" si="47"/>
        <v>-0.74299999999999988</v>
      </c>
      <c r="R82" s="1291"/>
      <c r="S82" s="1291"/>
    </row>
    <row r="83" spans="2:19" x14ac:dyDescent="0.35">
      <c r="B83" s="877" t="s">
        <v>732</v>
      </c>
      <c r="C83" s="1325">
        <f t="shared" si="43"/>
        <v>1.02</v>
      </c>
      <c r="D83" s="1325">
        <f t="shared" si="44"/>
        <v>1.5299999999999998</v>
      </c>
      <c r="E83" s="1325">
        <f t="shared" si="45"/>
        <v>0</v>
      </c>
      <c r="F83" s="1325">
        <f t="shared" si="46"/>
        <v>0</v>
      </c>
      <c r="G83" s="1325">
        <f t="shared" si="47"/>
        <v>0</v>
      </c>
      <c r="R83" s="1291"/>
      <c r="S83" s="1291"/>
    </row>
    <row r="84" spans="2:19" x14ac:dyDescent="0.35">
      <c r="B84" s="877" t="s">
        <v>733</v>
      </c>
      <c r="C84" s="1325">
        <f t="shared" si="43"/>
        <v>0.67999999999999994</v>
      </c>
      <c r="D84" s="1325">
        <f t="shared" si="44"/>
        <v>1.02</v>
      </c>
      <c r="E84" s="1325">
        <f t="shared" si="45"/>
        <v>0</v>
      </c>
      <c r="F84" s="1325">
        <f t="shared" si="46"/>
        <v>0</v>
      </c>
      <c r="G84" s="1325">
        <f t="shared" si="47"/>
        <v>0</v>
      </c>
      <c r="R84" s="1291"/>
      <c r="S84" s="1291"/>
    </row>
    <row r="85" spans="2:19" x14ac:dyDescent="0.35">
      <c r="B85" s="877" t="s">
        <v>434</v>
      </c>
      <c r="C85" s="1325">
        <f t="shared" si="43"/>
        <v>1.6999999999999997</v>
      </c>
      <c r="D85" s="1325">
        <f t="shared" si="44"/>
        <v>2.5499999999999998</v>
      </c>
      <c r="E85" s="1325">
        <f t="shared" si="45"/>
        <v>0</v>
      </c>
      <c r="F85" s="1325">
        <f t="shared" si="46"/>
        <v>0</v>
      </c>
      <c r="G85" s="1325">
        <f t="shared" si="47"/>
        <v>0</v>
      </c>
      <c r="R85" s="1291"/>
      <c r="S85" s="1291"/>
    </row>
    <row r="86" spans="2:19" x14ac:dyDescent="0.35">
      <c r="C86" s="1321">
        <v>2021</v>
      </c>
      <c r="D86" s="1321">
        <v>2022</v>
      </c>
      <c r="E86" s="1321">
        <v>2023</v>
      </c>
      <c r="F86" s="1321">
        <v>2024</v>
      </c>
      <c r="G86" s="1321">
        <v>2025</v>
      </c>
      <c r="R86" s="1291"/>
      <c r="S86" s="1291"/>
    </row>
    <row r="87" spans="2:19" x14ac:dyDescent="0.35">
      <c r="B87" s="877" t="s">
        <v>742</v>
      </c>
      <c r="C87" s="1324">
        <f>SUM(C83:C85)</f>
        <v>3.3999999999999995</v>
      </c>
      <c r="D87" s="1324">
        <f t="shared" ref="D87:G87" si="48">SUM(D83:D85)</f>
        <v>5.0999999999999996</v>
      </c>
      <c r="E87" s="1324">
        <f t="shared" si="48"/>
        <v>0</v>
      </c>
      <c r="F87" s="1324">
        <f t="shared" si="48"/>
        <v>0</v>
      </c>
      <c r="G87" s="1324">
        <f t="shared" si="48"/>
        <v>0</v>
      </c>
      <c r="R87" s="1291"/>
      <c r="S87" s="1291"/>
    </row>
    <row r="90" spans="2:19" x14ac:dyDescent="0.35">
      <c r="B90" s="877" t="s">
        <v>638</v>
      </c>
      <c r="C90" s="1325">
        <v>26.636000000000024</v>
      </c>
      <c r="D90" s="1325">
        <v>98.978999999999999</v>
      </c>
      <c r="E90" s="1325">
        <v>2.1159999999999997</v>
      </c>
      <c r="F90" s="1325">
        <v>2.1789999999999998</v>
      </c>
      <c r="G90" s="1325">
        <v>2.33</v>
      </c>
      <c r="H90" s="1325"/>
      <c r="I90" s="1325"/>
      <c r="J90" s="1325"/>
      <c r="K90" s="1325"/>
      <c r="L90" s="1325"/>
      <c r="M90" s="1325"/>
    </row>
    <row r="91" spans="2:19" x14ac:dyDescent="0.35">
      <c r="B91" s="877" t="s">
        <v>639</v>
      </c>
      <c r="C91" s="1325">
        <v>47.722000000000016</v>
      </c>
      <c r="D91" s="1325">
        <v>52.756999999999998</v>
      </c>
      <c r="E91" s="1325">
        <v>12</v>
      </c>
      <c r="F91" s="1325">
        <v>4.2219999999999995</v>
      </c>
      <c r="G91" s="1325">
        <v>2.3719999999999999</v>
      </c>
      <c r="H91" s="1325"/>
      <c r="I91" s="1325"/>
      <c r="J91" s="1325"/>
      <c r="K91" s="1325"/>
      <c r="L91" s="1325"/>
      <c r="M91" s="1325"/>
    </row>
    <row r="92" spans="2:19" x14ac:dyDescent="0.35">
      <c r="B92" s="877" t="s">
        <v>43</v>
      </c>
      <c r="C92" s="1325">
        <v>81.842999999999989</v>
      </c>
      <c r="D92" s="1325">
        <v>110.24799999999999</v>
      </c>
      <c r="E92" s="1325">
        <v>12.726000000000001</v>
      </c>
      <c r="F92" s="1325">
        <v>1.365</v>
      </c>
      <c r="G92" s="1325">
        <v>-0.90100000000000025</v>
      </c>
      <c r="H92" s="1325"/>
      <c r="I92" s="1325"/>
      <c r="J92" s="1325"/>
      <c r="K92" s="1325"/>
      <c r="L92" s="1325"/>
      <c r="M92" s="1325"/>
    </row>
    <row r="93" spans="2:19" x14ac:dyDescent="0.35">
      <c r="B93" s="877" t="s">
        <v>119</v>
      </c>
      <c r="C93" s="1325">
        <v>7.798</v>
      </c>
      <c r="D93" s="1325">
        <v>7.9489999999999998</v>
      </c>
      <c r="E93" s="1325">
        <v>4.7519999999999998</v>
      </c>
      <c r="F93" s="1325">
        <v>4.637999999999999</v>
      </c>
      <c r="G93" s="1325">
        <v>1.8800000000000001</v>
      </c>
      <c r="H93" s="1325"/>
      <c r="I93" s="1325"/>
      <c r="J93" s="1325"/>
      <c r="K93" s="1325"/>
      <c r="L93" s="1325"/>
      <c r="M93" s="1325"/>
    </row>
    <row r="94" spans="2:19" x14ac:dyDescent="0.35">
      <c r="B94" s="877" t="s">
        <v>314</v>
      </c>
      <c r="C94" s="1325">
        <v>283.95749999999998</v>
      </c>
      <c r="D94" s="1325">
        <v>77.092500000000001</v>
      </c>
      <c r="E94" s="1325">
        <v>1</v>
      </c>
      <c r="F94" s="1325">
        <v>0</v>
      </c>
      <c r="G94" s="1325">
        <v>0</v>
      </c>
      <c r="H94" s="1325"/>
      <c r="I94" s="1325"/>
      <c r="J94" s="1325"/>
      <c r="K94" s="1325"/>
      <c r="L94" s="1325"/>
      <c r="M94" s="1325"/>
    </row>
    <row r="95" spans="2:19" x14ac:dyDescent="0.35">
      <c r="B95" s="877" t="s">
        <v>138</v>
      </c>
      <c r="C95" s="1325">
        <v>12.347</v>
      </c>
      <c r="D95" s="1325">
        <v>46.79</v>
      </c>
      <c r="E95" s="1325">
        <v>38.595999999999997</v>
      </c>
      <c r="F95" s="1325">
        <v>31.911000000000001</v>
      </c>
      <c r="G95" s="1325">
        <v>23.099</v>
      </c>
      <c r="H95" s="1325"/>
      <c r="I95" s="1325"/>
      <c r="J95" s="1325"/>
      <c r="K95" s="1325"/>
      <c r="L95" s="1325"/>
      <c r="M95" s="1325"/>
    </row>
    <row r="96" spans="2:19" x14ac:dyDescent="0.35">
      <c r="B96" s="877" t="s">
        <v>330</v>
      </c>
      <c r="C96" s="1325">
        <v>2.286</v>
      </c>
      <c r="D96" s="1325">
        <v>4.6049999999999995</v>
      </c>
      <c r="E96" s="1325">
        <v>1.349</v>
      </c>
      <c r="F96" s="1325">
        <v>0.441</v>
      </c>
      <c r="G96" s="1325">
        <v>0.313</v>
      </c>
      <c r="H96" s="1325"/>
      <c r="I96" s="1325"/>
      <c r="J96" s="1325"/>
      <c r="K96" s="1325"/>
      <c r="L96" s="1325"/>
      <c r="M96" s="1325"/>
    </row>
    <row r="97" spans="2:13" x14ac:dyDescent="0.35">
      <c r="B97" s="877" t="s">
        <v>147</v>
      </c>
      <c r="C97" s="1325">
        <v>25.75</v>
      </c>
      <c r="D97" s="1325">
        <v>0</v>
      </c>
      <c r="E97" s="1325">
        <v>0</v>
      </c>
      <c r="F97" s="1325">
        <v>0</v>
      </c>
      <c r="G97" s="1325">
        <v>0</v>
      </c>
      <c r="H97" s="1325"/>
      <c r="I97" s="1325"/>
      <c r="J97" s="1325"/>
      <c r="K97" s="1325"/>
      <c r="L97" s="1325"/>
      <c r="M97" s="1325"/>
    </row>
    <row r="98" spans="2:13" x14ac:dyDescent="0.35">
      <c r="B98" s="877" t="s">
        <v>97</v>
      </c>
      <c r="C98" s="1325">
        <v>60.441000000000003</v>
      </c>
      <c r="D98" s="1325">
        <v>91.678999999999988</v>
      </c>
      <c r="E98" s="1325">
        <v>41.220000000000006</v>
      </c>
      <c r="F98" s="1325">
        <v>14.004000000000003</v>
      </c>
      <c r="G98" s="1325">
        <v>3.8530000000000006</v>
      </c>
      <c r="H98" s="1325"/>
      <c r="I98" s="1325"/>
      <c r="J98" s="1325"/>
      <c r="K98" s="1325"/>
      <c r="L98" s="1325"/>
      <c r="M98" s="1325"/>
    </row>
    <row r="99" spans="2:13" x14ac:dyDescent="0.35">
      <c r="C99" s="1321">
        <v>3.4</v>
      </c>
      <c r="D99" s="1321">
        <v>5.0999999999999996</v>
      </c>
      <c r="E99" s="1321">
        <v>0</v>
      </c>
      <c r="F99" s="1321">
        <v>0</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52"/>
  <sheetViews>
    <sheetView workbookViewId="0"/>
  </sheetViews>
  <sheetFormatPr defaultColWidth="10.90625" defaultRowHeight="14.5" x14ac:dyDescent="0.35"/>
  <sheetData>
    <row r="1" spans="1:12" x14ac:dyDescent="0.35">
      <c r="A1" s="83" t="s">
        <v>1385</v>
      </c>
      <c r="B1" s="83" t="s">
        <v>1386</v>
      </c>
      <c r="C1" s="83" t="s">
        <v>1387</v>
      </c>
      <c r="D1" s="83" t="s">
        <v>1388</v>
      </c>
      <c r="E1" s="83" t="s">
        <v>1389</v>
      </c>
      <c r="F1" s="83" t="s">
        <v>1390</v>
      </c>
      <c r="G1" s="83" t="s">
        <v>876</v>
      </c>
      <c r="H1" s="83" t="s">
        <v>877</v>
      </c>
      <c r="I1" s="83" t="s">
        <v>878</v>
      </c>
      <c r="J1" s="83" t="s">
        <v>879</v>
      </c>
      <c r="K1" s="83" t="s">
        <v>880</v>
      </c>
      <c r="L1" s="83" t="s">
        <v>881</v>
      </c>
    </row>
    <row r="2" spans="1:12" x14ac:dyDescent="0.35">
      <c r="A2">
        <v>4.5079018442711401E-2</v>
      </c>
      <c r="B2">
        <v>5.3878515900577198E-2</v>
      </c>
      <c r="C2">
        <v>8.2063006909154398E-2</v>
      </c>
      <c r="D2">
        <v>0.104421067414309</v>
      </c>
      <c r="E2" t="s">
        <v>1391</v>
      </c>
      <c r="F2" t="s">
        <v>1392</v>
      </c>
      <c r="G2">
        <v>13.106999999999999</v>
      </c>
      <c r="H2">
        <v>1.9913023575188999E-2</v>
      </c>
      <c r="I2">
        <v>16.824999999999999</v>
      </c>
      <c r="J2">
        <v>2.51411589895989E-2</v>
      </c>
      <c r="K2" t="s">
        <v>882</v>
      </c>
      <c r="L2" t="s">
        <v>883</v>
      </c>
    </row>
    <row r="3" spans="1:12" x14ac:dyDescent="0.35">
      <c r="A3">
        <v>4.5079018442711401E-2</v>
      </c>
      <c r="B3">
        <v>5.3878515900577198E-2</v>
      </c>
      <c r="C3">
        <v>8.2063006909154398E-2</v>
      </c>
      <c r="D3">
        <v>0.104421067414309</v>
      </c>
      <c r="E3" t="s">
        <v>1393</v>
      </c>
      <c r="F3" t="s">
        <v>1392</v>
      </c>
      <c r="G3">
        <v>13.368</v>
      </c>
      <c r="H3">
        <v>1.9913023575188999E-2</v>
      </c>
      <c r="I3">
        <v>17.248000000000001</v>
      </c>
      <c r="J3">
        <v>2.51411589895989E-2</v>
      </c>
      <c r="K3" t="s">
        <v>884</v>
      </c>
      <c r="L3" t="s">
        <v>883</v>
      </c>
    </row>
    <row r="4" spans="1:12" x14ac:dyDescent="0.35">
      <c r="A4">
        <v>3.9419555818651898E-2</v>
      </c>
      <c r="B4">
        <v>6.9938689583740596E-2</v>
      </c>
      <c r="C4">
        <v>7.2508506661211405E-2</v>
      </c>
      <c r="D4">
        <v>7.9737360467493398E-2</v>
      </c>
      <c r="E4" t="s">
        <v>1394</v>
      </c>
      <c r="F4" t="s">
        <v>1392</v>
      </c>
      <c r="G4">
        <v>13.603999999999999</v>
      </c>
      <c r="H4">
        <v>1.7654099341711402E-2</v>
      </c>
      <c r="I4">
        <v>17.582000000000001</v>
      </c>
      <c r="J4">
        <v>1.9364564007421099E-2</v>
      </c>
      <c r="K4" t="s">
        <v>885</v>
      </c>
      <c r="L4" t="s">
        <v>883</v>
      </c>
    </row>
    <row r="5" spans="1:12" x14ac:dyDescent="0.35">
      <c r="A5">
        <v>5.2824828770235303E-2</v>
      </c>
      <c r="B5">
        <v>5.1823422551402501E-2</v>
      </c>
      <c r="C5">
        <v>6.9052453854286294E-2</v>
      </c>
      <c r="D5">
        <v>0.10539397910227</v>
      </c>
      <c r="E5" t="s">
        <v>1395</v>
      </c>
      <c r="F5" t="s">
        <v>1392</v>
      </c>
      <c r="G5">
        <v>13.833</v>
      </c>
      <c r="H5">
        <v>1.6833284328138898E-2</v>
      </c>
      <c r="I5">
        <v>18.027999999999999</v>
      </c>
      <c r="J5">
        <v>2.5366852462745899E-2</v>
      </c>
      <c r="K5" t="s">
        <v>886</v>
      </c>
      <c r="L5" t="s">
        <v>883</v>
      </c>
    </row>
    <row r="6" spans="1:12" x14ac:dyDescent="0.35">
      <c r="A6">
        <v>3.85286878692137E-2</v>
      </c>
      <c r="B6">
        <v>0.132788480581229</v>
      </c>
      <c r="C6">
        <v>0.10231116414477499</v>
      </c>
      <c r="D6">
        <v>6.9175988166702701E-2</v>
      </c>
      <c r="E6" t="s">
        <v>1396</v>
      </c>
      <c r="F6" t="s">
        <v>1392</v>
      </c>
      <c r="G6">
        <v>14.173999999999999</v>
      </c>
      <c r="H6">
        <v>2.4651196414371399E-2</v>
      </c>
      <c r="I6">
        <v>18.332000000000001</v>
      </c>
      <c r="J6">
        <v>1.6862658087419598E-2</v>
      </c>
      <c r="K6" t="s">
        <v>887</v>
      </c>
      <c r="L6" t="s">
        <v>883</v>
      </c>
    </row>
    <row r="7" spans="1:12" x14ac:dyDescent="0.35">
      <c r="A7">
        <v>4.6230845754161802E-2</v>
      </c>
      <c r="B7">
        <v>7.6806429060699302E-2</v>
      </c>
      <c r="C7">
        <v>7.6908368677740299E-2</v>
      </c>
      <c r="D7">
        <v>6.5481053360561203E-2</v>
      </c>
      <c r="E7" t="s">
        <v>1397</v>
      </c>
      <c r="F7" t="s">
        <v>1392</v>
      </c>
      <c r="G7">
        <v>14.439</v>
      </c>
      <c r="H7">
        <v>1.8696204317764999E-2</v>
      </c>
      <c r="I7">
        <v>18.625</v>
      </c>
      <c r="J7">
        <v>1.59829805804057E-2</v>
      </c>
      <c r="K7" t="s">
        <v>888</v>
      </c>
      <c r="L7" t="s">
        <v>883</v>
      </c>
    </row>
    <row r="8" spans="1:12" x14ac:dyDescent="0.35">
      <c r="A8">
        <v>4.0000704948734103E-2</v>
      </c>
      <c r="B8">
        <v>5.9184461037305798E-2</v>
      </c>
      <c r="C8">
        <v>6.1773509542664397E-2</v>
      </c>
      <c r="D8">
        <v>4.4315280925248897E-2</v>
      </c>
      <c r="E8" t="s">
        <v>1398</v>
      </c>
      <c r="F8" t="s">
        <v>1392</v>
      </c>
      <c r="G8">
        <v>14.657</v>
      </c>
      <c r="H8">
        <v>1.5097998476348899E-2</v>
      </c>
      <c r="I8">
        <v>18.827999999999999</v>
      </c>
      <c r="J8">
        <v>1.0899328859060401E-2</v>
      </c>
      <c r="K8" t="s">
        <v>889</v>
      </c>
      <c r="L8" t="s">
        <v>883</v>
      </c>
    </row>
    <row r="9" spans="1:12" x14ac:dyDescent="0.35">
      <c r="A9">
        <v>2.5035607973723999E-2</v>
      </c>
      <c r="B9">
        <v>8.3819893360376693E-2</v>
      </c>
      <c r="C9">
        <v>3.6793688078589702E-2</v>
      </c>
      <c r="D9">
        <v>7.0854524877743894E-2</v>
      </c>
      <c r="E9" t="s">
        <v>1399</v>
      </c>
      <c r="F9" t="s">
        <v>1392</v>
      </c>
      <c r="G9">
        <v>14.79</v>
      </c>
      <c r="H9">
        <v>9.0741625162038507E-3</v>
      </c>
      <c r="I9">
        <v>19.152999999999999</v>
      </c>
      <c r="J9">
        <v>1.7261525387720401E-2</v>
      </c>
      <c r="K9" t="s">
        <v>890</v>
      </c>
      <c r="L9" t="s">
        <v>883</v>
      </c>
    </row>
    <row r="10" spans="1:12" x14ac:dyDescent="0.35">
      <c r="A10">
        <v>4.2906681103859E-2</v>
      </c>
      <c r="B10">
        <v>0.175097239288524</v>
      </c>
      <c r="C10">
        <v>0.10446834522691199</v>
      </c>
      <c r="D10">
        <v>5.2157088254066501E-2</v>
      </c>
      <c r="E10" t="s">
        <v>1400</v>
      </c>
      <c r="F10" t="s">
        <v>1392</v>
      </c>
      <c r="G10">
        <v>15.162000000000001</v>
      </c>
      <c r="H10">
        <v>2.5152129817444399E-2</v>
      </c>
      <c r="I10">
        <v>19.398</v>
      </c>
      <c r="J10">
        <v>1.27917297551299E-2</v>
      </c>
      <c r="K10" t="s">
        <v>891</v>
      </c>
      <c r="L10" t="s">
        <v>883</v>
      </c>
    </row>
    <row r="11" spans="1:12" x14ac:dyDescent="0.35">
      <c r="A11">
        <v>2.3157030840978501E-2</v>
      </c>
      <c r="B11">
        <v>4.0963848741786497E-2</v>
      </c>
      <c r="C11">
        <v>5.35423244430666E-2</v>
      </c>
      <c r="D11">
        <v>2.83404365976123E-2</v>
      </c>
      <c r="E11" t="s">
        <v>1401</v>
      </c>
      <c r="F11" t="s">
        <v>1392</v>
      </c>
      <c r="G11">
        <v>15.361000000000001</v>
      </c>
      <c r="H11">
        <v>1.3124917557050499E-2</v>
      </c>
      <c r="I11">
        <v>19.533999999999999</v>
      </c>
      <c r="J11">
        <v>7.0110320651612899E-3</v>
      </c>
      <c r="K11" t="s">
        <v>892</v>
      </c>
      <c r="L11" t="s">
        <v>883</v>
      </c>
    </row>
    <row r="12" spans="1:12" x14ac:dyDescent="0.35">
      <c r="A12">
        <v>3.55986781186481E-2</v>
      </c>
      <c r="B12">
        <v>3.3186191278740597E-2</v>
      </c>
      <c r="C12">
        <v>6.3703129067968198E-2</v>
      </c>
      <c r="D12">
        <v>5.6658506033298299E-2</v>
      </c>
      <c r="E12" t="s">
        <v>1402</v>
      </c>
      <c r="F12" t="s">
        <v>1392</v>
      </c>
      <c r="G12">
        <v>15.6</v>
      </c>
      <c r="H12">
        <v>1.5558882885228701E-2</v>
      </c>
      <c r="I12">
        <v>19.805</v>
      </c>
      <c r="J12">
        <v>1.38732466468721E-2</v>
      </c>
      <c r="K12" t="s">
        <v>893</v>
      </c>
      <c r="L12" t="s">
        <v>883</v>
      </c>
    </row>
    <row r="13" spans="1:12" x14ac:dyDescent="0.35">
      <c r="A13">
        <v>3.3109052200751603E-2</v>
      </c>
      <c r="B13">
        <v>8.9944620716435594E-2</v>
      </c>
      <c r="C13">
        <v>5.0679215853917103E-2</v>
      </c>
      <c r="D13">
        <v>7.6848944278385095E-2</v>
      </c>
      <c r="E13" t="s">
        <v>1403</v>
      </c>
      <c r="F13" t="s">
        <v>1392</v>
      </c>
      <c r="G13">
        <v>15.794</v>
      </c>
      <c r="H13">
        <v>1.2435897435897601E-2</v>
      </c>
      <c r="I13">
        <v>20.175000000000001</v>
      </c>
      <c r="J13">
        <v>1.8682150971976799E-2</v>
      </c>
      <c r="K13" t="s">
        <v>894</v>
      </c>
      <c r="L13" t="s">
        <v>883</v>
      </c>
    </row>
    <row r="14" spans="1:12" x14ac:dyDescent="0.35">
      <c r="A14">
        <v>4.91014015888558E-2</v>
      </c>
      <c r="B14">
        <v>6.5908483031781095E-2</v>
      </c>
      <c r="C14">
        <v>8.1389738888574495E-2</v>
      </c>
      <c r="D14">
        <v>7.93845743471608E-2</v>
      </c>
      <c r="E14" t="s">
        <v>1404</v>
      </c>
      <c r="F14" t="s">
        <v>1392</v>
      </c>
      <c r="G14">
        <v>16.106000000000002</v>
      </c>
      <c r="H14">
        <v>1.9754337090034199E-2</v>
      </c>
      <c r="I14">
        <v>20.564</v>
      </c>
      <c r="J14">
        <v>1.9281288723668001E-2</v>
      </c>
      <c r="K14" t="s">
        <v>895</v>
      </c>
      <c r="L14" t="s">
        <v>883</v>
      </c>
    </row>
    <row r="15" spans="1:12" x14ac:dyDescent="0.35">
      <c r="A15">
        <v>7.9177652454341899E-2</v>
      </c>
      <c r="B15">
        <v>7.1493559288280994E-2</v>
      </c>
      <c r="C15">
        <v>6.9283063617710403E-2</v>
      </c>
      <c r="D15">
        <v>8.6922582910256702E-2</v>
      </c>
      <c r="E15" t="s">
        <v>1405</v>
      </c>
      <c r="F15" t="s">
        <v>1392</v>
      </c>
      <c r="G15">
        <v>16.378</v>
      </c>
      <c r="H15">
        <v>1.68881162299763E-2</v>
      </c>
      <c r="I15">
        <v>20.997</v>
      </c>
      <c r="J15">
        <v>2.1056214744213299E-2</v>
      </c>
      <c r="K15" t="s">
        <v>896</v>
      </c>
      <c r="L15" t="s">
        <v>883</v>
      </c>
    </row>
    <row r="16" spans="1:12" x14ac:dyDescent="0.35">
      <c r="A16">
        <v>7.4767520593947104E-2</v>
      </c>
      <c r="B16">
        <v>8.5362600720222198E-2</v>
      </c>
      <c r="C16">
        <v>4.7217464684975501E-2</v>
      </c>
      <c r="D16">
        <v>8.4062519785650797E-2</v>
      </c>
      <c r="E16" t="s">
        <v>1406</v>
      </c>
      <c r="F16" t="s">
        <v>1392</v>
      </c>
      <c r="G16">
        <v>16.568000000000001</v>
      </c>
      <c r="H16">
        <v>1.1600928074246E-2</v>
      </c>
      <c r="I16">
        <v>21.425000000000001</v>
      </c>
      <c r="J16">
        <v>2.03838643615755E-2</v>
      </c>
      <c r="K16" t="s">
        <v>897</v>
      </c>
      <c r="L16" t="s">
        <v>883</v>
      </c>
    </row>
    <row r="17" spans="1:12" x14ac:dyDescent="0.35">
      <c r="A17">
        <v>8.4354048501589896E-2</v>
      </c>
      <c r="B17">
        <v>8.8313277531109999E-2</v>
      </c>
      <c r="C17">
        <v>6.8825586736247696E-2</v>
      </c>
      <c r="D17">
        <v>0.111750672708145</v>
      </c>
      <c r="E17" t="s">
        <v>1407</v>
      </c>
      <c r="F17" t="s">
        <v>1392</v>
      </c>
      <c r="G17">
        <v>16.846</v>
      </c>
      <c r="H17">
        <v>1.6779333655238898E-2</v>
      </c>
      <c r="I17">
        <v>22</v>
      </c>
      <c r="J17">
        <v>2.68378063010501E-2</v>
      </c>
      <c r="K17" t="s">
        <v>898</v>
      </c>
      <c r="L17" t="s">
        <v>883</v>
      </c>
    </row>
    <row r="18" spans="1:12" x14ac:dyDescent="0.35">
      <c r="A18">
        <v>0.124536540877934</v>
      </c>
      <c r="B18">
        <v>4.1616768277239702E-2</v>
      </c>
      <c r="C18">
        <v>0.100709384145876</v>
      </c>
      <c r="D18">
        <v>0.19875533747763099</v>
      </c>
      <c r="E18" t="s">
        <v>1408</v>
      </c>
      <c r="F18" t="s">
        <v>1392</v>
      </c>
      <c r="G18">
        <v>17.254999999999999</v>
      </c>
      <c r="H18">
        <v>2.42787605366259E-2</v>
      </c>
      <c r="I18">
        <v>23.02</v>
      </c>
      <c r="J18">
        <v>4.6363636363636399E-2</v>
      </c>
      <c r="K18" t="s">
        <v>899</v>
      </c>
      <c r="L18" t="s">
        <v>883</v>
      </c>
    </row>
    <row r="19" spans="1:12" x14ac:dyDescent="0.35">
      <c r="A19">
        <v>0.118186339709689</v>
      </c>
      <c r="B19">
        <v>7.4336480554695494E-2</v>
      </c>
      <c r="C19">
        <v>0.111980004946894</v>
      </c>
      <c r="D19">
        <v>0.27614966476000502</v>
      </c>
      <c r="E19" t="s">
        <v>1409</v>
      </c>
      <c r="F19" t="s">
        <v>1392</v>
      </c>
      <c r="G19">
        <v>17.719000000000001</v>
      </c>
      <c r="H19">
        <v>2.68907563025211E-2</v>
      </c>
      <c r="I19">
        <v>24.466999999999999</v>
      </c>
      <c r="J19">
        <v>6.2858384013900995E-2</v>
      </c>
      <c r="K19" t="s">
        <v>900</v>
      </c>
      <c r="L19" t="s">
        <v>883</v>
      </c>
    </row>
    <row r="20" spans="1:12" x14ac:dyDescent="0.35">
      <c r="A20">
        <v>0.112285409166716</v>
      </c>
      <c r="B20">
        <v>0.121923532437656</v>
      </c>
      <c r="C20">
        <v>0.119951580753957</v>
      </c>
      <c r="D20">
        <v>0.28126959643585903</v>
      </c>
      <c r="E20" t="s">
        <v>1410</v>
      </c>
      <c r="F20" t="s">
        <v>1392</v>
      </c>
      <c r="G20">
        <v>18.228000000000002</v>
      </c>
      <c r="H20">
        <v>2.8726226084993398E-2</v>
      </c>
      <c r="I20">
        <v>26.030999999999999</v>
      </c>
      <c r="J20">
        <v>6.3922834838762405E-2</v>
      </c>
      <c r="K20" t="s">
        <v>901</v>
      </c>
      <c r="L20" t="s">
        <v>883</v>
      </c>
    </row>
    <row r="21" spans="1:12" x14ac:dyDescent="0.35">
      <c r="A21">
        <v>0.10564888426900799</v>
      </c>
      <c r="B21">
        <v>0.139689749601554</v>
      </c>
      <c r="C21">
        <v>0.10861792322335199</v>
      </c>
      <c r="D21">
        <v>0.17691984955710299</v>
      </c>
      <c r="E21" t="s">
        <v>1411</v>
      </c>
      <c r="F21" t="s">
        <v>1392</v>
      </c>
      <c r="G21">
        <v>18.704000000000001</v>
      </c>
      <c r="H21">
        <v>2.6113671274961399E-2</v>
      </c>
      <c r="I21">
        <v>27.113</v>
      </c>
      <c r="J21">
        <v>4.15658253620683E-2</v>
      </c>
      <c r="K21" t="s">
        <v>902</v>
      </c>
      <c r="L21" t="s">
        <v>883</v>
      </c>
    </row>
    <row r="22" spans="1:12" x14ac:dyDescent="0.35">
      <c r="A22">
        <v>7.7418031911128199E-2</v>
      </c>
      <c r="B22">
        <v>7.47377264200315E-2</v>
      </c>
      <c r="C22">
        <v>8.2414004288707196E-2</v>
      </c>
      <c r="D22">
        <v>8.77241949354641E-2</v>
      </c>
      <c r="E22" t="s">
        <v>1412</v>
      </c>
      <c r="F22" t="s">
        <v>1392</v>
      </c>
      <c r="G22">
        <v>19.077999999999999</v>
      </c>
      <c r="H22">
        <v>1.99957228400343E-2</v>
      </c>
      <c r="I22">
        <v>27.689</v>
      </c>
      <c r="J22">
        <v>2.1244421495223698E-2</v>
      </c>
      <c r="K22" t="s">
        <v>903</v>
      </c>
      <c r="L22" t="s">
        <v>883</v>
      </c>
    </row>
    <row r="23" spans="1:12" x14ac:dyDescent="0.35">
      <c r="A23">
        <v>5.00188837807687E-2</v>
      </c>
      <c r="B23">
        <v>5.9076854521070303E-2</v>
      </c>
      <c r="C23">
        <v>9.99907756879512E-2</v>
      </c>
      <c r="D23">
        <v>1.9938623083631101E-2</v>
      </c>
      <c r="E23" t="s">
        <v>1413</v>
      </c>
      <c r="F23" t="s">
        <v>1392</v>
      </c>
      <c r="G23">
        <v>19.538</v>
      </c>
      <c r="H23">
        <v>2.4111542090365898E-2</v>
      </c>
      <c r="I23">
        <v>27.826000000000001</v>
      </c>
      <c r="J23">
        <v>4.9478132110223304E-3</v>
      </c>
      <c r="K23" t="s">
        <v>904</v>
      </c>
      <c r="L23" t="s">
        <v>883</v>
      </c>
    </row>
    <row r="24" spans="1:12" x14ac:dyDescent="0.35">
      <c r="A24">
        <v>7.6956317974106001E-2</v>
      </c>
      <c r="B24">
        <v>5.5091330920863602E-2</v>
      </c>
      <c r="C24">
        <v>6.2847909413525901E-2</v>
      </c>
      <c r="D24">
        <v>1.2710174962932599E-2</v>
      </c>
      <c r="E24" t="s">
        <v>1414</v>
      </c>
      <c r="F24" t="s">
        <v>1392</v>
      </c>
      <c r="G24">
        <v>19.838000000000001</v>
      </c>
      <c r="H24">
        <v>1.5354693417954699E-2</v>
      </c>
      <c r="I24">
        <v>27.914000000000001</v>
      </c>
      <c r="J24">
        <v>3.16250988284339E-3</v>
      </c>
      <c r="K24" t="s">
        <v>905</v>
      </c>
      <c r="L24" t="s">
        <v>883</v>
      </c>
    </row>
    <row r="25" spans="1:12" x14ac:dyDescent="0.35">
      <c r="A25">
        <v>6.8882772668885706E-2</v>
      </c>
      <c r="B25">
        <v>9.5097426388938394E-2</v>
      </c>
      <c r="C25">
        <v>5.9557775023163499E-2</v>
      </c>
      <c r="D25">
        <v>2.4583979224767301E-2</v>
      </c>
      <c r="E25" t="s">
        <v>1415</v>
      </c>
      <c r="F25" t="s">
        <v>1392</v>
      </c>
      <c r="G25">
        <v>20.126999999999999</v>
      </c>
      <c r="H25">
        <v>1.45680008065328E-2</v>
      </c>
      <c r="I25">
        <v>28.084</v>
      </c>
      <c r="J25">
        <v>6.0901339829475499E-3</v>
      </c>
      <c r="K25" t="s">
        <v>906</v>
      </c>
      <c r="L25" t="s">
        <v>883</v>
      </c>
    </row>
    <row r="26" spans="1:12" x14ac:dyDescent="0.35">
      <c r="A26">
        <v>4.46796784787249E-2</v>
      </c>
      <c r="B26">
        <v>5.9702158874865199E-2</v>
      </c>
      <c r="C26">
        <v>5.3094918319799497E-2</v>
      </c>
      <c r="D26">
        <v>1.9800669277978002E-2</v>
      </c>
      <c r="E26" t="s">
        <v>1416</v>
      </c>
      <c r="F26" t="s">
        <v>1392</v>
      </c>
      <c r="G26">
        <v>20.388999999999999</v>
      </c>
      <c r="H26">
        <v>1.30173398916877E-2</v>
      </c>
      <c r="I26">
        <v>28.222000000000001</v>
      </c>
      <c r="J26">
        <v>4.91382993875522E-3</v>
      </c>
      <c r="K26" t="s">
        <v>907</v>
      </c>
      <c r="L26" t="s">
        <v>883</v>
      </c>
    </row>
    <row r="27" spans="1:12" x14ac:dyDescent="0.35">
      <c r="A27">
        <v>3.3979822161052303E-2</v>
      </c>
      <c r="B27">
        <v>3.3961135638896502E-2</v>
      </c>
      <c r="C27">
        <v>5.3215140717762302E-2</v>
      </c>
      <c r="D27">
        <v>3.4743180507705002E-2</v>
      </c>
      <c r="E27" t="s">
        <v>1417</v>
      </c>
      <c r="F27" t="s">
        <v>1392</v>
      </c>
      <c r="G27">
        <v>20.655000000000001</v>
      </c>
      <c r="H27">
        <v>1.3046250429153101E-2</v>
      </c>
      <c r="I27">
        <v>28.463999999999999</v>
      </c>
      <c r="J27">
        <v>8.5748706682728902E-3</v>
      </c>
      <c r="K27" t="s">
        <v>908</v>
      </c>
      <c r="L27" t="s">
        <v>883</v>
      </c>
    </row>
    <row r="28" spans="1:12" x14ac:dyDescent="0.35">
      <c r="A28">
        <v>6.2157602764701697E-2</v>
      </c>
      <c r="B28">
        <v>4.6572413553721298E-2</v>
      </c>
      <c r="C28">
        <v>3.5515485276211803E-2</v>
      </c>
      <c r="D28">
        <v>8.7412684077270396E-3</v>
      </c>
      <c r="E28" t="s">
        <v>1418</v>
      </c>
      <c r="F28" t="s">
        <v>1392</v>
      </c>
      <c r="G28">
        <v>20.835999999999999</v>
      </c>
      <c r="H28">
        <v>8.7630113773904394E-3</v>
      </c>
      <c r="I28">
        <v>28.526</v>
      </c>
      <c r="J28">
        <v>2.17818999437891E-3</v>
      </c>
      <c r="K28" t="s">
        <v>909</v>
      </c>
      <c r="L28" t="s">
        <v>883</v>
      </c>
    </row>
    <row r="29" spans="1:12" x14ac:dyDescent="0.35">
      <c r="A29">
        <v>6.4679796349943294E-2</v>
      </c>
      <c r="B29">
        <v>0.11140543202132699</v>
      </c>
      <c r="C29">
        <v>5.3847641567893498E-2</v>
      </c>
      <c r="D29">
        <v>2.7482019859727602E-2</v>
      </c>
      <c r="E29" t="s">
        <v>1419</v>
      </c>
      <c r="F29" t="s">
        <v>1392</v>
      </c>
      <c r="G29">
        <v>21.111000000000001</v>
      </c>
      <c r="H29">
        <v>1.31983106162412E-2</v>
      </c>
      <c r="I29">
        <v>28.72</v>
      </c>
      <c r="J29">
        <v>6.8008132931360902E-3</v>
      </c>
      <c r="K29" t="s">
        <v>910</v>
      </c>
      <c r="L29" t="s">
        <v>883</v>
      </c>
    </row>
    <row r="30" spans="1:12" x14ac:dyDescent="0.35">
      <c r="A30">
        <v>7.4088172350420103E-2</v>
      </c>
      <c r="B30">
        <v>5.7739458159661701E-2</v>
      </c>
      <c r="C30">
        <v>8.3796072481744796E-2</v>
      </c>
      <c r="D30">
        <v>5.2825931688943499E-2</v>
      </c>
      <c r="E30" t="s">
        <v>1420</v>
      </c>
      <c r="F30" t="s">
        <v>1392</v>
      </c>
      <c r="G30">
        <v>21.54</v>
      </c>
      <c r="H30">
        <v>2.0321159585050302E-2</v>
      </c>
      <c r="I30">
        <v>29.091999999999999</v>
      </c>
      <c r="J30">
        <v>1.2952646239554401E-2</v>
      </c>
      <c r="K30" t="s">
        <v>911</v>
      </c>
      <c r="L30" t="s">
        <v>883</v>
      </c>
    </row>
    <row r="31" spans="1:12" x14ac:dyDescent="0.35">
      <c r="A31">
        <v>7.0308632461715301E-2</v>
      </c>
      <c r="B31">
        <v>4.6296846180206901E-2</v>
      </c>
      <c r="C31">
        <v>8.1880476726010801E-2</v>
      </c>
      <c r="D31">
        <v>4.0048809702137603E-2</v>
      </c>
      <c r="E31" t="s">
        <v>1421</v>
      </c>
      <c r="F31" t="s">
        <v>1392</v>
      </c>
      <c r="G31">
        <v>21.968</v>
      </c>
      <c r="H31">
        <v>1.9870009285051001E-2</v>
      </c>
      <c r="I31">
        <v>29.379000000000001</v>
      </c>
      <c r="J31">
        <v>9.8652550529356696E-3</v>
      </c>
      <c r="K31" t="s">
        <v>912</v>
      </c>
      <c r="L31" t="s">
        <v>883</v>
      </c>
    </row>
    <row r="32" spans="1:12" x14ac:dyDescent="0.35">
      <c r="A32">
        <v>6.1553542794543503E-2</v>
      </c>
      <c r="B32">
        <v>1.98663105662467E-2</v>
      </c>
      <c r="C32">
        <v>7.3501873886998997E-2</v>
      </c>
      <c r="D32">
        <v>5.4874269706492597E-2</v>
      </c>
      <c r="E32" t="s">
        <v>1422</v>
      </c>
      <c r="F32" t="s">
        <v>1392</v>
      </c>
      <c r="G32">
        <v>22.361000000000001</v>
      </c>
      <c r="H32">
        <v>1.7889657683903801E-2</v>
      </c>
      <c r="I32">
        <v>29.774000000000001</v>
      </c>
      <c r="J32">
        <v>1.3444977705163501E-2</v>
      </c>
      <c r="K32" t="s">
        <v>913</v>
      </c>
      <c r="L32" t="s">
        <v>883</v>
      </c>
    </row>
    <row r="33" spans="1:12" x14ac:dyDescent="0.35">
      <c r="A33">
        <v>5.8025197908700303E-2</v>
      </c>
      <c r="B33">
        <v>0.12112082718011299</v>
      </c>
      <c r="C33">
        <v>7.5383891455237398E-2</v>
      </c>
      <c r="D33">
        <v>4.34111575180351E-2</v>
      </c>
      <c r="E33" t="s">
        <v>1423</v>
      </c>
      <c r="F33" t="s">
        <v>1392</v>
      </c>
      <c r="G33">
        <v>22.771000000000001</v>
      </c>
      <c r="H33">
        <v>1.83354948347569E-2</v>
      </c>
      <c r="I33">
        <v>30.091999999999999</v>
      </c>
      <c r="J33">
        <v>1.0680459461274799E-2</v>
      </c>
      <c r="K33" t="s">
        <v>914</v>
      </c>
      <c r="L33" t="s">
        <v>883</v>
      </c>
    </row>
    <row r="34" spans="1:12" x14ac:dyDescent="0.35">
      <c r="A34">
        <v>6.7326294927223501E-2</v>
      </c>
      <c r="B34">
        <v>4.65097292728067E-2</v>
      </c>
      <c r="C34">
        <v>5.9424238450433299E-2</v>
      </c>
      <c r="D34">
        <v>5.0510789433123801E-2</v>
      </c>
      <c r="E34" t="s">
        <v>1424</v>
      </c>
      <c r="F34" t="s">
        <v>1392</v>
      </c>
      <c r="G34">
        <v>23.102</v>
      </c>
      <c r="H34">
        <v>1.4536032673137E-2</v>
      </c>
      <c r="I34">
        <v>30.465</v>
      </c>
      <c r="J34">
        <v>1.23953210155523E-2</v>
      </c>
      <c r="K34" t="s">
        <v>915</v>
      </c>
      <c r="L34" t="s">
        <v>883</v>
      </c>
    </row>
    <row r="35" spans="1:12" x14ac:dyDescent="0.35">
      <c r="A35">
        <v>8.4675701203493298E-2</v>
      </c>
      <c r="B35">
        <v>8.09066486989478E-2</v>
      </c>
      <c r="C35">
        <v>6.5619276167123694E-2</v>
      </c>
      <c r="D35">
        <v>8.0997725857898203E-2</v>
      </c>
      <c r="E35" t="s">
        <v>1425</v>
      </c>
      <c r="F35" t="s">
        <v>1392</v>
      </c>
      <c r="G35">
        <v>23.472000000000001</v>
      </c>
      <c r="H35">
        <v>1.6015929356765699E-2</v>
      </c>
      <c r="I35">
        <v>31.064</v>
      </c>
      <c r="J35">
        <v>1.9661907106515601E-2</v>
      </c>
      <c r="K35" t="s">
        <v>916</v>
      </c>
      <c r="L35" t="s">
        <v>883</v>
      </c>
    </row>
    <row r="36" spans="1:12" x14ac:dyDescent="0.35">
      <c r="A36">
        <v>7.2050406034996906E-2</v>
      </c>
      <c r="B36">
        <v>6.8549166168664605E-2</v>
      </c>
      <c r="C36">
        <v>5.8500992246239197E-2</v>
      </c>
      <c r="D36">
        <v>7.8709215306017405E-2</v>
      </c>
      <c r="E36" t="s">
        <v>1426</v>
      </c>
      <c r="F36" t="s">
        <v>1392</v>
      </c>
      <c r="G36">
        <v>23.808</v>
      </c>
      <c r="H36">
        <v>1.4314928425357899E-2</v>
      </c>
      <c r="I36">
        <v>31.658000000000001</v>
      </c>
      <c r="J36">
        <v>1.9121813031161401E-2</v>
      </c>
      <c r="K36" t="s">
        <v>917</v>
      </c>
      <c r="L36" t="s">
        <v>883</v>
      </c>
    </row>
    <row r="37" spans="1:12" x14ac:dyDescent="0.35">
      <c r="A37">
        <v>7.7759817693589403E-2</v>
      </c>
      <c r="B37">
        <v>7.0826828171957498E-2</v>
      </c>
      <c r="C37">
        <v>5.4682260590980698E-2</v>
      </c>
      <c r="D37">
        <v>7.3455131593814296E-2</v>
      </c>
      <c r="E37" t="s">
        <v>1427</v>
      </c>
      <c r="F37" t="s">
        <v>1392</v>
      </c>
      <c r="G37">
        <v>24.126999999999999</v>
      </c>
      <c r="H37">
        <v>1.33988575268817E-2</v>
      </c>
      <c r="I37">
        <v>32.223999999999997</v>
      </c>
      <c r="J37">
        <v>1.78785772948384E-2</v>
      </c>
      <c r="K37" t="s">
        <v>918</v>
      </c>
      <c r="L37" t="s">
        <v>883</v>
      </c>
    </row>
    <row r="38" spans="1:12" x14ac:dyDescent="0.35">
      <c r="A38">
        <v>7.7602845525897898E-2</v>
      </c>
      <c r="B38">
        <v>7.5755853629737399E-2</v>
      </c>
      <c r="C38">
        <v>0.101819091447914</v>
      </c>
      <c r="D38">
        <v>8.5137769356933707E-2</v>
      </c>
      <c r="E38" t="s">
        <v>1428</v>
      </c>
      <c r="F38" t="s">
        <v>1392</v>
      </c>
      <c r="G38">
        <v>24.719000000000001</v>
      </c>
      <c r="H38">
        <v>2.4536825962614601E-2</v>
      </c>
      <c r="I38">
        <v>32.889000000000003</v>
      </c>
      <c r="J38">
        <v>2.0636792452830299E-2</v>
      </c>
      <c r="K38" t="s">
        <v>919</v>
      </c>
      <c r="L38" t="s">
        <v>883</v>
      </c>
    </row>
    <row r="39" spans="1:12" x14ac:dyDescent="0.35">
      <c r="A39">
        <v>0.113838252689951</v>
      </c>
      <c r="B39">
        <v>6.1815502695247999E-2</v>
      </c>
      <c r="C39">
        <v>9.0287471336475605E-2</v>
      </c>
      <c r="D39">
        <v>0.11311171886032199</v>
      </c>
      <c r="E39" t="s">
        <v>1429</v>
      </c>
      <c r="F39" t="s">
        <v>1392</v>
      </c>
      <c r="G39">
        <v>25.259</v>
      </c>
      <c r="H39">
        <v>2.18455439135887E-2</v>
      </c>
      <c r="I39">
        <v>33.781999999999996</v>
      </c>
      <c r="J39">
        <v>2.7151935297515601E-2</v>
      </c>
      <c r="K39" t="s">
        <v>920</v>
      </c>
      <c r="L39" t="s">
        <v>883</v>
      </c>
    </row>
    <row r="40" spans="1:12" x14ac:dyDescent="0.35">
      <c r="A40">
        <v>0.10293672514128201</v>
      </c>
      <c r="B40">
        <v>9.6664179784869297E-2</v>
      </c>
      <c r="C40">
        <v>0.148038402658868</v>
      </c>
      <c r="D40">
        <v>0.121960082107911</v>
      </c>
      <c r="E40" t="s">
        <v>1430</v>
      </c>
      <c r="F40" t="s">
        <v>1392</v>
      </c>
      <c r="G40">
        <v>26.146000000000001</v>
      </c>
      <c r="H40">
        <v>3.5116196207292602E-2</v>
      </c>
      <c r="I40">
        <v>34.768000000000001</v>
      </c>
      <c r="J40">
        <v>2.9187141081049101E-2</v>
      </c>
      <c r="K40" t="s">
        <v>921</v>
      </c>
      <c r="L40" t="s">
        <v>883</v>
      </c>
    </row>
    <row r="41" spans="1:12" x14ac:dyDescent="0.35">
      <c r="A41">
        <v>0.100470180706661</v>
      </c>
      <c r="B41">
        <v>9.1027084037313494E-2</v>
      </c>
      <c r="C41">
        <v>7.0641984000731503E-2</v>
      </c>
      <c r="D41">
        <v>0.118355060703055</v>
      </c>
      <c r="E41" t="s">
        <v>1431</v>
      </c>
      <c r="F41" t="s">
        <v>1392</v>
      </c>
      <c r="G41">
        <v>26.596</v>
      </c>
      <c r="H41">
        <v>1.7211045666641198E-2</v>
      </c>
      <c r="I41">
        <v>35.753999999999998</v>
      </c>
      <c r="J41">
        <v>2.83594109526E-2</v>
      </c>
      <c r="K41" t="s">
        <v>922</v>
      </c>
      <c r="L41" t="s">
        <v>883</v>
      </c>
    </row>
    <row r="42" spans="1:12" x14ac:dyDescent="0.35">
      <c r="A42">
        <v>0.12552467874009099</v>
      </c>
      <c r="B42">
        <v>8.1451601423466094E-2</v>
      </c>
      <c r="C42">
        <v>0.106909632651843</v>
      </c>
      <c r="D42">
        <v>0.113864763230328</v>
      </c>
      <c r="E42" t="s">
        <v>1432</v>
      </c>
      <c r="F42" t="s">
        <v>1392</v>
      </c>
      <c r="G42">
        <v>27.28</v>
      </c>
      <c r="H42">
        <v>2.5718153105730199E-2</v>
      </c>
      <c r="I42">
        <v>36.731000000000002</v>
      </c>
      <c r="J42">
        <v>2.7325613917324101E-2</v>
      </c>
      <c r="K42" t="s">
        <v>923</v>
      </c>
      <c r="L42" t="s">
        <v>883</v>
      </c>
    </row>
    <row r="43" spans="1:12" x14ac:dyDescent="0.35">
      <c r="A43">
        <v>0.101539889707692</v>
      </c>
      <c r="B43">
        <v>0.163874229132176</v>
      </c>
      <c r="C43">
        <v>0.11299973225785501</v>
      </c>
      <c r="D43">
        <v>0.119816075191493</v>
      </c>
      <c r="E43" t="s">
        <v>1433</v>
      </c>
      <c r="F43" t="s">
        <v>1392</v>
      </c>
      <c r="G43">
        <v>28.02</v>
      </c>
      <c r="H43">
        <v>2.7126099706744799E-2</v>
      </c>
      <c r="I43">
        <v>37.784999999999997</v>
      </c>
      <c r="J43">
        <v>2.8695107674715899E-2</v>
      </c>
      <c r="K43" t="s">
        <v>924</v>
      </c>
      <c r="L43" t="s">
        <v>883</v>
      </c>
    </row>
    <row r="44" spans="1:12" x14ac:dyDescent="0.35">
      <c r="A44">
        <v>9.6919062654431398E-2</v>
      </c>
      <c r="B44">
        <v>4.1150587007602997E-2</v>
      </c>
      <c r="C44">
        <v>0.115930396885483</v>
      </c>
      <c r="D44">
        <v>0.138106666956619</v>
      </c>
      <c r="E44" t="s">
        <v>1434</v>
      </c>
      <c r="F44" t="s">
        <v>1392</v>
      </c>
      <c r="G44">
        <v>28.798999999999999</v>
      </c>
      <c r="H44">
        <v>2.7801570306923699E-2</v>
      </c>
      <c r="I44">
        <v>39.027000000000001</v>
      </c>
      <c r="J44">
        <v>3.2870186581977198E-2</v>
      </c>
      <c r="K44" t="s">
        <v>925</v>
      </c>
      <c r="L44" t="s">
        <v>883</v>
      </c>
    </row>
    <row r="45" spans="1:12" x14ac:dyDescent="0.35">
      <c r="A45">
        <v>0.102667735598145</v>
      </c>
      <c r="B45">
        <v>0.12591483160208999</v>
      </c>
      <c r="C45">
        <v>0.11071312036879399</v>
      </c>
      <c r="D45">
        <v>0.12373918134004901</v>
      </c>
      <c r="E45" t="s">
        <v>1435</v>
      </c>
      <c r="F45" t="s">
        <v>1392</v>
      </c>
      <c r="G45">
        <v>29.565000000000001</v>
      </c>
      <c r="H45">
        <v>2.65981457689504E-2</v>
      </c>
      <c r="I45">
        <v>40.182000000000002</v>
      </c>
      <c r="J45">
        <v>2.9594895841340601E-2</v>
      </c>
      <c r="K45" t="s">
        <v>926</v>
      </c>
      <c r="L45" t="s">
        <v>883</v>
      </c>
    </row>
    <row r="46" spans="1:12" x14ac:dyDescent="0.35">
      <c r="A46">
        <v>0.107873886984393</v>
      </c>
      <c r="B46">
        <v>8.2350511297398302E-2</v>
      </c>
      <c r="C46">
        <v>0.14097064786198199</v>
      </c>
      <c r="D46">
        <v>0.118188584098933</v>
      </c>
      <c r="E46" t="s">
        <v>1436</v>
      </c>
      <c r="F46" t="s">
        <v>1392</v>
      </c>
      <c r="G46">
        <v>30.556000000000001</v>
      </c>
      <c r="H46">
        <v>3.3519364112971399E-2</v>
      </c>
      <c r="I46">
        <v>41.32</v>
      </c>
      <c r="J46">
        <v>2.8321138818376401E-2</v>
      </c>
      <c r="K46" t="s">
        <v>927</v>
      </c>
      <c r="L46" t="s">
        <v>883</v>
      </c>
    </row>
    <row r="47" spans="1:12" x14ac:dyDescent="0.35">
      <c r="A47">
        <v>6.8864078536554199E-2</v>
      </c>
      <c r="B47">
        <v>9.6264819656522296E-2</v>
      </c>
      <c r="C47">
        <v>8.6310442735713797E-2</v>
      </c>
      <c r="D47">
        <v>9.9129163647753094E-2</v>
      </c>
      <c r="E47" t="s">
        <v>1437</v>
      </c>
      <c r="F47" t="s">
        <v>1392</v>
      </c>
      <c r="G47">
        <v>31.195</v>
      </c>
      <c r="H47">
        <v>2.0912423092027701E-2</v>
      </c>
      <c r="I47">
        <v>42.308</v>
      </c>
      <c r="J47">
        <v>2.39109390125847E-2</v>
      </c>
      <c r="K47" t="s">
        <v>928</v>
      </c>
      <c r="L47" t="s">
        <v>883</v>
      </c>
    </row>
    <row r="48" spans="1:12" x14ac:dyDescent="0.35">
      <c r="A48">
        <v>6.7510216956085903E-2</v>
      </c>
      <c r="B48">
        <v>9.0754628296435505E-2</v>
      </c>
      <c r="C48">
        <v>4.8692861535788202E-2</v>
      </c>
      <c r="D48">
        <v>8.4524586959714404E-2</v>
      </c>
      <c r="E48" t="s">
        <v>1438</v>
      </c>
      <c r="F48" t="s">
        <v>1392</v>
      </c>
      <c r="G48">
        <v>31.568000000000001</v>
      </c>
      <c r="H48">
        <v>1.1957044398140699E-2</v>
      </c>
      <c r="I48">
        <v>43.174999999999997</v>
      </c>
      <c r="J48">
        <v>2.0492578235794499E-2</v>
      </c>
      <c r="K48" t="s">
        <v>929</v>
      </c>
      <c r="L48" t="s">
        <v>883</v>
      </c>
    </row>
    <row r="49" spans="1:12" x14ac:dyDescent="0.35">
      <c r="A49">
        <v>6.2684205945477106E-2</v>
      </c>
      <c r="B49">
        <v>7.8781408158281802E-2</v>
      </c>
      <c r="C49">
        <v>6.2752816594642893E-2</v>
      </c>
      <c r="D49">
        <v>7.3171075998094998E-2</v>
      </c>
      <c r="E49" t="s">
        <v>1439</v>
      </c>
      <c r="F49" t="s">
        <v>1392</v>
      </c>
      <c r="G49">
        <v>32.052</v>
      </c>
      <c r="H49">
        <v>1.53319817536746E-2</v>
      </c>
      <c r="I49">
        <v>43.944000000000003</v>
      </c>
      <c r="J49">
        <v>1.7811233352634799E-2</v>
      </c>
      <c r="K49" t="s">
        <v>930</v>
      </c>
      <c r="L49" t="s">
        <v>883</v>
      </c>
    </row>
    <row r="50" spans="1:12" x14ac:dyDescent="0.35">
      <c r="A50">
        <v>5.1825632418063497E-2</v>
      </c>
      <c r="B50">
        <v>6.5520529029189395E-2</v>
      </c>
      <c r="C50">
        <v>7.2002334651775995E-2</v>
      </c>
      <c r="D50">
        <v>5.7261419360111997E-2</v>
      </c>
      <c r="E50" t="s">
        <v>1440</v>
      </c>
      <c r="F50" t="s">
        <v>1392</v>
      </c>
      <c r="G50">
        <v>32.613999999999997</v>
      </c>
      <c r="H50">
        <v>1.7534007238237701E-2</v>
      </c>
      <c r="I50">
        <v>44.56</v>
      </c>
      <c r="J50">
        <v>1.40178408884035E-2</v>
      </c>
      <c r="K50" t="s">
        <v>931</v>
      </c>
      <c r="L50" t="s">
        <v>883</v>
      </c>
    </row>
    <row r="51" spans="1:12" x14ac:dyDescent="0.35">
      <c r="A51">
        <v>3.9076838958162399E-2</v>
      </c>
      <c r="B51">
        <v>8.1541548822787496E-2</v>
      </c>
      <c r="C51">
        <v>6.5317850608274997E-2</v>
      </c>
      <c r="D51">
        <v>6.8572049720328196E-2</v>
      </c>
      <c r="E51" t="s">
        <v>1441</v>
      </c>
      <c r="F51" t="s">
        <v>1392</v>
      </c>
      <c r="G51">
        <v>33.134</v>
      </c>
      <c r="H51">
        <v>1.5944073097442901E-2</v>
      </c>
      <c r="I51">
        <v>45.305</v>
      </c>
      <c r="J51">
        <v>1.6719030520646199E-2</v>
      </c>
      <c r="K51" t="s">
        <v>932</v>
      </c>
      <c r="L51" t="s">
        <v>883</v>
      </c>
    </row>
    <row r="52" spans="1:12" x14ac:dyDescent="0.35">
      <c r="A52">
        <v>6.4698202701339205E-2</v>
      </c>
      <c r="B52">
        <v>3.4072636599968002E-2</v>
      </c>
      <c r="C52">
        <v>6.8068638365729198E-2</v>
      </c>
      <c r="D52">
        <v>4.8078704643683703E-2</v>
      </c>
      <c r="E52" t="s">
        <v>1442</v>
      </c>
      <c r="F52" t="s">
        <v>1392</v>
      </c>
      <c r="G52">
        <v>33.683999999999997</v>
      </c>
      <c r="H52">
        <v>1.65992635963059E-2</v>
      </c>
      <c r="I52">
        <v>45.84</v>
      </c>
      <c r="J52">
        <v>1.1808851120185501E-2</v>
      </c>
      <c r="K52" t="s">
        <v>933</v>
      </c>
      <c r="L52" t="s">
        <v>883</v>
      </c>
    </row>
    <row r="53" spans="1:12" x14ac:dyDescent="0.35">
      <c r="A53">
        <v>4.4829664945906803E-2</v>
      </c>
      <c r="B53">
        <v>4.8009313734526098E-2</v>
      </c>
      <c r="C53">
        <v>6.1455443169872802E-2</v>
      </c>
      <c r="D53">
        <v>1.01606507354322E-2</v>
      </c>
      <c r="E53" t="s">
        <v>1443</v>
      </c>
      <c r="F53" t="s">
        <v>1392</v>
      </c>
      <c r="G53">
        <v>34.19</v>
      </c>
      <c r="H53">
        <v>1.5021968887305399E-2</v>
      </c>
      <c r="I53">
        <v>45.956000000000003</v>
      </c>
      <c r="J53">
        <v>2.5305410122164998E-3</v>
      </c>
      <c r="K53" t="s">
        <v>934</v>
      </c>
      <c r="L53" t="s">
        <v>883</v>
      </c>
    </row>
    <row r="54" spans="1:12" x14ac:dyDescent="0.35">
      <c r="A54">
        <v>3.3496613159939903E-2</v>
      </c>
      <c r="B54">
        <v>7.5539459294806698E-3</v>
      </c>
      <c r="C54">
        <v>3.4722196261408399E-2</v>
      </c>
      <c r="D54">
        <v>3.7479666516224701E-3</v>
      </c>
      <c r="E54" t="s">
        <v>1444</v>
      </c>
      <c r="F54" t="s">
        <v>1392</v>
      </c>
      <c r="G54">
        <v>34.482999999999997</v>
      </c>
      <c r="H54">
        <v>8.5697572389587008E-3</v>
      </c>
      <c r="I54">
        <v>45.999000000000002</v>
      </c>
      <c r="J54">
        <v>9.3567760466539696E-4</v>
      </c>
      <c r="K54" t="s">
        <v>935</v>
      </c>
      <c r="L54" t="s">
        <v>883</v>
      </c>
    </row>
    <row r="55" spans="1:12" x14ac:dyDescent="0.35">
      <c r="A55">
        <v>3.7100673423204902E-2</v>
      </c>
      <c r="B55">
        <v>3.1269437697415199E-2</v>
      </c>
      <c r="C55">
        <v>5.5765239502398901E-2</v>
      </c>
      <c r="D55">
        <v>-5.3805310591299397E-3</v>
      </c>
      <c r="E55" t="s">
        <v>1445</v>
      </c>
      <c r="F55" t="s">
        <v>1392</v>
      </c>
      <c r="G55">
        <v>34.954000000000001</v>
      </c>
      <c r="H55">
        <v>1.36589043876694E-2</v>
      </c>
      <c r="I55">
        <v>45.936999999999998</v>
      </c>
      <c r="J55">
        <v>-1.3478553881607299E-3</v>
      </c>
      <c r="K55" t="s">
        <v>936</v>
      </c>
      <c r="L55" t="s">
        <v>883</v>
      </c>
    </row>
    <row r="56" spans="1:12" x14ac:dyDescent="0.35">
      <c r="A56">
        <v>5.3607020035561601E-2</v>
      </c>
      <c r="B56">
        <v>4.5007889346835098E-2</v>
      </c>
      <c r="C56">
        <v>4.7632291898301399E-2</v>
      </c>
      <c r="D56">
        <v>2.2658930308778699E-3</v>
      </c>
      <c r="E56" t="s">
        <v>1446</v>
      </c>
      <c r="F56" t="s">
        <v>1392</v>
      </c>
      <c r="G56">
        <v>35.363</v>
      </c>
      <c r="H56">
        <v>1.17010928649082E-2</v>
      </c>
      <c r="I56">
        <v>45.963000000000001</v>
      </c>
      <c r="J56">
        <v>5.6599255502098899E-4</v>
      </c>
      <c r="K56" t="s">
        <v>937</v>
      </c>
      <c r="L56" t="s">
        <v>883</v>
      </c>
    </row>
    <row r="57" spans="1:12" x14ac:dyDescent="0.35">
      <c r="A57">
        <v>2.6644627827705498E-2</v>
      </c>
      <c r="B57">
        <v>2.64126969592136E-2</v>
      </c>
      <c r="C57">
        <v>3.7969215238040602E-2</v>
      </c>
      <c r="D57">
        <v>-1.13086488994096E-3</v>
      </c>
      <c r="E57" t="s">
        <v>1447</v>
      </c>
      <c r="F57" t="s">
        <v>1392</v>
      </c>
      <c r="G57">
        <v>35.694000000000003</v>
      </c>
      <c r="H57">
        <v>9.3600656052936805E-3</v>
      </c>
      <c r="I57">
        <v>45.95</v>
      </c>
      <c r="J57">
        <v>-2.82836194330227E-4</v>
      </c>
      <c r="K57" t="s">
        <v>938</v>
      </c>
      <c r="L57" t="s">
        <v>883</v>
      </c>
    </row>
    <row r="58" spans="1:12" x14ac:dyDescent="0.35">
      <c r="A58">
        <v>4.3935723897537297E-2</v>
      </c>
      <c r="B58">
        <v>5.28225710519643E-2</v>
      </c>
      <c r="C58">
        <v>7.2018998740306803E-2</v>
      </c>
      <c r="D58">
        <v>4.3596665649268101E-3</v>
      </c>
      <c r="E58" t="s">
        <v>1448</v>
      </c>
      <c r="F58" t="s">
        <v>1392</v>
      </c>
      <c r="G58">
        <v>36.32</v>
      </c>
      <c r="H58">
        <v>1.7537961562167099E-2</v>
      </c>
      <c r="I58">
        <v>46</v>
      </c>
      <c r="J58">
        <v>1.0881392818280499E-3</v>
      </c>
      <c r="K58" t="s">
        <v>939</v>
      </c>
      <c r="L58" t="s">
        <v>883</v>
      </c>
    </row>
    <row r="59" spans="1:12" x14ac:dyDescent="0.35">
      <c r="A59">
        <v>3.93022623248813E-2</v>
      </c>
      <c r="B59">
        <v>4.0487191821635002E-2</v>
      </c>
      <c r="C59">
        <v>4.4330796852368702E-2</v>
      </c>
      <c r="D59">
        <v>1.4249428601276599E-2</v>
      </c>
      <c r="E59" t="s">
        <v>1449</v>
      </c>
      <c r="F59" t="s">
        <v>1392</v>
      </c>
      <c r="G59">
        <v>36.716000000000001</v>
      </c>
      <c r="H59">
        <v>1.09030837004405E-2</v>
      </c>
      <c r="I59">
        <v>46.162999999999997</v>
      </c>
      <c r="J59">
        <v>3.5434782608694299E-3</v>
      </c>
      <c r="K59" t="s">
        <v>940</v>
      </c>
      <c r="L59" t="s">
        <v>883</v>
      </c>
    </row>
    <row r="60" spans="1:12" x14ac:dyDescent="0.35">
      <c r="A60">
        <v>3.1206818640470101E-2</v>
      </c>
      <c r="B60">
        <v>6.08178890509075E-2</v>
      </c>
      <c r="C60">
        <v>4.3619950255883798E-2</v>
      </c>
      <c r="D60">
        <v>1.29734153291148E-2</v>
      </c>
      <c r="E60" t="s">
        <v>1450</v>
      </c>
      <c r="F60" t="s">
        <v>1392</v>
      </c>
      <c r="G60">
        <v>37.11</v>
      </c>
      <c r="H60">
        <v>1.07310164505936E-2</v>
      </c>
      <c r="I60">
        <v>46.311999999999998</v>
      </c>
      <c r="J60">
        <v>3.22769317418703E-3</v>
      </c>
      <c r="K60" t="s">
        <v>941</v>
      </c>
      <c r="L60" t="s">
        <v>883</v>
      </c>
    </row>
    <row r="61" spans="1:12" x14ac:dyDescent="0.35">
      <c r="A61">
        <v>2.4937045869749999E-2</v>
      </c>
      <c r="B61">
        <v>5.0188195911601098E-2</v>
      </c>
      <c r="C61">
        <v>4.8053419713626901E-2</v>
      </c>
      <c r="D61">
        <v>8.1435979249952998E-3</v>
      </c>
      <c r="E61" t="s">
        <v>1451</v>
      </c>
      <c r="F61" t="s">
        <v>1392</v>
      </c>
      <c r="G61">
        <v>37.548000000000002</v>
      </c>
      <c r="H61">
        <v>1.1802748585286999E-2</v>
      </c>
      <c r="I61">
        <v>46.405999999999999</v>
      </c>
      <c r="J61">
        <v>2.0297115218517198E-3</v>
      </c>
      <c r="K61" t="s">
        <v>942</v>
      </c>
      <c r="L61" t="s">
        <v>883</v>
      </c>
    </row>
    <row r="62" spans="1:12" x14ac:dyDescent="0.35">
      <c r="A62">
        <v>4.8021891562025902E-2</v>
      </c>
      <c r="B62">
        <v>-1.5869949670850401E-2</v>
      </c>
      <c r="C62">
        <v>5.3895269710959599E-2</v>
      </c>
      <c r="D62">
        <v>2.2424648618448499E-2</v>
      </c>
      <c r="E62" t="s">
        <v>1452</v>
      </c>
      <c r="F62" t="s">
        <v>1392</v>
      </c>
      <c r="G62">
        <v>38.043999999999997</v>
      </c>
      <c r="H62">
        <v>1.3209758176201E-2</v>
      </c>
      <c r="I62">
        <v>46.664000000000001</v>
      </c>
      <c r="J62">
        <v>5.5596259104426799E-3</v>
      </c>
      <c r="K62" t="s">
        <v>943</v>
      </c>
      <c r="L62" t="s">
        <v>883</v>
      </c>
    </row>
    <row r="63" spans="1:12" x14ac:dyDescent="0.35">
      <c r="A63">
        <v>3.2831975950411901E-2</v>
      </c>
      <c r="B63">
        <v>9.4485381047573203E-3</v>
      </c>
      <c r="C63">
        <v>4.6526948089148097E-2</v>
      </c>
      <c r="D63">
        <v>1.2400816449865701E-2</v>
      </c>
      <c r="E63" t="s">
        <v>1453</v>
      </c>
      <c r="F63" t="s">
        <v>1392</v>
      </c>
      <c r="G63">
        <v>38.478999999999999</v>
      </c>
      <c r="H63">
        <v>1.1434128903375E-2</v>
      </c>
      <c r="I63">
        <v>46.808</v>
      </c>
      <c r="J63">
        <v>3.0858906223212301E-3</v>
      </c>
      <c r="K63" t="s">
        <v>944</v>
      </c>
      <c r="L63" t="s">
        <v>883</v>
      </c>
    </row>
    <row r="64" spans="1:12" x14ac:dyDescent="0.35">
      <c r="A64">
        <v>3.1711964087017402E-2</v>
      </c>
      <c r="B64">
        <v>2.1519541922931699E-2</v>
      </c>
      <c r="C64">
        <v>3.7630817464174598E-2</v>
      </c>
      <c r="D64">
        <v>1.6508679737656601E-2</v>
      </c>
      <c r="E64" t="s">
        <v>1454</v>
      </c>
      <c r="F64" t="s">
        <v>1392</v>
      </c>
      <c r="G64">
        <v>38.835999999999999</v>
      </c>
      <c r="H64">
        <v>9.2777878843004497E-3</v>
      </c>
      <c r="I64">
        <v>47</v>
      </c>
      <c r="J64">
        <v>4.1018629294138397E-3</v>
      </c>
      <c r="K64" t="s">
        <v>945</v>
      </c>
      <c r="L64" t="s">
        <v>883</v>
      </c>
    </row>
    <row r="65" spans="1:12" x14ac:dyDescent="0.35">
      <c r="A65">
        <v>2.8237310351865798E-2</v>
      </c>
      <c r="B65">
        <v>2.6513418939119401E-2</v>
      </c>
      <c r="C65">
        <v>4.0884190168569902E-2</v>
      </c>
      <c r="D65">
        <v>2.40435812756121E-2</v>
      </c>
      <c r="E65" t="s">
        <v>1455</v>
      </c>
      <c r="F65" t="s">
        <v>1392</v>
      </c>
      <c r="G65">
        <v>39.226999999999997</v>
      </c>
      <c r="H65">
        <v>1.0067978164589601E-2</v>
      </c>
      <c r="I65">
        <v>47.28</v>
      </c>
      <c r="J65">
        <v>5.9574468085106204E-3</v>
      </c>
      <c r="K65" t="s">
        <v>946</v>
      </c>
      <c r="L65" t="s">
        <v>883</v>
      </c>
    </row>
    <row r="66" spans="1:12" x14ac:dyDescent="0.35">
      <c r="A66">
        <v>2.86487834236928E-2</v>
      </c>
      <c r="B66">
        <v>-1.00878062845416E-2</v>
      </c>
      <c r="C66">
        <v>1.47648166353573E-2</v>
      </c>
      <c r="D66">
        <v>2.5106061305751201E-2</v>
      </c>
      <c r="E66" t="s">
        <v>1456</v>
      </c>
      <c r="F66" t="s">
        <v>1392</v>
      </c>
      <c r="G66">
        <v>39.371000000000002</v>
      </c>
      <c r="H66">
        <v>3.6709409335409201E-3</v>
      </c>
      <c r="I66">
        <v>47.573999999999998</v>
      </c>
      <c r="J66">
        <v>6.2182741116749698E-3</v>
      </c>
      <c r="K66" t="s">
        <v>947</v>
      </c>
      <c r="L66" t="s">
        <v>883</v>
      </c>
    </row>
    <row r="67" spans="1:12" x14ac:dyDescent="0.35">
      <c r="A67">
        <v>-4.2153079272678803E-3</v>
      </c>
      <c r="B67">
        <v>-9.8843189037382002E-3</v>
      </c>
      <c r="C67">
        <v>1.2042523964300099E-2</v>
      </c>
      <c r="D67">
        <v>4.1753162692227598E-2</v>
      </c>
      <c r="E67" t="s">
        <v>1457</v>
      </c>
      <c r="F67" t="s">
        <v>1392</v>
      </c>
      <c r="G67">
        <v>39.488999999999997</v>
      </c>
      <c r="H67">
        <v>2.9971298671609401E-3</v>
      </c>
      <c r="I67">
        <v>48.063000000000002</v>
      </c>
      <c r="J67">
        <v>1.02787236725943E-2</v>
      </c>
      <c r="K67" t="s">
        <v>948</v>
      </c>
      <c r="L67" t="s">
        <v>883</v>
      </c>
    </row>
    <row r="68" spans="1:12" x14ac:dyDescent="0.35">
      <c r="A68">
        <v>2.1224970793817698E-2</v>
      </c>
      <c r="B68">
        <v>5.6401548408471199E-3</v>
      </c>
      <c r="C68">
        <v>3.4679470629119601E-2</v>
      </c>
      <c r="D68">
        <v>3.6953475595025202E-2</v>
      </c>
      <c r="E68" t="s">
        <v>1458</v>
      </c>
      <c r="F68" t="s">
        <v>1392</v>
      </c>
      <c r="G68">
        <v>39.826999999999998</v>
      </c>
      <c r="H68">
        <v>8.5593456405581598E-3</v>
      </c>
      <c r="I68">
        <v>48.500999999999998</v>
      </c>
      <c r="J68">
        <v>9.1130391361338194E-3</v>
      </c>
      <c r="K68" t="s">
        <v>949</v>
      </c>
      <c r="L68" t="s">
        <v>883</v>
      </c>
    </row>
    <row r="69" spans="1:12" x14ac:dyDescent="0.35">
      <c r="A69">
        <v>2.4413629868112598E-2</v>
      </c>
      <c r="B69">
        <v>4.55022354216461E-3</v>
      </c>
      <c r="C69">
        <v>5.3779833992726497E-2</v>
      </c>
      <c r="D69">
        <v>4.4006184582173501E-2</v>
      </c>
      <c r="E69" t="s">
        <v>1459</v>
      </c>
      <c r="F69" t="s">
        <v>1392</v>
      </c>
      <c r="G69">
        <v>40.351999999999997</v>
      </c>
      <c r="H69">
        <v>1.3182012202777E-2</v>
      </c>
      <c r="I69">
        <v>49.026000000000003</v>
      </c>
      <c r="J69">
        <v>1.08245190820808E-2</v>
      </c>
      <c r="K69" t="s">
        <v>950</v>
      </c>
      <c r="L69" t="s">
        <v>883</v>
      </c>
    </row>
    <row r="70" spans="1:12" x14ac:dyDescent="0.35">
      <c r="A70">
        <v>3.8220568833408297E-2</v>
      </c>
      <c r="B70">
        <v>-6.8268953681047701E-3</v>
      </c>
      <c r="C70">
        <v>6.6318650583382599E-2</v>
      </c>
      <c r="D70">
        <v>2.5866237951436302E-2</v>
      </c>
      <c r="E70" t="s">
        <v>1460</v>
      </c>
      <c r="F70" t="s">
        <v>1392</v>
      </c>
      <c r="G70">
        <v>41.005000000000003</v>
      </c>
      <c r="H70">
        <v>1.61825931800159E-2</v>
      </c>
      <c r="I70">
        <v>49.34</v>
      </c>
      <c r="J70">
        <v>6.4047648186675897E-3</v>
      </c>
      <c r="K70" t="s">
        <v>951</v>
      </c>
      <c r="L70" t="s">
        <v>883</v>
      </c>
    </row>
    <row r="71" spans="1:12" x14ac:dyDescent="0.35">
      <c r="A71">
        <v>3.9129087464599803E-2</v>
      </c>
      <c r="B71">
        <v>1.9164012541417402E-2</v>
      </c>
      <c r="C71">
        <v>5.3726223643289599E-2</v>
      </c>
      <c r="D71">
        <v>3.4070959420577702E-2</v>
      </c>
      <c r="E71" t="s">
        <v>1461</v>
      </c>
      <c r="F71" t="s">
        <v>1392</v>
      </c>
      <c r="G71">
        <v>41.545000000000002</v>
      </c>
      <c r="H71">
        <v>1.3169125716376E-2</v>
      </c>
      <c r="I71">
        <v>49.755000000000003</v>
      </c>
      <c r="J71">
        <v>8.4110255370895004E-3</v>
      </c>
      <c r="K71" t="s">
        <v>952</v>
      </c>
      <c r="L71" t="s">
        <v>883</v>
      </c>
    </row>
    <row r="72" spans="1:12" x14ac:dyDescent="0.35">
      <c r="A72">
        <v>3.8454021368670203E-2</v>
      </c>
      <c r="B72">
        <v>2.9219770282175001E-2</v>
      </c>
      <c r="C72">
        <v>5.1713813262120399E-2</v>
      </c>
      <c r="D72">
        <v>3.6092988240003197E-2</v>
      </c>
      <c r="E72" t="s">
        <v>1462</v>
      </c>
      <c r="F72" t="s">
        <v>1392</v>
      </c>
      <c r="G72">
        <v>42.072000000000003</v>
      </c>
      <c r="H72">
        <v>1.2685040317727899E-2</v>
      </c>
      <c r="I72">
        <v>50.198</v>
      </c>
      <c r="J72">
        <v>8.9036277761027592E-3</v>
      </c>
      <c r="K72" t="s">
        <v>953</v>
      </c>
      <c r="L72" t="s">
        <v>883</v>
      </c>
    </row>
    <row r="73" spans="1:12" x14ac:dyDescent="0.35">
      <c r="A73">
        <v>3.5013174112648898E-2</v>
      </c>
      <c r="B73">
        <v>8.3996255435596599E-3</v>
      </c>
      <c r="C73">
        <v>2.4659104438458999E-2</v>
      </c>
      <c r="D73">
        <v>2.13651369698558E-2</v>
      </c>
      <c r="E73" t="s">
        <v>1463</v>
      </c>
      <c r="F73" t="s">
        <v>1392</v>
      </c>
      <c r="G73">
        <v>42.329000000000001</v>
      </c>
      <c r="H73">
        <v>6.1085757748620103E-3</v>
      </c>
      <c r="I73">
        <v>50.463999999999999</v>
      </c>
      <c r="J73">
        <v>5.29901589704762E-3</v>
      </c>
      <c r="K73" t="s">
        <v>954</v>
      </c>
      <c r="L73" t="s">
        <v>883</v>
      </c>
    </row>
    <row r="74" spans="1:12" x14ac:dyDescent="0.35">
      <c r="A74">
        <v>3.19577361885768E-2</v>
      </c>
      <c r="B74">
        <v>5.5666299963321703E-2</v>
      </c>
      <c r="C74">
        <v>1.7884305064996799E-2</v>
      </c>
      <c r="D74">
        <v>3.2571809116936898E-2</v>
      </c>
      <c r="E74" t="s">
        <v>1464</v>
      </c>
      <c r="F74" t="s">
        <v>1392</v>
      </c>
      <c r="G74">
        <v>42.517000000000003</v>
      </c>
      <c r="H74">
        <v>4.4413995133361101E-3</v>
      </c>
      <c r="I74">
        <v>50.87</v>
      </c>
      <c r="J74">
        <v>8.0453392517438899E-3</v>
      </c>
      <c r="K74" t="s">
        <v>955</v>
      </c>
      <c r="L74" t="s">
        <v>883</v>
      </c>
    </row>
    <row r="75" spans="1:12" x14ac:dyDescent="0.35">
      <c r="A75">
        <v>4.4899260052234199E-2</v>
      </c>
      <c r="B75">
        <v>3.99278081765242E-2</v>
      </c>
      <c r="C75">
        <v>4.3789897152202203E-2</v>
      </c>
      <c r="D75">
        <v>2.2279292577718199E-2</v>
      </c>
      <c r="E75" t="s">
        <v>1465</v>
      </c>
      <c r="F75" t="s">
        <v>1392</v>
      </c>
      <c r="G75">
        <v>42.975000000000001</v>
      </c>
      <c r="H75">
        <v>1.0772161723545901E-2</v>
      </c>
      <c r="I75">
        <v>51.151000000000003</v>
      </c>
      <c r="J75">
        <v>5.5238844112444098E-3</v>
      </c>
      <c r="K75" t="s">
        <v>956</v>
      </c>
      <c r="L75" t="s">
        <v>883</v>
      </c>
    </row>
    <row r="76" spans="1:12" x14ac:dyDescent="0.35">
      <c r="A76">
        <v>5.0215068802573502E-2</v>
      </c>
      <c r="B76">
        <v>2.3053377277420399E-2</v>
      </c>
      <c r="C76">
        <v>3.6032445200426998E-2</v>
      </c>
      <c r="D76">
        <v>2.6056753006691701E-2</v>
      </c>
      <c r="E76" t="s">
        <v>1466</v>
      </c>
      <c r="F76" t="s">
        <v>1392</v>
      </c>
      <c r="G76">
        <v>43.356999999999999</v>
      </c>
      <c r="H76">
        <v>8.8888888888889496E-3</v>
      </c>
      <c r="I76">
        <v>51.481000000000002</v>
      </c>
      <c r="J76">
        <v>6.45148677445206E-3</v>
      </c>
      <c r="K76" t="s">
        <v>957</v>
      </c>
      <c r="L76" t="s">
        <v>883</v>
      </c>
    </row>
    <row r="77" spans="1:12" x14ac:dyDescent="0.35">
      <c r="A77">
        <v>4.1025346631292002E-2</v>
      </c>
      <c r="B77">
        <v>3.2561998713341901E-2</v>
      </c>
      <c r="C77">
        <v>5.2865449677459202E-2</v>
      </c>
      <c r="D77">
        <v>2.13020937510979E-2</v>
      </c>
      <c r="E77" t="s">
        <v>1467</v>
      </c>
      <c r="F77" t="s">
        <v>1392</v>
      </c>
      <c r="G77">
        <v>43.918999999999997</v>
      </c>
      <c r="H77">
        <v>1.29621514403671E-2</v>
      </c>
      <c r="I77">
        <v>51.753</v>
      </c>
      <c r="J77">
        <v>5.2835026514637101E-3</v>
      </c>
      <c r="K77" t="s">
        <v>958</v>
      </c>
      <c r="L77" t="s">
        <v>883</v>
      </c>
    </row>
    <row r="78" spans="1:12" x14ac:dyDescent="0.35">
      <c r="A78">
        <v>4.6770164599538401E-2</v>
      </c>
      <c r="B78">
        <v>3.00519488200592E-2</v>
      </c>
      <c r="C78">
        <v>6.2050852369377699E-2</v>
      </c>
      <c r="D78">
        <v>1.9463013158635498E-2</v>
      </c>
      <c r="E78" t="s">
        <v>1468</v>
      </c>
      <c r="F78" t="s">
        <v>1392</v>
      </c>
      <c r="G78">
        <v>44.585000000000001</v>
      </c>
      <c r="H78">
        <v>1.5164279696714401E-2</v>
      </c>
      <c r="I78">
        <v>52.003</v>
      </c>
      <c r="J78">
        <v>4.8306378374200999E-3</v>
      </c>
      <c r="K78" t="s">
        <v>959</v>
      </c>
      <c r="L78" t="s">
        <v>883</v>
      </c>
    </row>
    <row r="79" spans="1:12" x14ac:dyDescent="0.35">
      <c r="A79">
        <v>5.4994617531312101E-2</v>
      </c>
      <c r="B79">
        <v>2.9679316947533299E-2</v>
      </c>
      <c r="C79">
        <v>6.0821876360983101E-2</v>
      </c>
      <c r="D79">
        <v>3.2856918868300999E-2</v>
      </c>
      <c r="E79" t="s">
        <v>1469</v>
      </c>
      <c r="F79" t="s">
        <v>1392</v>
      </c>
      <c r="G79">
        <v>45.247999999999998</v>
      </c>
      <c r="H79">
        <v>1.48704721318829E-2</v>
      </c>
      <c r="I79">
        <v>52.424999999999997</v>
      </c>
      <c r="J79">
        <v>8.1149164471279196E-3</v>
      </c>
      <c r="K79" t="s">
        <v>960</v>
      </c>
      <c r="L79" t="s">
        <v>883</v>
      </c>
    </row>
    <row r="80" spans="1:12" x14ac:dyDescent="0.35">
      <c r="A80">
        <v>2.3822978628153201E-2</v>
      </c>
      <c r="B80">
        <v>2.0057150963272801E-2</v>
      </c>
      <c r="C80">
        <v>3.9922896172757301E-2</v>
      </c>
      <c r="D80">
        <v>3.0012482573731999E-2</v>
      </c>
      <c r="E80" t="s">
        <v>1470</v>
      </c>
      <c r="F80" t="s">
        <v>1392</v>
      </c>
      <c r="G80">
        <v>45.692999999999998</v>
      </c>
      <c r="H80">
        <v>9.8346888260254506E-3</v>
      </c>
      <c r="I80">
        <v>52.814</v>
      </c>
      <c r="J80">
        <v>7.4201239866476002E-3</v>
      </c>
      <c r="K80" t="s">
        <v>961</v>
      </c>
      <c r="L80" t="s">
        <v>883</v>
      </c>
    </row>
    <row r="81" spans="1:12" x14ac:dyDescent="0.35">
      <c r="A81">
        <v>3.1803231650019199E-2</v>
      </c>
      <c r="B81">
        <v>1.4432124176051201E-2</v>
      </c>
      <c r="C81">
        <v>6.0046453160524503E-2</v>
      </c>
      <c r="D81">
        <v>2.2222434897181301E-2</v>
      </c>
      <c r="E81" t="s">
        <v>1471</v>
      </c>
      <c r="F81" t="s">
        <v>1392</v>
      </c>
      <c r="G81">
        <v>46.363999999999997</v>
      </c>
      <c r="H81">
        <v>1.46849626857506E-2</v>
      </c>
      <c r="I81">
        <v>53.104999999999997</v>
      </c>
      <c r="J81">
        <v>5.5099026773204303E-3</v>
      </c>
      <c r="K81" t="s">
        <v>962</v>
      </c>
      <c r="L81" t="s">
        <v>883</v>
      </c>
    </row>
    <row r="82" spans="1:12" x14ac:dyDescent="0.35">
      <c r="A82">
        <v>5.92740793130948E-2</v>
      </c>
      <c r="B82">
        <v>2.8330647899498702E-2</v>
      </c>
      <c r="C82">
        <v>6.4935137330784501E-2</v>
      </c>
      <c r="D82">
        <v>2.9085137772108E-2</v>
      </c>
      <c r="E82" t="s">
        <v>1472</v>
      </c>
      <c r="F82" t="s">
        <v>1392</v>
      </c>
      <c r="G82">
        <v>47.098999999999997</v>
      </c>
      <c r="H82">
        <v>1.5852816840652199E-2</v>
      </c>
      <c r="I82">
        <v>53.487000000000002</v>
      </c>
      <c r="J82">
        <v>7.1932962997835999E-3</v>
      </c>
      <c r="K82" t="s">
        <v>963</v>
      </c>
      <c r="L82" t="s">
        <v>883</v>
      </c>
    </row>
    <row r="83" spans="1:12" x14ac:dyDescent="0.35">
      <c r="A83">
        <v>3.6833081072387398E-2</v>
      </c>
      <c r="B83">
        <v>7.0464261662823505E-2</v>
      </c>
      <c r="C83">
        <v>4.34077415784246E-2</v>
      </c>
      <c r="D83">
        <v>3.5768290293157798E-2</v>
      </c>
      <c r="E83" t="s">
        <v>1473</v>
      </c>
      <c r="F83" t="s">
        <v>1392</v>
      </c>
      <c r="G83">
        <v>47.601999999999997</v>
      </c>
      <c r="H83">
        <v>1.0679632263954599E-2</v>
      </c>
      <c r="I83">
        <v>53.959000000000003</v>
      </c>
      <c r="J83">
        <v>8.8245741955990092E-3</v>
      </c>
      <c r="K83" t="s">
        <v>964</v>
      </c>
      <c r="L83" t="s">
        <v>883</v>
      </c>
    </row>
    <row r="84" spans="1:12" x14ac:dyDescent="0.35">
      <c r="A84">
        <v>5.1769155239957503E-2</v>
      </c>
      <c r="B84">
        <v>5.3870047588526803E-3</v>
      </c>
      <c r="C84">
        <v>5.9429132401131797E-2</v>
      </c>
      <c r="D84">
        <v>3.9413809912278698E-2</v>
      </c>
      <c r="E84" t="s">
        <v>1474</v>
      </c>
      <c r="F84" t="s">
        <v>1392</v>
      </c>
      <c r="G84">
        <v>48.293999999999997</v>
      </c>
      <c r="H84">
        <v>1.4537204319146299E-2</v>
      </c>
      <c r="I84">
        <v>54.482999999999997</v>
      </c>
      <c r="J84">
        <v>9.7110769287791499E-3</v>
      </c>
      <c r="K84" t="s">
        <v>965</v>
      </c>
      <c r="L84" t="s">
        <v>883</v>
      </c>
    </row>
    <row r="85" spans="1:12" x14ac:dyDescent="0.35">
      <c r="A85">
        <v>5.3985249536158401E-2</v>
      </c>
      <c r="B85">
        <v>4.8480456964960797E-2</v>
      </c>
      <c r="C85">
        <v>7.7879333039596599E-2</v>
      </c>
      <c r="D85">
        <v>1.0688095589023601E-2</v>
      </c>
      <c r="E85" t="s">
        <v>1475</v>
      </c>
      <c r="F85" t="s">
        <v>1392</v>
      </c>
      <c r="G85">
        <v>49.207999999999998</v>
      </c>
      <c r="H85">
        <v>1.8925746469540702E-2</v>
      </c>
      <c r="I85">
        <v>54.628</v>
      </c>
      <c r="J85">
        <v>2.66138061413668E-3</v>
      </c>
      <c r="K85" t="s">
        <v>966</v>
      </c>
      <c r="L85" t="s">
        <v>883</v>
      </c>
    </row>
    <row r="86" spans="1:12" x14ac:dyDescent="0.35">
      <c r="A86">
        <v>2.1158982786186002E-2</v>
      </c>
      <c r="B86">
        <v>3.6386290478485302E-2</v>
      </c>
      <c r="C86">
        <v>1.91574066493869E-2</v>
      </c>
      <c r="D86">
        <v>7.9315148019272197E-3</v>
      </c>
      <c r="E86" t="s">
        <v>1476</v>
      </c>
      <c r="F86" t="s">
        <v>1392</v>
      </c>
      <c r="G86">
        <v>49.442</v>
      </c>
      <c r="H86">
        <v>4.7553243375060301E-3</v>
      </c>
      <c r="I86">
        <v>54.735999999999997</v>
      </c>
      <c r="J86">
        <v>1.9770081276999601E-3</v>
      </c>
      <c r="K86" t="s">
        <v>967</v>
      </c>
      <c r="L86" t="s">
        <v>883</v>
      </c>
    </row>
    <row r="87" spans="1:12" x14ac:dyDescent="0.35">
      <c r="A87">
        <v>2.2052154501282398E-2</v>
      </c>
      <c r="B87">
        <v>1.9883287825612099E-2</v>
      </c>
      <c r="C87">
        <v>2.5316754451185201E-2</v>
      </c>
      <c r="D87">
        <v>2.0767815828135701E-2</v>
      </c>
      <c r="E87" t="s">
        <v>1477</v>
      </c>
      <c r="F87" t="s">
        <v>1392</v>
      </c>
      <c r="G87">
        <v>49.752000000000002</v>
      </c>
      <c r="H87">
        <v>6.2699728975366097E-3</v>
      </c>
      <c r="I87">
        <v>55.018000000000001</v>
      </c>
      <c r="J87">
        <v>5.1520023384976597E-3</v>
      </c>
      <c r="K87" t="s">
        <v>968</v>
      </c>
      <c r="L87" t="s">
        <v>883</v>
      </c>
    </row>
    <row r="88" spans="1:12" x14ac:dyDescent="0.35">
      <c r="A88">
        <v>2.7438615126695699E-2</v>
      </c>
      <c r="B88">
        <v>5.2374465161812503E-2</v>
      </c>
      <c r="C88">
        <v>3.8739820782161899E-2</v>
      </c>
      <c r="D88">
        <v>1.0657034721188501E-2</v>
      </c>
      <c r="E88" t="s">
        <v>1478</v>
      </c>
      <c r="F88" t="s">
        <v>1392</v>
      </c>
      <c r="G88">
        <v>50.226999999999997</v>
      </c>
      <c r="H88">
        <v>9.5473548802056402E-3</v>
      </c>
      <c r="I88">
        <v>55.164000000000001</v>
      </c>
      <c r="J88">
        <v>2.6536769784435399E-3</v>
      </c>
      <c r="K88" t="s">
        <v>969</v>
      </c>
      <c r="L88" t="s">
        <v>883</v>
      </c>
    </row>
    <row r="89" spans="1:12" x14ac:dyDescent="0.35">
      <c r="A89">
        <v>2.9370792816648401E-2</v>
      </c>
      <c r="B89">
        <v>4.1076934031538899E-2</v>
      </c>
      <c r="C89">
        <v>4.6254885206873202E-2</v>
      </c>
      <c r="D89">
        <v>-9.9690396175571294E-3</v>
      </c>
      <c r="E89" t="s">
        <v>1479</v>
      </c>
      <c r="F89" t="s">
        <v>1392</v>
      </c>
      <c r="G89">
        <v>50.798000000000002</v>
      </c>
      <c r="H89">
        <v>1.13683875206563E-2</v>
      </c>
      <c r="I89">
        <v>55.026000000000003</v>
      </c>
      <c r="J89">
        <v>-2.5016314988035599E-3</v>
      </c>
      <c r="K89" t="s">
        <v>970</v>
      </c>
      <c r="L89" t="s">
        <v>883</v>
      </c>
    </row>
    <row r="90" spans="1:12" x14ac:dyDescent="0.35">
      <c r="A90">
        <v>2.5261592124571599E-2</v>
      </c>
      <c r="B90">
        <v>5.8581566563336001E-3</v>
      </c>
      <c r="C90">
        <v>3.8335869645315497E-2</v>
      </c>
      <c r="D90">
        <v>-1.04267601108922E-2</v>
      </c>
      <c r="E90" t="s">
        <v>1480</v>
      </c>
      <c r="F90" t="s">
        <v>1392</v>
      </c>
      <c r="G90">
        <v>51.277999999999999</v>
      </c>
      <c r="H90">
        <v>9.4491909130280903E-3</v>
      </c>
      <c r="I90">
        <v>54.881999999999998</v>
      </c>
      <c r="J90">
        <v>-2.61694471704299E-3</v>
      </c>
      <c r="K90" t="s">
        <v>971</v>
      </c>
      <c r="L90" t="s">
        <v>883</v>
      </c>
    </row>
    <row r="91" spans="1:12" x14ac:dyDescent="0.35">
      <c r="A91">
        <v>2.6883329197386899E-2</v>
      </c>
      <c r="B91">
        <v>1.4672046081608801E-2</v>
      </c>
      <c r="C91">
        <v>5.5488923116520997E-2</v>
      </c>
      <c r="D91">
        <v>1.90848323659343E-2</v>
      </c>
      <c r="E91" t="s">
        <v>1481</v>
      </c>
      <c r="F91" t="s">
        <v>1392</v>
      </c>
      <c r="G91">
        <v>51.975000000000001</v>
      </c>
      <c r="H91">
        <v>1.35925738133313E-2</v>
      </c>
      <c r="I91">
        <v>55.142000000000003</v>
      </c>
      <c r="J91">
        <v>4.7374366823367299E-3</v>
      </c>
      <c r="K91" t="s">
        <v>972</v>
      </c>
      <c r="L91" t="s">
        <v>883</v>
      </c>
    </row>
    <row r="92" spans="1:12" x14ac:dyDescent="0.35">
      <c r="A92">
        <v>2.57889573012124E-2</v>
      </c>
      <c r="B92">
        <v>3.5352763805176303E-2</v>
      </c>
      <c r="C92">
        <v>3.4689577494526398E-2</v>
      </c>
      <c r="D92">
        <v>8.1492648352745594E-3</v>
      </c>
      <c r="E92" t="s">
        <v>1482</v>
      </c>
      <c r="F92" t="s">
        <v>1392</v>
      </c>
      <c r="G92">
        <v>52.42</v>
      </c>
      <c r="H92">
        <v>8.5618085618086592E-3</v>
      </c>
      <c r="I92">
        <v>55.253999999999998</v>
      </c>
      <c r="J92">
        <v>2.03111965470959E-3</v>
      </c>
      <c r="K92" t="s">
        <v>973</v>
      </c>
      <c r="L92" t="s">
        <v>883</v>
      </c>
    </row>
    <row r="93" spans="1:12" x14ac:dyDescent="0.35">
      <c r="A93">
        <v>2.8170464275272301E-2</v>
      </c>
      <c r="B93">
        <v>2.5395981622951001E-2</v>
      </c>
      <c r="C93">
        <v>2.9547347848341E-2</v>
      </c>
      <c r="D93">
        <v>1.8368205985927599E-2</v>
      </c>
      <c r="E93" t="s">
        <v>1483</v>
      </c>
      <c r="F93" t="s">
        <v>1392</v>
      </c>
      <c r="G93">
        <v>52.802999999999997</v>
      </c>
      <c r="H93">
        <v>7.3063716138877001E-3</v>
      </c>
      <c r="I93">
        <v>55.506</v>
      </c>
      <c r="J93">
        <v>4.5607557823867896E-3</v>
      </c>
      <c r="K93" t="s">
        <v>974</v>
      </c>
      <c r="L93" t="s">
        <v>883</v>
      </c>
    </row>
    <row r="94" spans="1:12" x14ac:dyDescent="0.35">
      <c r="A94">
        <v>2.40619409805858E-2</v>
      </c>
      <c r="B94">
        <v>9.9983702538513092E-3</v>
      </c>
      <c r="C94">
        <v>2.2073085991106502E-2</v>
      </c>
      <c r="D94">
        <v>3.0096377482488099E-2</v>
      </c>
      <c r="E94" t="s">
        <v>1484</v>
      </c>
      <c r="F94" t="s">
        <v>1392</v>
      </c>
      <c r="G94">
        <v>53.091999999999999</v>
      </c>
      <c r="H94">
        <v>5.4731738726967504E-3</v>
      </c>
      <c r="I94">
        <v>55.918999999999997</v>
      </c>
      <c r="J94">
        <v>7.4406370482469298E-3</v>
      </c>
      <c r="K94" t="s">
        <v>975</v>
      </c>
      <c r="L94" t="s">
        <v>883</v>
      </c>
    </row>
    <row r="95" spans="1:12" x14ac:dyDescent="0.35">
      <c r="A95">
        <v>2.70873737268695E-2</v>
      </c>
      <c r="B95">
        <v>1.7716185249098602E-2</v>
      </c>
      <c r="C95">
        <v>2.3867747826854101E-2</v>
      </c>
      <c r="D95">
        <v>2.3524161594785199E-2</v>
      </c>
      <c r="E95" t="s">
        <v>1485</v>
      </c>
      <c r="F95" t="s">
        <v>1392</v>
      </c>
      <c r="G95">
        <v>53.405999999999999</v>
      </c>
      <c r="H95">
        <v>5.91426203571155E-3</v>
      </c>
      <c r="I95">
        <v>56.244999999999997</v>
      </c>
      <c r="J95">
        <v>5.8298610490172802E-3</v>
      </c>
      <c r="K95" t="s">
        <v>976</v>
      </c>
      <c r="L95" t="s">
        <v>883</v>
      </c>
    </row>
    <row r="96" spans="1:12" x14ac:dyDescent="0.35">
      <c r="A96">
        <v>1.7542540867755401E-2</v>
      </c>
      <c r="B96">
        <v>2.9283418694515902E-2</v>
      </c>
      <c r="C96">
        <v>1.3096071782226999E-2</v>
      </c>
      <c r="D96">
        <v>4.0598599880798903E-3</v>
      </c>
      <c r="E96" t="s">
        <v>1486</v>
      </c>
      <c r="F96" t="s">
        <v>1392</v>
      </c>
      <c r="G96">
        <v>53.58</v>
      </c>
      <c r="H96">
        <v>3.2580608920345102E-3</v>
      </c>
      <c r="I96">
        <v>56.302</v>
      </c>
      <c r="J96">
        <v>1.01342341541466E-3</v>
      </c>
      <c r="K96" t="s">
        <v>977</v>
      </c>
      <c r="L96" t="s">
        <v>883</v>
      </c>
    </row>
    <row r="97" spans="1:12" x14ac:dyDescent="0.35">
      <c r="A97">
        <v>2.3240038949048102E-2</v>
      </c>
      <c r="B97">
        <v>3.6370296177081797E-2</v>
      </c>
      <c r="C97">
        <v>2.0612838101556001E-2</v>
      </c>
      <c r="D97">
        <v>1.8816279960193898E-2</v>
      </c>
      <c r="E97" t="s">
        <v>1487</v>
      </c>
      <c r="F97" t="s">
        <v>1392</v>
      </c>
      <c r="G97">
        <v>53.853999999999999</v>
      </c>
      <c r="H97">
        <v>5.1138484509145599E-3</v>
      </c>
      <c r="I97">
        <v>56.564999999999998</v>
      </c>
      <c r="J97">
        <v>4.6712372562254202E-3</v>
      </c>
      <c r="K97" t="s">
        <v>978</v>
      </c>
      <c r="L97" t="s">
        <v>883</v>
      </c>
    </row>
    <row r="98" spans="1:12" x14ac:dyDescent="0.35">
      <c r="A98">
        <v>1.4387423449919501E-2</v>
      </c>
      <c r="B98">
        <v>1.8449816517922799E-2</v>
      </c>
      <c r="C98">
        <v>3.3921123111567301E-2</v>
      </c>
      <c r="D98">
        <v>2.9526755688726598E-2</v>
      </c>
      <c r="E98" t="s">
        <v>1488</v>
      </c>
      <c r="F98" t="s">
        <v>1392</v>
      </c>
      <c r="G98">
        <v>54.305</v>
      </c>
      <c r="H98">
        <v>8.3744940023024999E-3</v>
      </c>
      <c r="I98">
        <v>56.978000000000002</v>
      </c>
      <c r="J98">
        <v>7.3013347476356101E-3</v>
      </c>
      <c r="K98" t="s">
        <v>979</v>
      </c>
      <c r="L98" t="s">
        <v>883</v>
      </c>
    </row>
    <row r="99" spans="1:12" x14ac:dyDescent="0.35">
      <c r="A99">
        <v>2.2496438657089599E-2</v>
      </c>
      <c r="B99">
        <v>3.3991498444716703E-2</v>
      </c>
      <c r="C99">
        <v>2.3479894269272002E-2</v>
      </c>
      <c r="D99">
        <v>1.7453105874537699E-2</v>
      </c>
      <c r="E99" t="s">
        <v>1489</v>
      </c>
      <c r="F99" t="s">
        <v>1392</v>
      </c>
      <c r="G99">
        <v>54.621000000000002</v>
      </c>
      <c r="H99">
        <v>5.8189853604639899E-3</v>
      </c>
      <c r="I99">
        <v>57.225000000000001</v>
      </c>
      <c r="J99">
        <v>4.3350064937344203E-3</v>
      </c>
      <c r="K99" t="s">
        <v>980</v>
      </c>
      <c r="L99" t="s">
        <v>883</v>
      </c>
    </row>
    <row r="100" spans="1:12" x14ac:dyDescent="0.35">
      <c r="A100">
        <v>2.90726218207682E-2</v>
      </c>
      <c r="B100">
        <v>2.3185974053502999E-2</v>
      </c>
      <c r="C100">
        <v>3.5391871305663798E-2</v>
      </c>
      <c r="D100">
        <v>3.5482240520336501E-2</v>
      </c>
      <c r="E100" t="s">
        <v>1490</v>
      </c>
      <c r="F100" t="s">
        <v>1392</v>
      </c>
      <c r="G100">
        <v>55.097999999999999</v>
      </c>
      <c r="H100">
        <v>8.7329049266764401E-3</v>
      </c>
      <c r="I100">
        <v>57.725999999999999</v>
      </c>
      <c r="J100">
        <v>8.7549148099605994E-3</v>
      </c>
      <c r="K100" t="s">
        <v>981</v>
      </c>
      <c r="L100" t="s">
        <v>883</v>
      </c>
    </row>
    <row r="101" spans="1:12" x14ac:dyDescent="0.35">
      <c r="A101">
        <v>1.88663260541506E-2</v>
      </c>
      <c r="B101">
        <v>3.3254108726641599E-2</v>
      </c>
      <c r="C101">
        <v>3.4634574022881899E-2</v>
      </c>
      <c r="D101">
        <v>3.3748767658719397E-2</v>
      </c>
      <c r="E101" t="s">
        <v>1491</v>
      </c>
      <c r="F101" t="s">
        <v>1392</v>
      </c>
      <c r="G101">
        <v>55.569000000000003</v>
      </c>
      <c r="H101">
        <v>8.5484046607862095E-3</v>
      </c>
      <c r="I101">
        <v>58.207000000000001</v>
      </c>
      <c r="J101">
        <v>8.3324671725046907E-3</v>
      </c>
      <c r="K101" t="s">
        <v>982</v>
      </c>
      <c r="L101" t="s">
        <v>883</v>
      </c>
    </row>
    <row r="102" spans="1:12" x14ac:dyDescent="0.35">
      <c r="A102">
        <v>1.9752209109685798E-2</v>
      </c>
      <c r="B102">
        <v>3.4122786590531799E-2</v>
      </c>
      <c r="C102">
        <v>1.8555272424330301E-2</v>
      </c>
      <c r="D102">
        <v>4.0528253340275301E-2</v>
      </c>
      <c r="E102" t="s">
        <v>1492</v>
      </c>
      <c r="F102" t="s">
        <v>1392</v>
      </c>
      <c r="G102">
        <v>55.825000000000003</v>
      </c>
      <c r="H102">
        <v>4.6068851337977001E-3</v>
      </c>
      <c r="I102">
        <v>58.787999999999997</v>
      </c>
      <c r="J102">
        <v>9.9816173312487991E-3</v>
      </c>
      <c r="K102" t="s">
        <v>983</v>
      </c>
      <c r="L102" t="s">
        <v>883</v>
      </c>
    </row>
    <row r="103" spans="1:12" x14ac:dyDescent="0.35">
      <c r="A103">
        <v>2.3426148348960799E-2</v>
      </c>
      <c r="B103">
        <v>2.6924495262994098E-2</v>
      </c>
      <c r="C103">
        <v>3.10950653969519E-2</v>
      </c>
      <c r="D103">
        <v>2.8884969324625399E-2</v>
      </c>
      <c r="E103" t="s">
        <v>1493</v>
      </c>
      <c r="F103" t="s">
        <v>1392</v>
      </c>
      <c r="G103">
        <v>56.253999999999998</v>
      </c>
      <c r="H103">
        <v>7.6847290640393896E-3</v>
      </c>
      <c r="I103">
        <v>59.207999999999998</v>
      </c>
      <c r="J103">
        <v>7.1443151663605998E-3</v>
      </c>
      <c r="K103" t="s">
        <v>984</v>
      </c>
      <c r="L103" t="s">
        <v>883</v>
      </c>
    </row>
    <row r="104" spans="1:12" x14ac:dyDescent="0.35">
      <c r="A104">
        <v>1.6481276503132601E-2</v>
      </c>
      <c r="B104">
        <v>2.0844963333619401E-2</v>
      </c>
      <c r="C104">
        <v>1.5303746558651399E-2</v>
      </c>
      <c r="D104">
        <v>2.2275298720186399E-2</v>
      </c>
      <c r="E104" t="s">
        <v>1494</v>
      </c>
      <c r="F104" t="s">
        <v>1392</v>
      </c>
      <c r="G104">
        <v>56.468000000000004</v>
      </c>
      <c r="H104">
        <v>3.8041739254097702E-3</v>
      </c>
      <c r="I104">
        <v>59.534999999999997</v>
      </c>
      <c r="J104">
        <v>5.5229023104985701E-3</v>
      </c>
      <c r="K104" t="s">
        <v>985</v>
      </c>
      <c r="L104" t="s">
        <v>883</v>
      </c>
    </row>
    <row r="105" spans="1:12" x14ac:dyDescent="0.35">
      <c r="A105">
        <v>1.77105887350755E-2</v>
      </c>
      <c r="B105">
        <v>5.6392491810183902E-2</v>
      </c>
      <c r="C105">
        <v>1.3670147091618101E-2</v>
      </c>
      <c r="D105">
        <v>2.3245190160411201E-2</v>
      </c>
      <c r="E105" t="s">
        <v>1495</v>
      </c>
      <c r="F105" t="s">
        <v>1392</v>
      </c>
      <c r="G105">
        <v>56.66</v>
      </c>
      <c r="H105">
        <v>3.4001558404759299E-3</v>
      </c>
      <c r="I105">
        <v>59.878</v>
      </c>
      <c r="J105">
        <v>5.7613168724279804E-3</v>
      </c>
      <c r="K105" t="s">
        <v>986</v>
      </c>
      <c r="L105" t="s">
        <v>883</v>
      </c>
    </row>
    <row r="106" spans="1:12" x14ac:dyDescent="0.35">
      <c r="A106">
        <v>2.24149830534284E-2</v>
      </c>
      <c r="B106">
        <v>9.43340099661172E-3</v>
      </c>
      <c r="C106">
        <v>4.4785324127958097E-2</v>
      </c>
      <c r="D106">
        <v>2.1616654614663E-2</v>
      </c>
      <c r="E106" t="s">
        <v>1496</v>
      </c>
      <c r="F106" t="s">
        <v>1392</v>
      </c>
      <c r="G106">
        <v>57.283999999999999</v>
      </c>
      <c r="H106">
        <v>1.1013060360042499E-2</v>
      </c>
      <c r="I106">
        <v>60.198999999999998</v>
      </c>
      <c r="J106">
        <v>5.3609004976786804E-3</v>
      </c>
      <c r="K106" t="s">
        <v>987</v>
      </c>
      <c r="L106" t="s">
        <v>883</v>
      </c>
    </row>
    <row r="107" spans="1:12" x14ac:dyDescent="0.35">
      <c r="A107">
        <v>2.7006131410312901E-2</v>
      </c>
      <c r="B107">
        <v>-2.1272525988481301E-2</v>
      </c>
      <c r="C107">
        <v>5.7381634098421204E-3</v>
      </c>
      <c r="D107">
        <v>4.4593389946305803E-3</v>
      </c>
      <c r="E107" t="s">
        <v>1497</v>
      </c>
      <c r="F107" t="s">
        <v>1392</v>
      </c>
      <c r="G107">
        <v>57.366</v>
      </c>
      <c r="H107">
        <v>1.4314642832204999E-3</v>
      </c>
      <c r="I107">
        <v>60.265999999999998</v>
      </c>
      <c r="J107">
        <v>1.1129752985929999E-3</v>
      </c>
      <c r="K107" t="s">
        <v>988</v>
      </c>
      <c r="L107" t="s">
        <v>883</v>
      </c>
    </row>
    <row r="108" spans="1:12" x14ac:dyDescent="0.35">
      <c r="A108">
        <v>1.7195373350960198E-2</v>
      </c>
      <c r="B108">
        <v>2.3444846886997699E-2</v>
      </c>
      <c r="C108">
        <v>2.6760970425558899E-2</v>
      </c>
      <c r="D108">
        <v>1.9993530620905801E-2</v>
      </c>
      <c r="E108" t="s">
        <v>1498</v>
      </c>
      <c r="F108" t="s">
        <v>1392</v>
      </c>
      <c r="G108">
        <v>57.746000000000002</v>
      </c>
      <c r="H108">
        <v>6.62413276156615E-3</v>
      </c>
      <c r="I108">
        <v>60.564999999999998</v>
      </c>
      <c r="J108">
        <v>4.9613380678989998E-3</v>
      </c>
      <c r="K108" t="s">
        <v>989</v>
      </c>
      <c r="L108" t="s">
        <v>883</v>
      </c>
    </row>
    <row r="109" spans="1:12" x14ac:dyDescent="0.35">
      <c r="A109">
        <v>2.7544322225657499E-2</v>
      </c>
      <c r="B109">
        <v>1.3803868113502E-2</v>
      </c>
      <c r="C109">
        <v>3.2814056779429501E-2</v>
      </c>
      <c r="D109">
        <v>1.3007743413415899E-2</v>
      </c>
      <c r="E109" t="s">
        <v>1499</v>
      </c>
      <c r="F109" t="s">
        <v>1392</v>
      </c>
      <c r="G109">
        <v>58.213999999999999</v>
      </c>
      <c r="H109">
        <v>8.1044574515982699E-3</v>
      </c>
      <c r="I109">
        <v>60.761000000000003</v>
      </c>
      <c r="J109">
        <v>3.2361925204327201E-3</v>
      </c>
      <c r="K109" t="s">
        <v>990</v>
      </c>
      <c r="L109" t="s">
        <v>883</v>
      </c>
    </row>
    <row r="110" spans="1:12" x14ac:dyDescent="0.35">
      <c r="A110">
        <v>1.7773223680601899E-2</v>
      </c>
      <c r="B110">
        <v>1.36962800731413E-2</v>
      </c>
      <c r="C110">
        <v>2.76992412803541E-2</v>
      </c>
      <c r="D110">
        <v>2.2772194889475902E-2</v>
      </c>
      <c r="E110" t="s">
        <v>1500</v>
      </c>
      <c r="F110" t="s">
        <v>1392</v>
      </c>
      <c r="G110">
        <v>58.613</v>
      </c>
      <c r="H110">
        <v>6.8540213694301402E-3</v>
      </c>
      <c r="I110">
        <v>61.103999999999999</v>
      </c>
      <c r="J110">
        <v>5.6450683826796402E-3</v>
      </c>
      <c r="K110" t="s">
        <v>991</v>
      </c>
      <c r="L110" t="s">
        <v>883</v>
      </c>
    </row>
    <row r="111" spans="1:12" x14ac:dyDescent="0.35">
      <c r="A111">
        <v>1.0067171002752701E-2</v>
      </c>
      <c r="B111">
        <v>2.65913479501769E-2</v>
      </c>
      <c r="C111">
        <v>9.5884799897107999E-3</v>
      </c>
      <c r="D111">
        <v>2.7578432526699701E-2</v>
      </c>
      <c r="E111" t="s">
        <v>1501</v>
      </c>
      <c r="F111" t="s">
        <v>1392</v>
      </c>
      <c r="G111">
        <v>58.753</v>
      </c>
      <c r="H111">
        <v>2.3885486154948698E-3</v>
      </c>
      <c r="I111">
        <v>61.521000000000001</v>
      </c>
      <c r="J111">
        <v>6.8244304791831301E-3</v>
      </c>
      <c r="K111" t="s">
        <v>992</v>
      </c>
      <c r="L111" t="s">
        <v>883</v>
      </c>
    </row>
    <row r="112" spans="1:12" x14ac:dyDescent="0.35">
      <c r="A112">
        <v>1.05839184448571E-2</v>
      </c>
      <c r="B112">
        <v>9.2223862003817398E-3</v>
      </c>
      <c r="C112">
        <v>1.9268623425193102E-2</v>
      </c>
      <c r="D112">
        <v>1.0181522541022199E-2</v>
      </c>
      <c r="E112" t="s">
        <v>1502</v>
      </c>
      <c r="F112" t="s">
        <v>1392</v>
      </c>
      <c r="G112">
        <v>59.033999999999999</v>
      </c>
      <c r="H112">
        <v>4.7827344986639498E-3</v>
      </c>
      <c r="I112">
        <v>61.677</v>
      </c>
      <c r="J112">
        <v>2.5357195104109801E-3</v>
      </c>
      <c r="K112" t="s">
        <v>993</v>
      </c>
      <c r="L112" t="s">
        <v>883</v>
      </c>
    </row>
    <row r="113" spans="1:12" x14ac:dyDescent="0.35">
      <c r="A113">
        <v>1.26121897911931E-2</v>
      </c>
      <c r="B113">
        <v>2.8333969394931401E-2</v>
      </c>
      <c r="C113">
        <v>3.3061309623051399E-2</v>
      </c>
      <c r="D113">
        <v>2.5996696664996499E-2</v>
      </c>
      <c r="E113" t="s">
        <v>1503</v>
      </c>
      <c r="F113" t="s">
        <v>1392</v>
      </c>
      <c r="G113">
        <v>59.515999999999998</v>
      </c>
      <c r="H113">
        <v>8.1647863942813093E-3</v>
      </c>
      <c r="I113">
        <v>62.073999999999998</v>
      </c>
      <c r="J113">
        <v>6.4367592457479396E-3</v>
      </c>
      <c r="K113" t="s">
        <v>994</v>
      </c>
      <c r="L113" t="s">
        <v>883</v>
      </c>
    </row>
    <row r="114" spans="1:12" x14ac:dyDescent="0.35">
      <c r="A114">
        <v>3.2090280398078302E-4</v>
      </c>
      <c r="B114">
        <v>-1.66473304304918E-2</v>
      </c>
      <c r="C114">
        <v>6.3326118015940604E-3</v>
      </c>
      <c r="D114">
        <v>1.3539104320199301E-3</v>
      </c>
      <c r="E114" t="s">
        <v>1504</v>
      </c>
      <c r="F114" t="s">
        <v>1392</v>
      </c>
      <c r="G114">
        <v>59.61</v>
      </c>
      <c r="H114">
        <v>1.57940721822714E-3</v>
      </c>
      <c r="I114">
        <v>62.094999999999999</v>
      </c>
      <c r="J114">
        <v>3.3830589296646201E-4</v>
      </c>
      <c r="K114" t="s">
        <v>995</v>
      </c>
      <c r="L114" t="s">
        <v>883</v>
      </c>
    </row>
    <row r="115" spans="1:12" x14ac:dyDescent="0.35">
      <c r="A115">
        <v>7.2384308298694099E-3</v>
      </c>
      <c r="B115">
        <v>2.5981704959145799E-2</v>
      </c>
      <c r="C115">
        <v>2.14418814289523E-2</v>
      </c>
      <c r="D115">
        <v>2.5146473935451202E-3</v>
      </c>
      <c r="E115" t="s">
        <v>1505</v>
      </c>
      <c r="F115" t="s">
        <v>1392</v>
      </c>
      <c r="G115">
        <v>59.927</v>
      </c>
      <c r="H115">
        <v>5.3178996812615099E-3</v>
      </c>
      <c r="I115">
        <v>62.134</v>
      </c>
      <c r="J115">
        <v>6.2806989290598004E-4</v>
      </c>
      <c r="K115" t="s">
        <v>996</v>
      </c>
      <c r="L115" t="s">
        <v>883</v>
      </c>
    </row>
    <row r="116" spans="1:12" x14ac:dyDescent="0.35">
      <c r="A116">
        <v>1.2387156771827E-2</v>
      </c>
      <c r="B116">
        <v>2.6407820145390601E-2</v>
      </c>
      <c r="C116">
        <v>3.1605845001569703E-2</v>
      </c>
      <c r="D116">
        <v>2.4885302644445099E-2</v>
      </c>
      <c r="E116" t="s">
        <v>1506</v>
      </c>
      <c r="F116" t="s">
        <v>1392</v>
      </c>
      <c r="G116">
        <v>60.395000000000003</v>
      </c>
      <c r="H116">
        <v>7.8095015602317498E-3</v>
      </c>
      <c r="I116">
        <v>62.517000000000003</v>
      </c>
      <c r="J116">
        <v>6.1640969517495802E-3</v>
      </c>
      <c r="K116" t="s">
        <v>997</v>
      </c>
      <c r="L116" t="s">
        <v>883</v>
      </c>
    </row>
    <row r="117" spans="1:12" x14ac:dyDescent="0.35">
      <c r="A117">
        <v>1.0631455336088899E-2</v>
      </c>
      <c r="B117">
        <v>1.29075602616771E-2</v>
      </c>
      <c r="C117">
        <v>3.6519198475668799E-2</v>
      </c>
      <c r="D117">
        <v>2.2777873103542599E-2</v>
      </c>
      <c r="E117" t="s">
        <v>1507</v>
      </c>
      <c r="F117" t="s">
        <v>1392</v>
      </c>
      <c r="G117">
        <v>60.939</v>
      </c>
      <c r="H117">
        <v>9.0073681596158899E-3</v>
      </c>
      <c r="I117">
        <v>62.87</v>
      </c>
      <c r="J117">
        <v>5.6464641617479704E-3</v>
      </c>
      <c r="K117" t="s">
        <v>998</v>
      </c>
      <c r="L117" t="s">
        <v>883</v>
      </c>
    </row>
    <row r="118" spans="1:12" x14ac:dyDescent="0.35">
      <c r="A118">
        <v>7.8778546175835001E-3</v>
      </c>
      <c r="B118">
        <v>1.19346323256166E-2</v>
      </c>
      <c r="C118">
        <v>3.4639204699016303E-2</v>
      </c>
      <c r="D118">
        <v>1.61297394114919E-2</v>
      </c>
      <c r="E118" t="s">
        <v>1508</v>
      </c>
      <c r="F118" t="s">
        <v>1392</v>
      </c>
      <c r="G118">
        <v>61.46</v>
      </c>
      <c r="H118">
        <v>8.5495331396971998E-3</v>
      </c>
      <c r="I118">
        <v>63.122</v>
      </c>
      <c r="J118">
        <v>4.0082710354700799E-3</v>
      </c>
      <c r="K118" t="s">
        <v>999</v>
      </c>
      <c r="L118" t="s">
        <v>883</v>
      </c>
    </row>
    <row r="119" spans="1:12" x14ac:dyDescent="0.35">
      <c r="A119">
        <v>2.2971603454798002E-2</v>
      </c>
      <c r="B119">
        <v>3.4068264295770097E-2</v>
      </c>
      <c r="C119">
        <v>6.1370356227924201E-2</v>
      </c>
      <c r="D119">
        <v>2.99883116478201E-2</v>
      </c>
      <c r="E119" t="s">
        <v>1509</v>
      </c>
      <c r="F119" t="s">
        <v>1392</v>
      </c>
      <c r="G119">
        <v>62.381999999999998</v>
      </c>
      <c r="H119">
        <v>1.5001627074519901E-2</v>
      </c>
      <c r="I119">
        <v>63.59</v>
      </c>
      <c r="J119">
        <v>7.4142137448116596E-3</v>
      </c>
      <c r="K119" t="s">
        <v>1000</v>
      </c>
      <c r="L119" t="s">
        <v>883</v>
      </c>
    </row>
    <row r="120" spans="1:12" x14ac:dyDescent="0.35">
      <c r="A120">
        <v>2.21977740334749E-2</v>
      </c>
      <c r="B120">
        <v>3.6824162588046098E-2</v>
      </c>
      <c r="C120">
        <v>5.6562220210462498E-2</v>
      </c>
      <c r="D120">
        <v>1.6964868305367399E-2</v>
      </c>
      <c r="E120" t="s">
        <v>1510</v>
      </c>
      <c r="F120" t="s">
        <v>1392</v>
      </c>
      <c r="G120">
        <v>63.246000000000002</v>
      </c>
      <c r="H120">
        <v>1.3850149081466E-2</v>
      </c>
      <c r="I120">
        <v>63.857999999999997</v>
      </c>
      <c r="J120">
        <v>4.2144991350840898E-3</v>
      </c>
      <c r="K120" t="s">
        <v>1001</v>
      </c>
      <c r="L120" t="s">
        <v>883</v>
      </c>
    </row>
    <row r="121" spans="1:12" x14ac:dyDescent="0.35">
      <c r="A121">
        <v>2.4473399596212499E-2</v>
      </c>
      <c r="B121">
        <v>5.00811045761866E-2</v>
      </c>
      <c r="C121">
        <v>4.9726482376824199E-2</v>
      </c>
      <c r="D121">
        <v>3.4513513517111301E-2</v>
      </c>
      <c r="E121" t="s">
        <v>1511</v>
      </c>
      <c r="F121" t="s">
        <v>1392</v>
      </c>
      <c r="G121">
        <v>64.018000000000001</v>
      </c>
      <c r="H121">
        <v>1.2206305537109099E-2</v>
      </c>
      <c r="I121">
        <v>64.402000000000001</v>
      </c>
      <c r="J121">
        <v>8.5189013122866104E-3</v>
      </c>
      <c r="K121" t="s">
        <v>1002</v>
      </c>
      <c r="L121" t="s">
        <v>883</v>
      </c>
    </row>
    <row r="122" spans="1:12" x14ac:dyDescent="0.35">
      <c r="A122">
        <v>3.2886107964122897E-2</v>
      </c>
      <c r="B122">
        <v>3.9540884737924602E-2</v>
      </c>
      <c r="C122">
        <v>5.7040318663066601E-2</v>
      </c>
      <c r="D122">
        <v>3.2054289459933799E-2</v>
      </c>
      <c r="E122" t="s">
        <v>1512</v>
      </c>
      <c r="F122" t="s">
        <v>1392</v>
      </c>
      <c r="G122">
        <v>64.912000000000006</v>
      </c>
      <c r="H122">
        <v>1.3964822393701899E-2</v>
      </c>
      <c r="I122">
        <v>64.912000000000006</v>
      </c>
      <c r="J122">
        <v>7.9190087264371396E-3</v>
      </c>
      <c r="K122" t="s">
        <v>1003</v>
      </c>
      <c r="L122" t="s">
        <v>883</v>
      </c>
    </row>
    <row r="123" spans="1:12" x14ac:dyDescent="0.35">
      <c r="A123">
        <v>1.9193585341739101E-2</v>
      </c>
      <c r="B123">
        <v>1.5459188057563401E-2</v>
      </c>
      <c r="C123">
        <v>4.2438786901308999E-2</v>
      </c>
      <c r="D123">
        <v>4.6322155050911397E-2</v>
      </c>
      <c r="E123" t="s">
        <v>1513</v>
      </c>
      <c r="F123" t="s">
        <v>1392</v>
      </c>
      <c r="G123">
        <v>65.59</v>
      </c>
      <c r="H123">
        <v>1.0444910032043399E-2</v>
      </c>
      <c r="I123">
        <v>65.650999999999996</v>
      </c>
      <c r="J123">
        <v>1.13846438254868E-2</v>
      </c>
      <c r="K123" t="s">
        <v>1004</v>
      </c>
      <c r="L123" t="s">
        <v>883</v>
      </c>
    </row>
    <row r="124" spans="1:12" x14ac:dyDescent="0.35">
      <c r="A124">
        <v>2.6053548554263901E-2</v>
      </c>
      <c r="B124">
        <v>2.8949345820011199E-2</v>
      </c>
      <c r="C124">
        <v>4.7728620369875199E-2</v>
      </c>
      <c r="D124">
        <v>2.6457667912965801E-2</v>
      </c>
      <c r="E124" t="s">
        <v>1514</v>
      </c>
      <c r="F124" t="s">
        <v>1392</v>
      </c>
      <c r="G124">
        <v>66.358999999999995</v>
      </c>
      <c r="H124">
        <v>1.1724348223814501E-2</v>
      </c>
      <c r="I124">
        <v>66.081000000000003</v>
      </c>
      <c r="J124">
        <v>6.5497859895509202E-3</v>
      </c>
      <c r="K124" t="s">
        <v>1005</v>
      </c>
      <c r="L124" t="s">
        <v>883</v>
      </c>
    </row>
    <row r="125" spans="1:12" x14ac:dyDescent="0.35">
      <c r="A125">
        <v>2.2816932316492001E-2</v>
      </c>
      <c r="B125">
        <v>1.82242710503548E-2</v>
      </c>
      <c r="C125">
        <v>5.7499642478727998E-2</v>
      </c>
      <c r="D125">
        <v>2.3755596803619598E-2</v>
      </c>
      <c r="E125" t="s">
        <v>1515</v>
      </c>
      <c r="F125" t="s">
        <v>1392</v>
      </c>
      <c r="G125">
        <v>67.293000000000006</v>
      </c>
      <c r="H125">
        <v>1.40749559215783E-2</v>
      </c>
      <c r="I125">
        <v>66.47</v>
      </c>
      <c r="J125">
        <v>5.8867147894250396E-3</v>
      </c>
      <c r="K125" t="s">
        <v>1006</v>
      </c>
      <c r="L125" t="s">
        <v>883</v>
      </c>
    </row>
    <row r="126" spans="1:12" x14ac:dyDescent="0.35">
      <c r="A126">
        <v>2.9937016463394299E-2</v>
      </c>
      <c r="B126">
        <v>6.8223280329673397E-3</v>
      </c>
      <c r="C126">
        <v>5.4456520671492398E-2</v>
      </c>
      <c r="D126">
        <v>2.4902004743710501E-2</v>
      </c>
      <c r="E126" t="s">
        <v>1516</v>
      </c>
      <c r="F126" t="s">
        <v>1392</v>
      </c>
      <c r="G126">
        <v>68.191000000000003</v>
      </c>
      <c r="H126">
        <v>1.33446272272004E-2</v>
      </c>
      <c r="I126">
        <v>66.88</v>
      </c>
      <c r="J126">
        <v>6.16819617872721E-3</v>
      </c>
      <c r="K126" t="s">
        <v>1007</v>
      </c>
      <c r="L126" t="s">
        <v>883</v>
      </c>
    </row>
    <row r="127" spans="1:12" x14ac:dyDescent="0.35">
      <c r="A127">
        <v>1.8884884410707199E-2</v>
      </c>
      <c r="B127">
        <v>2.1198789662036002E-2</v>
      </c>
      <c r="C127">
        <v>1.7060457300781501E-2</v>
      </c>
      <c r="D127">
        <v>1.0326833438175601E-2</v>
      </c>
      <c r="E127" t="s">
        <v>1517</v>
      </c>
      <c r="F127" t="s">
        <v>1392</v>
      </c>
      <c r="G127">
        <v>68.48</v>
      </c>
      <c r="H127">
        <v>4.2380959364138899E-3</v>
      </c>
      <c r="I127">
        <v>67.052000000000007</v>
      </c>
      <c r="J127">
        <v>2.5717703349283898E-3</v>
      </c>
      <c r="K127" t="s">
        <v>1008</v>
      </c>
      <c r="L127" t="s">
        <v>883</v>
      </c>
    </row>
    <row r="128" spans="1:12" x14ac:dyDescent="0.35">
      <c r="A128">
        <v>2.0085104332627801E-3</v>
      </c>
      <c r="B128">
        <v>2.5873085754739799E-2</v>
      </c>
      <c r="C128">
        <v>1.0084643678167899E-2</v>
      </c>
      <c r="D128">
        <v>1.25865662000337E-2</v>
      </c>
      <c r="E128" t="s">
        <v>1518</v>
      </c>
      <c r="F128" t="s">
        <v>1392</v>
      </c>
      <c r="G128">
        <v>68.652000000000001</v>
      </c>
      <c r="H128">
        <v>2.5116822429906999E-3</v>
      </c>
      <c r="I128">
        <v>67.262</v>
      </c>
      <c r="J128">
        <v>3.1318976316887502E-3</v>
      </c>
      <c r="K128" t="s">
        <v>1009</v>
      </c>
      <c r="L128" t="s">
        <v>883</v>
      </c>
    </row>
    <row r="129" spans="1:12" x14ac:dyDescent="0.35">
      <c r="A129">
        <v>1.65597149400032E-3</v>
      </c>
      <c r="B129">
        <v>2.61448943379867E-2</v>
      </c>
      <c r="C129">
        <v>4.4939487008062197E-3</v>
      </c>
      <c r="D129">
        <v>2.16417401943385E-2</v>
      </c>
      <c r="E129" t="s">
        <v>1519</v>
      </c>
      <c r="F129" t="s">
        <v>1392</v>
      </c>
      <c r="G129">
        <v>68.728999999999999</v>
      </c>
      <c r="H129">
        <v>1.1215987880905901E-3</v>
      </c>
      <c r="I129">
        <v>67.623000000000005</v>
      </c>
      <c r="J129">
        <v>5.3670720466236803E-3</v>
      </c>
      <c r="K129" t="s">
        <v>1010</v>
      </c>
      <c r="L129" t="s">
        <v>883</v>
      </c>
    </row>
    <row r="130" spans="1:12" x14ac:dyDescent="0.35">
      <c r="A130">
        <v>8.0448095256371293E-3</v>
      </c>
      <c r="B130">
        <v>2.6192779718551499E-2</v>
      </c>
      <c r="C130">
        <v>2.6210777008154801E-2</v>
      </c>
      <c r="D130">
        <v>1.77439998941584E-2</v>
      </c>
      <c r="E130" t="s">
        <v>1520</v>
      </c>
      <c r="F130" t="s">
        <v>1392</v>
      </c>
      <c r="G130">
        <v>69.174999999999997</v>
      </c>
      <c r="H130">
        <v>6.4892548996784401E-3</v>
      </c>
      <c r="I130">
        <v>67.921000000000006</v>
      </c>
      <c r="J130">
        <v>4.4067846738535801E-3</v>
      </c>
      <c r="K130" t="s">
        <v>1011</v>
      </c>
      <c r="L130" t="s">
        <v>883</v>
      </c>
    </row>
    <row r="131" spans="1:12" x14ac:dyDescent="0.35">
      <c r="A131">
        <v>2.9998743908273201E-2</v>
      </c>
      <c r="B131">
        <v>3.8349371649444103E-2</v>
      </c>
      <c r="C131">
        <v>3.99637104830428E-2</v>
      </c>
      <c r="D131">
        <v>2.19088618142655E-2</v>
      </c>
      <c r="E131" t="s">
        <v>1521</v>
      </c>
      <c r="F131" t="s">
        <v>1392</v>
      </c>
      <c r="G131">
        <v>69.855999999999995</v>
      </c>
      <c r="H131">
        <v>9.8445970365015293E-3</v>
      </c>
      <c r="I131">
        <v>68.290000000000006</v>
      </c>
      <c r="J131">
        <v>5.4327822028532599E-3</v>
      </c>
      <c r="K131" t="s">
        <v>1012</v>
      </c>
      <c r="L131" t="s">
        <v>883</v>
      </c>
    </row>
    <row r="132" spans="1:12" x14ac:dyDescent="0.35">
      <c r="A132">
        <v>2.0869776308943801E-2</v>
      </c>
      <c r="B132">
        <v>3.4801584391165798E-2</v>
      </c>
      <c r="C132">
        <v>3.3157579483975103E-2</v>
      </c>
      <c r="D132">
        <v>1.23573378485025E-2</v>
      </c>
      <c r="E132" t="s">
        <v>1522</v>
      </c>
      <c r="F132" t="s">
        <v>1392</v>
      </c>
      <c r="G132">
        <v>70.427999999999997</v>
      </c>
      <c r="H132">
        <v>8.1882730187814393E-3</v>
      </c>
      <c r="I132">
        <v>68.5</v>
      </c>
      <c r="J132">
        <v>3.07512080831729E-3</v>
      </c>
      <c r="K132" t="s">
        <v>1013</v>
      </c>
      <c r="L132" t="s">
        <v>883</v>
      </c>
    </row>
    <row r="133" spans="1:12" x14ac:dyDescent="0.35">
      <c r="A133">
        <v>1.8806157080279301E-2</v>
      </c>
      <c r="B133">
        <v>7.6203068975526894E-2</v>
      </c>
      <c r="C133">
        <v>4.04120889716926E-2</v>
      </c>
      <c r="D133">
        <v>6.9083360828583497E-3</v>
      </c>
      <c r="E133" t="s">
        <v>1523</v>
      </c>
      <c r="F133" t="s">
        <v>1392</v>
      </c>
      <c r="G133">
        <v>71.129000000000005</v>
      </c>
      <c r="H133">
        <v>9.9534276140171903E-3</v>
      </c>
      <c r="I133">
        <v>68.617999999999995</v>
      </c>
      <c r="J133">
        <v>1.7226277372262E-3</v>
      </c>
      <c r="K133" t="s">
        <v>1014</v>
      </c>
      <c r="L133" t="s">
        <v>883</v>
      </c>
    </row>
    <row r="134" spans="1:12" x14ac:dyDescent="0.35">
      <c r="A134">
        <v>3.0939531110064901E-2</v>
      </c>
      <c r="B134">
        <v>4.5343406532494003E-2</v>
      </c>
      <c r="C134">
        <v>6.4192818314913899E-2</v>
      </c>
      <c r="D134">
        <v>3.35839967225895E-2</v>
      </c>
      <c r="E134" t="s">
        <v>1524</v>
      </c>
      <c r="F134" t="s">
        <v>1392</v>
      </c>
      <c r="G134">
        <v>72.244</v>
      </c>
      <c r="H134">
        <v>1.5675744070632099E-2</v>
      </c>
      <c r="I134">
        <v>69.186999999999998</v>
      </c>
      <c r="J134">
        <v>8.2922848232243104E-3</v>
      </c>
      <c r="K134" t="s">
        <v>1015</v>
      </c>
      <c r="L134" t="s">
        <v>883</v>
      </c>
    </row>
    <row r="135" spans="1:12" x14ac:dyDescent="0.35">
      <c r="A135">
        <v>4.0077661469082298E-3</v>
      </c>
      <c r="B135">
        <v>2.8726975579467701E-2</v>
      </c>
      <c r="C135">
        <v>2.60483280529056E-3</v>
      </c>
      <c r="D135">
        <v>4.1691340309692997E-3</v>
      </c>
      <c r="E135" t="s">
        <v>1525</v>
      </c>
      <c r="F135" t="s">
        <v>1392</v>
      </c>
      <c r="G135">
        <v>72.290999999999997</v>
      </c>
      <c r="H135">
        <v>6.5057305797022703E-4</v>
      </c>
      <c r="I135">
        <v>69.259</v>
      </c>
      <c r="J135">
        <v>1.0406579270672001E-3</v>
      </c>
      <c r="K135" t="s">
        <v>1016</v>
      </c>
      <c r="L135" t="s">
        <v>883</v>
      </c>
    </row>
    <row r="136" spans="1:12" x14ac:dyDescent="0.35">
      <c r="A136">
        <v>2.6637470683258401E-2</v>
      </c>
      <c r="B136">
        <v>3.6701160751028999E-2</v>
      </c>
      <c r="C136">
        <v>3.2537484109284899E-2</v>
      </c>
      <c r="D136">
        <v>5.0920666130191998E-3</v>
      </c>
      <c r="E136" t="s">
        <v>1526</v>
      </c>
      <c r="F136" t="s">
        <v>1392</v>
      </c>
      <c r="G136">
        <v>72.872</v>
      </c>
      <c r="H136">
        <v>8.0369617241426994E-3</v>
      </c>
      <c r="I136">
        <v>69.346999999999994</v>
      </c>
      <c r="J136">
        <v>1.2705929915244299E-3</v>
      </c>
      <c r="K136" t="s">
        <v>1017</v>
      </c>
      <c r="L136" t="s">
        <v>883</v>
      </c>
    </row>
    <row r="137" spans="1:12" x14ac:dyDescent="0.35">
      <c r="A137">
        <v>1.9809591582912799E-2</v>
      </c>
      <c r="B137">
        <v>3.0297839189273201E-2</v>
      </c>
      <c r="C137">
        <v>3.6723057880070603E-2</v>
      </c>
      <c r="D137">
        <v>1.11208187291489E-2</v>
      </c>
      <c r="E137" t="s">
        <v>1527</v>
      </c>
      <c r="F137" t="s">
        <v>1392</v>
      </c>
      <c r="G137">
        <v>73.531999999999996</v>
      </c>
      <c r="H137">
        <v>9.0569766165331505E-3</v>
      </c>
      <c r="I137">
        <v>69.539000000000001</v>
      </c>
      <c r="J137">
        <v>2.7686850188184402E-3</v>
      </c>
      <c r="K137" t="s">
        <v>1018</v>
      </c>
      <c r="L137" t="s">
        <v>883</v>
      </c>
    </row>
    <row r="138" spans="1:12" x14ac:dyDescent="0.35">
      <c r="A138">
        <v>3.1204615634115699E-2</v>
      </c>
      <c r="B138">
        <v>3.4471201135703997E-2</v>
      </c>
      <c r="C138">
        <v>5.7672124037001303E-2</v>
      </c>
      <c r="D138">
        <v>2.6313046913832801E-2</v>
      </c>
      <c r="E138" t="s">
        <v>1528</v>
      </c>
      <c r="F138" t="s">
        <v>1392</v>
      </c>
      <c r="G138">
        <v>74.569999999999993</v>
      </c>
      <c r="H138">
        <v>1.41163031061307E-2</v>
      </c>
      <c r="I138">
        <v>69.992000000000004</v>
      </c>
      <c r="J138">
        <v>6.5143300881520504E-3</v>
      </c>
      <c r="K138" t="s">
        <v>1019</v>
      </c>
      <c r="L138" t="s">
        <v>883</v>
      </c>
    </row>
    <row r="139" spans="1:12" x14ac:dyDescent="0.35">
      <c r="A139">
        <v>2.7200294389546201E-2</v>
      </c>
      <c r="B139">
        <v>3.5181669062461299E-2</v>
      </c>
      <c r="C139">
        <v>5.42271951092188E-2</v>
      </c>
      <c r="D139">
        <v>7.5544557477534205E-2</v>
      </c>
      <c r="E139" t="s">
        <v>1529</v>
      </c>
      <c r="F139" t="s">
        <v>1392</v>
      </c>
      <c r="G139">
        <v>75.561000000000007</v>
      </c>
      <c r="H139">
        <v>1.3289526619284101E-2</v>
      </c>
      <c r="I139">
        <v>71.278000000000006</v>
      </c>
      <c r="J139">
        <v>1.8373528403245999E-2</v>
      </c>
      <c r="K139" t="s">
        <v>1020</v>
      </c>
      <c r="L139" t="s">
        <v>883</v>
      </c>
    </row>
    <row r="140" spans="1:12" x14ac:dyDescent="0.35">
      <c r="A140">
        <v>1.9813936050087699E-2</v>
      </c>
      <c r="B140">
        <v>3.71188179062025E-2</v>
      </c>
      <c r="C140">
        <v>5.5705667373545202E-2</v>
      </c>
      <c r="D140">
        <v>0.112118604043563</v>
      </c>
      <c r="E140" t="s">
        <v>1530</v>
      </c>
      <c r="F140" t="s">
        <v>1392</v>
      </c>
      <c r="G140">
        <v>76.591999999999999</v>
      </c>
      <c r="H140">
        <v>1.3644605021108799E-2</v>
      </c>
      <c r="I140">
        <v>73.197000000000003</v>
      </c>
      <c r="J140">
        <v>2.6922753163668899E-2</v>
      </c>
      <c r="K140" t="s">
        <v>1021</v>
      </c>
      <c r="L140" t="s">
        <v>883</v>
      </c>
    </row>
    <row r="141" spans="1:12" x14ac:dyDescent="0.35">
      <c r="A141">
        <v>3.4620969363609901E-2</v>
      </c>
      <c r="B141">
        <v>3.9499400752586601E-2</v>
      </c>
      <c r="C141">
        <v>6.4048552869122796E-2</v>
      </c>
      <c r="D141">
        <v>9.9586266592777403E-2</v>
      </c>
      <c r="E141" t="s">
        <v>1531</v>
      </c>
      <c r="F141" t="s">
        <v>1392</v>
      </c>
      <c r="G141">
        <v>77.790000000000006</v>
      </c>
      <c r="H141">
        <v>1.5641320242323099E-2</v>
      </c>
      <c r="I141">
        <v>74.954999999999998</v>
      </c>
      <c r="J141">
        <v>2.4017377761383699E-2</v>
      </c>
      <c r="K141" t="s">
        <v>1022</v>
      </c>
      <c r="L141" t="s">
        <v>883</v>
      </c>
    </row>
    <row r="142" spans="1:12" x14ac:dyDescent="0.35">
      <c r="A142">
        <v>2.34535899973984E-2</v>
      </c>
      <c r="B142">
        <v>5.3706890981395999E-2</v>
      </c>
      <c r="C142">
        <v>3.69057460702173E-2</v>
      </c>
      <c r="D142">
        <v>3.4210597371460802E-2</v>
      </c>
      <c r="E142" t="s">
        <v>1532</v>
      </c>
      <c r="F142" t="s">
        <v>1392</v>
      </c>
      <c r="G142">
        <v>78.498000000000005</v>
      </c>
      <c r="H142">
        <v>9.1014269186271406E-3</v>
      </c>
      <c r="I142">
        <v>75.587999999999994</v>
      </c>
      <c r="J142">
        <v>8.4450670402240694E-3</v>
      </c>
      <c r="K142" t="s">
        <v>1023</v>
      </c>
      <c r="L142" t="s">
        <v>883</v>
      </c>
    </row>
    <row r="143" spans="1:12" x14ac:dyDescent="0.35">
      <c r="A143">
        <v>2.5499802950129401E-2</v>
      </c>
      <c r="B143">
        <v>3.6566859174503898E-2</v>
      </c>
      <c r="C143">
        <v>4.6392177019789503E-2</v>
      </c>
      <c r="D143">
        <v>7.7400259900339399E-2</v>
      </c>
      <c r="E143" t="s">
        <v>1533</v>
      </c>
      <c r="F143" t="s">
        <v>1392</v>
      </c>
      <c r="G143">
        <v>79.393000000000001</v>
      </c>
      <c r="H143">
        <v>1.14015643710668E-2</v>
      </c>
      <c r="I143">
        <v>77.010000000000005</v>
      </c>
      <c r="J143">
        <v>1.8812509922210102E-2</v>
      </c>
      <c r="K143" t="s">
        <v>1024</v>
      </c>
      <c r="L143" t="s">
        <v>883</v>
      </c>
    </row>
    <row r="144" spans="1:12" x14ac:dyDescent="0.35">
      <c r="A144">
        <v>4.3914132970667798E-2</v>
      </c>
      <c r="B144">
        <v>4.2425430776049898E-2</v>
      </c>
      <c r="C144">
        <v>5.93159029125543E-2</v>
      </c>
      <c r="D144">
        <v>9.2099438138909306E-2</v>
      </c>
      <c r="E144" t="s">
        <v>1534</v>
      </c>
      <c r="F144" t="s">
        <v>1392</v>
      </c>
      <c r="G144">
        <v>80.545000000000002</v>
      </c>
      <c r="H144">
        <v>1.45100953484565E-2</v>
      </c>
      <c r="I144">
        <v>78.724999999999994</v>
      </c>
      <c r="J144">
        <v>2.2269835086352399E-2</v>
      </c>
      <c r="K144" t="s">
        <v>1025</v>
      </c>
      <c r="L144" t="s">
        <v>883</v>
      </c>
    </row>
    <row r="145" spans="1:12" x14ac:dyDescent="0.35">
      <c r="A145">
        <v>3.2225013743436802E-2</v>
      </c>
      <c r="B145">
        <v>2.9052051363888599E-2</v>
      </c>
      <c r="C145">
        <v>6.9322056053448003E-2</v>
      </c>
      <c r="D145">
        <v>5.6967190258747399E-2</v>
      </c>
      <c r="E145" t="s">
        <v>1535</v>
      </c>
      <c r="F145" t="s">
        <v>1392</v>
      </c>
      <c r="G145">
        <v>81.906000000000006</v>
      </c>
      <c r="H145">
        <v>1.68973865541002E-2</v>
      </c>
      <c r="I145">
        <v>79.822999999999993</v>
      </c>
      <c r="J145">
        <v>1.39472848523341E-2</v>
      </c>
      <c r="K145" t="s">
        <v>1026</v>
      </c>
      <c r="L145" t="s">
        <v>883</v>
      </c>
    </row>
    <row r="146" spans="1:12" x14ac:dyDescent="0.35">
      <c r="A146">
        <v>2.0935342800184199E-2</v>
      </c>
      <c r="B146">
        <v>3.4093201961780999E-2</v>
      </c>
      <c r="C146">
        <v>2.9725271896635399E-2</v>
      </c>
      <c r="D146">
        <v>2.50876168066392E-2</v>
      </c>
      <c r="E146" t="s">
        <v>1536</v>
      </c>
      <c r="F146" t="s">
        <v>1392</v>
      </c>
      <c r="G146">
        <v>82.507999999999996</v>
      </c>
      <c r="H146">
        <v>7.3498888970282604E-3</v>
      </c>
      <c r="I146">
        <v>80.319000000000003</v>
      </c>
      <c r="J146">
        <v>6.2137479172670301E-3</v>
      </c>
      <c r="K146" t="s">
        <v>1027</v>
      </c>
      <c r="L146" t="s">
        <v>883</v>
      </c>
    </row>
    <row r="147" spans="1:12" x14ac:dyDescent="0.35">
      <c r="A147">
        <v>3.5555363218846101E-2</v>
      </c>
      <c r="B147">
        <v>2.8135458399094499E-2</v>
      </c>
      <c r="C147">
        <v>5.61203132204302E-2</v>
      </c>
      <c r="D147">
        <v>9.1105361450751501E-2</v>
      </c>
      <c r="E147" t="s">
        <v>1537</v>
      </c>
      <c r="F147" t="s">
        <v>1392</v>
      </c>
      <c r="G147">
        <v>83.641999999999996</v>
      </c>
      <c r="H147">
        <v>1.37441217821301E-2</v>
      </c>
      <c r="I147">
        <v>82.088999999999999</v>
      </c>
      <c r="J147">
        <v>2.20371269562618E-2</v>
      </c>
      <c r="K147" t="s">
        <v>1028</v>
      </c>
      <c r="L147" t="s">
        <v>883</v>
      </c>
    </row>
    <row r="148" spans="1:12" x14ac:dyDescent="0.35">
      <c r="A148">
        <v>2.9090990484891902E-2</v>
      </c>
      <c r="B148">
        <v>2.9966625510563099E-2</v>
      </c>
      <c r="C148">
        <v>3.6843754178801799E-2</v>
      </c>
      <c r="D148">
        <v>5.6869734933791702E-2</v>
      </c>
      <c r="E148" t="s">
        <v>1538</v>
      </c>
      <c r="F148" t="s">
        <v>1392</v>
      </c>
      <c r="G148">
        <v>84.402000000000001</v>
      </c>
      <c r="H148">
        <v>9.0863441811530592E-3</v>
      </c>
      <c r="I148">
        <v>83.231999999999999</v>
      </c>
      <c r="J148">
        <v>1.39239118517707E-2</v>
      </c>
      <c r="K148" t="s">
        <v>1029</v>
      </c>
      <c r="L148" t="s">
        <v>883</v>
      </c>
    </row>
    <row r="149" spans="1:12" x14ac:dyDescent="0.35">
      <c r="A149">
        <v>-6.5707467210734897E-3</v>
      </c>
      <c r="B149">
        <v>2.09838687014814E-2</v>
      </c>
      <c r="C149">
        <v>3.0338463665483501E-2</v>
      </c>
      <c r="D149">
        <v>9.7213617262259494E-2</v>
      </c>
      <c r="E149" t="s">
        <v>1539</v>
      </c>
      <c r="F149" t="s">
        <v>1392</v>
      </c>
      <c r="G149">
        <v>85.034999999999997</v>
      </c>
      <c r="H149">
        <v>7.4998222790929603E-3</v>
      </c>
      <c r="I149">
        <v>85.185000000000002</v>
      </c>
      <c r="J149">
        <v>2.34645328719723E-2</v>
      </c>
      <c r="K149" t="s">
        <v>1030</v>
      </c>
      <c r="L149" t="s">
        <v>883</v>
      </c>
    </row>
    <row r="150" spans="1:12" x14ac:dyDescent="0.35">
      <c r="A150">
        <v>3.7059917165470399E-2</v>
      </c>
      <c r="B150">
        <v>3.4651107406359301E-2</v>
      </c>
      <c r="C150">
        <v>7.2299496950969405E-2</v>
      </c>
      <c r="D150">
        <v>0.104792955269219</v>
      </c>
      <c r="E150" t="s">
        <v>1540</v>
      </c>
      <c r="F150" t="s">
        <v>1392</v>
      </c>
      <c r="G150">
        <v>86.531999999999996</v>
      </c>
      <c r="H150">
        <v>1.7604515787616799E-2</v>
      </c>
      <c r="I150">
        <v>87.334000000000003</v>
      </c>
      <c r="J150">
        <v>2.5227446146622E-2</v>
      </c>
      <c r="K150" t="s">
        <v>1031</v>
      </c>
      <c r="L150" t="s">
        <v>883</v>
      </c>
    </row>
    <row r="151" spans="1:12" x14ac:dyDescent="0.35">
      <c r="A151">
        <v>3.4406916686266602E-2</v>
      </c>
      <c r="B151">
        <v>3.2361806516408201E-2</v>
      </c>
      <c r="C151">
        <v>4.4022069506022297E-2</v>
      </c>
      <c r="D151">
        <v>4.2476788274359099E-2</v>
      </c>
      <c r="E151" t="s">
        <v>1541</v>
      </c>
      <c r="F151" t="s">
        <v>1392</v>
      </c>
      <c r="G151">
        <v>87.468999999999994</v>
      </c>
      <c r="H151">
        <v>1.0828364073406401E-2</v>
      </c>
      <c r="I151">
        <v>88.247</v>
      </c>
      <c r="J151">
        <v>1.0454118670849799E-2</v>
      </c>
      <c r="K151" t="s">
        <v>1032</v>
      </c>
      <c r="L151" t="s">
        <v>883</v>
      </c>
    </row>
    <row r="152" spans="1:12" x14ac:dyDescent="0.35">
      <c r="A152">
        <v>2.2795387185985401E-2</v>
      </c>
      <c r="B152">
        <v>2.78463672712683E-2</v>
      </c>
      <c r="C152">
        <v>4.5480126137950501E-2</v>
      </c>
      <c r="D152">
        <v>3.9088464000031499E-2</v>
      </c>
      <c r="E152" t="s">
        <v>1542</v>
      </c>
      <c r="F152" t="s">
        <v>1392</v>
      </c>
      <c r="G152">
        <v>88.447000000000003</v>
      </c>
      <c r="H152">
        <v>1.11811041626177E-2</v>
      </c>
      <c r="I152">
        <v>89.096999999999994</v>
      </c>
      <c r="J152">
        <v>9.6320554806394992E-3</v>
      </c>
      <c r="K152" t="s">
        <v>1033</v>
      </c>
      <c r="L152" t="s">
        <v>883</v>
      </c>
    </row>
    <row r="153" spans="1:12" x14ac:dyDescent="0.35">
      <c r="A153">
        <v>4.1308326629664098E-2</v>
      </c>
      <c r="B153">
        <v>3.2459146974833902E-2</v>
      </c>
      <c r="C153">
        <v>6.2039731527971001E-2</v>
      </c>
      <c r="D153">
        <v>4.7886506250196997E-2</v>
      </c>
      <c r="E153" t="s">
        <v>1543</v>
      </c>
      <c r="F153" t="s">
        <v>1392</v>
      </c>
      <c r="G153">
        <v>89.787999999999997</v>
      </c>
      <c r="H153">
        <v>1.51616222144335E-2</v>
      </c>
      <c r="I153">
        <v>90.144999999999996</v>
      </c>
      <c r="J153">
        <v>1.1762461137861099E-2</v>
      </c>
      <c r="K153" t="s">
        <v>1034</v>
      </c>
      <c r="L153" t="s">
        <v>883</v>
      </c>
    </row>
    <row r="154" spans="1:12" x14ac:dyDescent="0.35">
      <c r="A154">
        <v>3.2954987594988598E-2</v>
      </c>
      <c r="B154">
        <v>3.4144429632388298E-2</v>
      </c>
      <c r="C154">
        <v>7.23147883586404E-2</v>
      </c>
      <c r="D154">
        <v>3.8436409888859401E-2</v>
      </c>
      <c r="E154" t="s">
        <v>1544</v>
      </c>
      <c r="F154" t="s">
        <v>1392</v>
      </c>
      <c r="G154">
        <v>91.369</v>
      </c>
      <c r="H154">
        <v>1.7608143627210901E-2</v>
      </c>
      <c r="I154">
        <v>90.998999999999995</v>
      </c>
      <c r="J154">
        <v>9.4736258250596207E-3</v>
      </c>
      <c r="K154" t="s">
        <v>1035</v>
      </c>
      <c r="L154" t="s">
        <v>883</v>
      </c>
    </row>
    <row r="155" spans="1:12" x14ac:dyDescent="0.35">
      <c r="A155">
        <v>3.9493950261418401E-2</v>
      </c>
      <c r="B155">
        <v>4.1602053152730099E-2</v>
      </c>
      <c r="C155">
        <v>6.3263019462217004E-2</v>
      </c>
      <c r="D155">
        <v>3.1126430511134499E-2</v>
      </c>
      <c r="E155" t="s">
        <v>1545</v>
      </c>
      <c r="F155" t="s">
        <v>1392</v>
      </c>
      <c r="G155">
        <v>92.781000000000006</v>
      </c>
      <c r="H155">
        <v>1.5453819129026301E-2</v>
      </c>
      <c r="I155">
        <v>91.698999999999998</v>
      </c>
      <c r="J155">
        <v>7.6923922240903497E-3</v>
      </c>
      <c r="K155" t="s">
        <v>1036</v>
      </c>
      <c r="L155" t="s">
        <v>883</v>
      </c>
    </row>
    <row r="156" spans="1:12" x14ac:dyDescent="0.35">
      <c r="A156">
        <v>4.3386852489040402E-2</v>
      </c>
      <c r="B156">
        <v>3.03408157550791E-2</v>
      </c>
      <c r="C156">
        <v>5.52136316684275E-2</v>
      </c>
      <c r="D156">
        <v>5.2701497522020399E-2</v>
      </c>
      <c r="E156" t="s">
        <v>1546</v>
      </c>
      <c r="F156" t="s">
        <v>1392</v>
      </c>
      <c r="G156">
        <v>94.036000000000001</v>
      </c>
      <c r="H156">
        <v>1.35264763259719E-2</v>
      </c>
      <c r="I156">
        <v>92.884</v>
      </c>
      <c r="J156">
        <v>1.29227145334192E-2</v>
      </c>
      <c r="K156" t="s">
        <v>1037</v>
      </c>
      <c r="L156" t="s">
        <v>883</v>
      </c>
    </row>
    <row r="157" spans="1:12" x14ac:dyDescent="0.35">
      <c r="A157">
        <v>-6.2360196436278902E-2</v>
      </c>
      <c r="B157">
        <v>-1.8917326805224201E-2</v>
      </c>
      <c r="C157">
        <v>-7.4155067193705196E-2</v>
      </c>
      <c r="D157">
        <v>7.5335045349203197E-2</v>
      </c>
      <c r="E157" t="s">
        <v>1547</v>
      </c>
      <c r="F157" t="s">
        <v>1392</v>
      </c>
      <c r="G157">
        <v>92.242000000000004</v>
      </c>
      <c r="H157">
        <v>-1.9077799991492599E-2</v>
      </c>
      <c r="I157">
        <v>94.585999999999999</v>
      </c>
      <c r="J157">
        <v>1.8323930924594199E-2</v>
      </c>
      <c r="K157" t="s">
        <v>1038</v>
      </c>
      <c r="L157" t="s">
        <v>883</v>
      </c>
    </row>
    <row r="158" spans="1:12" x14ac:dyDescent="0.35">
      <c r="A158">
        <v>-2.6731212813050201E-2</v>
      </c>
      <c r="B158">
        <v>-3.3135327897025703E-2</v>
      </c>
      <c r="C158">
        <v>-6.8462037949067106E-2</v>
      </c>
      <c r="D158">
        <v>2.5185264843212301E-2</v>
      </c>
      <c r="E158" t="s">
        <v>1548</v>
      </c>
      <c r="F158" t="s">
        <v>1392</v>
      </c>
      <c r="G158">
        <v>90.620999999999995</v>
      </c>
      <c r="H158">
        <v>-1.7573339693415201E-2</v>
      </c>
      <c r="I158">
        <v>95.176000000000002</v>
      </c>
      <c r="J158">
        <v>6.2377095976149403E-3</v>
      </c>
      <c r="K158" t="s">
        <v>1039</v>
      </c>
      <c r="L158" t="s">
        <v>883</v>
      </c>
    </row>
    <row r="159" spans="1:12" x14ac:dyDescent="0.35">
      <c r="A159">
        <v>1.6004255010514602E-2</v>
      </c>
      <c r="B159">
        <v>7.2471101838833497E-4</v>
      </c>
      <c r="C159">
        <v>1.9832196265286098E-2</v>
      </c>
      <c r="D159">
        <v>-3.4674689642026801E-2</v>
      </c>
      <c r="E159" t="s">
        <v>1549</v>
      </c>
      <c r="F159" t="s">
        <v>1392</v>
      </c>
      <c r="G159">
        <v>91.066999999999993</v>
      </c>
      <c r="H159">
        <v>4.9215965394333603E-3</v>
      </c>
      <c r="I159">
        <v>94.34</v>
      </c>
      <c r="J159">
        <v>-8.7837269899974108E-3</v>
      </c>
      <c r="K159" t="s">
        <v>1040</v>
      </c>
      <c r="L159" t="s">
        <v>883</v>
      </c>
    </row>
    <row r="160" spans="1:12" x14ac:dyDescent="0.35">
      <c r="A160">
        <v>2.78350080421834E-2</v>
      </c>
      <c r="B160">
        <v>1.22854862155337E-2</v>
      </c>
      <c r="C160">
        <v>3.47933032481611E-2</v>
      </c>
      <c r="D160">
        <v>-3.55556982427905E-2</v>
      </c>
      <c r="E160" t="s">
        <v>1550</v>
      </c>
      <c r="F160" t="s">
        <v>1392</v>
      </c>
      <c r="G160">
        <v>91.849000000000004</v>
      </c>
      <c r="H160">
        <v>8.5870842346844594E-3</v>
      </c>
      <c r="I160">
        <v>93.49</v>
      </c>
      <c r="J160">
        <v>-9.0099639601441996E-3</v>
      </c>
      <c r="K160" t="s">
        <v>1041</v>
      </c>
      <c r="L160" t="s">
        <v>883</v>
      </c>
    </row>
    <row r="161" spans="1:12" x14ac:dyDescent="0.35">
      <c r="A161">
        <v>3.1240948480233E-2</v>
      </c>
      <c r="B161">
        <v>3.11127095791379E-2</v>
      </c>
      <c r="C161">
        <v>3.76238534925952E-2</v>
      </c>
      <c r="D161">
        <v>-3.0769865450653898E-3</v>
      </c>
      <c r="E161" t="s">
        <v>1551</v>
      </c>
      <c r="F161" t="s">
        <v>1392</v>
      </c>
      <c r="G161">
        <v>92.700999999999993</v>
      </c>
      <c r="H161">
        <v>9.2760944593843798E-3</v>
      </c>
      <c r="I161">
        <v>93.418000000000006</v>
      </c>
      <c r="J161">
        <v>-7.7013584340557305E-4</v>
      </c>
      <c r="K161" t="s">
        <v>1042</v>
      </c>
      <c r="L161" t="s">
        <v>883</v>
      </c>
    </row>
    <row r="162" spans="1:12" x14ac:dyDescent="0.35">
      <c r="A162">
        <v>1.5538458112328299E-2</v>
      </c>
      <c r="B162">
        <v>2.5706833981413501E-2</v>
      </c>
      <c r="C162">
        <v>4.6975487060338501E-2</v>
      </c>
      <c r="D162">
        <v>1.13952226394907E-2</v>
      </c>
      <c r="E162" t="s">
        <v>1552</v>
      </c>
      <c r="F162" t="s">
        <v>1392</v>
      </c>
      <c r="G162">
        <v>93.771000000000001</v>
      </c>
      <c r="H162">
        <v>1.15424860573241E-2</v>
      </c>
      <c r="I162">
        <v>93.683000000000007</v>
      </c>
      <c r="J162">
        <v>2.8367124108843499E-3</v>
      </c>
      <c r="K162" t="s">
        <v>1043</v>
      </c>
      <c r="L162" t="s">
        <v>883</v>
      </c>
    </row>
    <row r="163" spans="1:12" x14ac:dyDescent="0.35">
      <c r="A163">
        <v>6.2204942357442202E-3</v>
      </c>
      <c r="B163">
        <v>3.1017939025557401E-2</v>
      </c>
      <c r="C163">
        <v>2.9062361366274402E-2</v>
      </c>
      <c r="D163">
        <v>1.7491325837778699E-2</v>
      </c>
      <c r="E163" t="s">
        <v>1553</v>
      </c>
      <c r="F163" t="s">
        <v>1392</v>
      </c>
      <c r="G163">
        <v>94.444999999999993</v>
      </c>
      <c r="H163">
        <v>7.18772328331774E-3</v>
      </c>
      <c r="I163">
        <v>94.09</v>
      </c>
      <c r="J163">
        <v>4.3444381584705196E-3</v>
      </c>
      <c r="K163" t="s">
        <v>1044</v>
      </c>
      <c r="L163" t="s">
        <v>883</v>
      </c>
    </row>
    <row r="164" spans="1:12" x14ac:dyDescent="0.35">
      <c r="A164">
        <v>7.72594376628044E-3</v>
      </c>
      <c r="B164">
        <v>1.59750935835106E-2</v>
      </c>
      <c r="C164">
        <v>2.3067349052007899E-2</v>
      </c>
      <c r="D164">
        <v>1.2643202128826501E-2</v>
      </c>
      <c r="E164" t="s">
        <v>1554</v>
      </c>
      <c r="F164" t="s">
        <v>1392</v>
      </c>
      <c r="G164">
        <v>94.984999999999999</v>
      </c>
      <c r="H164">
        <v>5.7176134258034601E-3</v>
      </c>
      <c r="I164">
        <v>94.385999999999996</v>
      </c>
      <c r="J164">
        <v>3.1459241152087501E-3</v>
      </c>
      <c r="K164" t="s">
        <v>1045</v>
      </c>
      <c r="L164" t="s">
        <v>883</v>
      </c>
    </row>
    <row r="165" spans="1:12" x14ac:dyDescent="0.35">
      <c r="A165">
        <v>2.5862689650447499E-2</v>
      </c>
      <c r="B165">
        <v>3.29452826155043E-2</v>
      </c>
      <c r="C165">
        <v>3.7879756208726099E-2</v>
      </c>
      <c r="D165">
        <v>1.8090208281751299E-2</v>
      </c>
      <c r="E165" t="s">
        <v>1555</v>
      </c>
      <c r="F165" t="s">
        <v>1392</v>
      </c>
      <c r="G165">
        <v>95.872</v>
      </c>
      <c r="H165">
        <v>9.3383165763014607E-3</v>
      </c>
      <c r="I165">
        <v>94.81</v>
      </c>
      <c r="J165">
        <v>4.4921916385904899E-3</v>
      </c>
      <c r="K165" t="s">
        <v>1046</v>
      </c>
      <c r="L165" t="s">
        <v>883</v>
      </c>
    </row>
    <row r="166" spans="1:12" x14ac:dyDescent="0.35">
      <c r="A166">
        <v>3.4016266815046298E-2</v>
      </c>
      <c r="B166">
        <v>3.64259738306612E-2</v>
      </c>
      <c r="C166">
        <v>4.5137017344844002E-2</v>
      </c>
      <c r="D166">
        <v>2.4394704867924499E-2</v>
      </c>
      <c r="E166" t="s">
        <v>1556</v>
      </c>
      <c r="F166" t="s">
        <v>1392</v>
      </c>
      <c r="G166">
        <v>96.936000000000007</v>
      </c>
      <c r="H166">
        <v>1.10981308411215E-2</v>
      </c>
      <c r="I166">
        <v>95.382999999999996</v>
      </c>
      <c r="J166">
        <v>6.0436662799281402E-3</v>
      </c>
      <c r="K166" t="s">
        <v>1047</v>
      </c>
      <c r="L166" t="s">
        <v>883</v>
      </c>
    </row>
    <row r="167" spans="1:12" x14ac:dyDescent="0.35">
      <c r="A167">
        <v>3.9906323464895102E-2</v>
      </c>
      <c r="B167">
        <v>3.6682670107609103E-2</v>
      </c>
      <c r="C167">
        <v>5.0829697512543702E-2</v>
      </c>
      <c r="D167">
        <v>4.1043493786856698E-2</v>
      </c>
      <c r="E167" t="s">
        <v>1557</v>
      </c>
      <c r="F167" t="s">
        <v>1392</v>
      </c>
      <c r="G167">
        <v>98.144999999999996</v>
      </c>
      <c r="H167">
        <v>1.24721465709332E-2</v>
      </c>
      <c r="I167">
        <v>96.346999999999994</v>
      </c>
      <c r="J167">
        <v>1.01066227734501E-2</v>
      </c>
      <c r="K167" t="s">
        <v>1048</v>
      </c>
      <c r="L167" t="s">
        <v>883</v>
      </c>
    </row>
    <row r="168" spans="1:12" x14ac:dyDescent="0.35">
      <c r="A168">
        <v>1.8640626124373699E-2</v>
      </c>
      <c r="B168">
        <v>1.39908352832361E-2</v>
      </c>
      <c r="C168">
        <v>1.5247657751557699E-2</v>
      </c>
      <c r="D168">
        <v>4.5983903903995101E-2</v>
      </c>
      <c r="E168" t="s">
        <v>1558</v>
      </c>
      <c r="F168" t="s">
        <v>1392</v>
      </c>
      <c r="G168">
        <v>98.516999999999996</v>
      </c>
      <c r="H168">
        <v>3.7903102552345699E-3</v>
      </c>
      <c r="I168">
        <v>97.436000000000007</v>
      </c>
      <c r="J168">
        <v>1.13028947450362E-2</v>
      </c>
      <c r="K168" t="s">
        <v>1049</v>
      </c>
      <c r="L168" t="s">
        <v>883</v>
      </c>
    </row>
    <row r="169" spans="1:12" x14ac:dyDescent="0.35">
      <c r="A169">
        <v>1.32561299755005E-2</v>
      </c>
      <c r="B169">
        <v>-5.33618345022691E-3</v>
      </c>
      <c r="C169">
        <v>-1.40950235359611E-2</v>
      </c>
      <c r="D169">
        <v>3.8137779822804398E-2</v>
      </c>
      <c r="E169" t="s">
        <v>1559</v>
      </c>
      <c r="F169" t="s">
        <v>1392</v>
      </c>
      <c r="G169">
        <v>98.168000000000006</v>
      </c>
      <c r="H169">
        <v>-3.54253580600294E-3</v>
      </c>
      <c r="I169">
        <v>98.352000000000004</v>
      </c>
      <c r="J169">
        <v>9.4010427357444897E-3</v>
      </c>
      <c r="K169" t="s">
        <v>1050</v>
      </c>
      <c r="L169" t="s">
        <v>883</v>
      </c>
    </row>
    <row r="170" spans="1:12" x14ac:dyDescent="0.35">
      <c r="A170">
        <v>2.6761481120787502E-2</v>
      </c>
      <c r="B170">
        <v>1.39201532997375E-2</v>
      </c>
      <c r="C170">
        <v>5.4116713606157101E-2</v>
      </c>
      <c r="D170">
        <v>3.0312571909831599E-2</v>
      </c>
      <c r="E170" t="s">
        <v>1560</v>
      </c>
      <c r="F170" t="s">
        <v>1392</v>
      </c>
      <c r="G170">
        <v>99.47</v>
      </c>
      <c r="H170">
        <v>1.32629777524242E-2</v>
      </c>
      <c r="I170">
        <v>99.088999999999999</v>
      </c>
      <c r="J170">
        <v>7.4934927606962196E-3</v>
      </c>
      <c r="K170" t="s">
        <v>1051</v>
      </c>
      <c r="L170" t="s">
        <v>883</v>
      </c>
    </row>
    <row r="171" spans="1:12" x14ac:dyDescent="0.35">
      <c r="A171">
        <v>9.7203652064314899E-3</v>
      </c>
      <c r="B171">
        <v>8.8550245823753003E-3</v>
      </c>
      <c r="C171">
        <v>-6.9787462524018001E-3</v>
      </c>
      <c r="D171">
        <v>3.2273930792219303E-2</v>
      </c>
      <c r="E171" t="s">
        <v>1561</v>
      </c>
      <c r="F171" t="s">
        <v>1392</v>
      </c>
      <c r="G171">
        <v>99.296000000000006</v>
      </c>
      <c r="H171">
        <v>-1.7492711370261599E-3</v>
      </c>
      <c r="I171">
        <v>99.879000000000005</v>
      </c>
      <c r="J171">
        <v>7.9726306653615797E-3</v>
      </c>
      <c r="K171" t="s">
        <v>1052</v>
      </c>
      <c r="L171" t="s">
        <v>883</v>
      </c>
    </row>
    <row r="172" spans="1:12" x14ac:dyDescent="0.35">
      <c r="A172">
        <v>1.1676944984941699E-2</v>
      </c>
      <c r="B172">
        <v>7.7077122555302396E-3</v>
      </c>
      <c r="C172">
        <v>2.44311343320835E-2</v>
      </c>
      <c r="D172">
        <v>2.17207841742009E-2</v>
      </c>
      <c r="E172" t="s">
        <v>1562</v>
      </c>
      <c r="F172" t="s">
        <v>1392</v>
      </c>
      <c r="G172">
        <v>99.897000000000006</v>
      </c>
      <c r="H172">
        <v>6.0526103770543998E-3</v>
      </c>
      <c r="I172">
        <v>100.417</v>
      </c>
      <c r="J172">
        <v>5.3865176864005297E-3</v>
      </c>
      <c r="K172" t="s">
        <v>1053</v>
      </c>
      <c r="L172" t="s">
        <v>883</v>
      </c>
    </row>
    <row r="173" spans="1:12" x14ac:dyDescent="0.35">
      <c r="A173">
        <v>2.2614716677978E-2</v>
      </c>
      <c r="B173">
        <v>4.9632662336496196E-3</v>
      </c>
      <c r="C173">
        <v>5.8918140200379103E-2</v>
      </c>
      <c r="D173">
        <v>7.9104688711333394E-3</v>
      </c>
      <c r="E173" t="s">
        <v>1563</v>
      </c>
      <c r="F173" t="s">
        <v>1392</v>
      </c>
      <c r="G173">
        <v>101.337</v>
      </c>
      <c r="H173">
        <v>1.4414847292711501E-2</v>
      </c>
      <c r="I173">
        <v>100.61499999999999</v>
      </c>
      <c r="J173">
        <v>1.9717776870449301E-3</v>
      </c>
      <c r="K173" t="s">
        <v>1054</v>
      </c>
      <c r="L173" t="s">
        <v>883</v>
      </c>
    </row>
    <row r="174" spans="1:12" x14ac:dyDescent="0.35">
      <c r="A174">
        <v>1.45079389824292E-2</v>
      </c>
      <c r="B174">
        <v>-1.9949826125076301E-4</v>
      </c>
      <c r="C174">
        <v>5.3376513955371498E-2</v>
      </c>
      <c r="D174">
        <v>1.6319173615011201E-2</v>
      </c>
      <c r="E174" t="s">
        <v>1564</v>
      </c>
      <c r="F174" t="s">
        <v>1392</v>
      </c>
      <c r="G174">
        <v>102.663</v>
      </c>
      <c r="H174">
        <v>1.3085052843482501E-2</v>
      </c>
      <c r="I174">
        <v>101.023</v>
      </c>
      <c r="J174">
        <v>4.05506137255873E-3</v>
      </c>
      <c r="K174" t="s">
        <v>1055</v>
      </c>
      <c r="L174" t="s">
        <v>883</v>
      </c>
    </row>
    <row r="175" spans="1:12" x14ac:dyDescent="0.35">
      <c r="A175">
        <v>2.8548469670495202E-3</v>
      </c>
      <c r="B175">
        <v>7.9245575399269404E-3</v>
      </c>
      <c r="C175">
        <v>2.14833879994034E-2</v>
      </c>
      <c r="D175">
        <v>2.0547855013869399E-2</v>
      </c>
      <c r="E175" t="s">
        <v>1565</v>
      </c>
      <c r="F175" t="s">
        <v>1392</v>
      </c>
      <c r="G175">
        <v>103.21</v>
      </c>
      <c r="H175">
        <v>5.3281123676494103E-3</v>
      </c>
      <c r="I175">
        <v>101.538</v>
      </c>
      <c r="J175">
        <v>5.0978490046820202E-3</v>
      </c>
      <c r="K175" t="s">
        <v>1056</v>
      </c>
      <c r="L175" t="s">
        <v>883</v>
      </c>
    </row>
    <row r="176" spans="1:12" x14ac:dyDescent="0.35">
      <c r="A176">
        <v>1.6326843500240801E-2</v>
      </c>
      <c r="B176">
        <v>1.3006397529373E-2</v>
      </c>
      <c r="C176">
        <v>3.4225885044726997E-2</v>
      </c>
      <c r="D176">
        <v>2.1723337040250802E-2</v>
      </c>
      <c r="E176" t="s">
        <v>1566</v>
      </c>
      <c r="F176" t="s">
        <v>1392</v>
      </c>
      <c r="G176">
        <v>104.08199999999999</v>
      </c>
      <c r="H176">
        <v>8.4487937215385108E-3</v>
      </c>
      <c r="I176">
        <v>102.08499999999999</v>
      </c>
      <c r="J176">
        <v>5.3871456991470001E-3</v>
      </c>
      <c r="K176" t="s">
        <v>1057</v>
      </c>
      <c r="L176" t="s">
        <v>883</v>
      </c>
    </row>
    <row r="177" spans="1:12" x14ac:dyDescent="0.35">
      <c r="A177">
        <v>1.6859105016114002E-2</v>
      </c>
      <c r="B177">
        <v>6.2259222369993199E-2</v>
      </c>
      <c r="C177">
        <v>2.1461497744286601E-2</v>
      </c>
      <c r="D177">
        <v>3.0554089712781E-2</v>
      </c>
      <c r="E177" t="s">
        <v>1567</v>
      </c>
      <c r="F177" t="s">
        <v>1392</v>
      </c>
      <c r="G177">
        <v>104.636</v>
      </c>
      <c r="H177">
        <v>5.3227263119464104E-3</v>
      </c>
      <c r="I177">
        <v>102.85599999999999</v>
      </c>
      <c r="J177">
        <v>7.55252975461618E-3</v>
      </c>
      <c r="K177" t="s">
        <v>1058</v>
      </c>
      <c r="L177" t="s">
        <v>883</v>
      </c>
    </row>
    <row r="178" spans="1:12" x14ac:dyDescent="0.35">
      <c r="A178">
        <v>1.93744928521071E-2</v>
      </c>
      <c r="B178">
        <v>-1.02831916231174E-2</v>
      </c>
      <c r="C178">
        <v>3.4027993671362999E-2</v>
      </c>
      <c r="D178">
        <v>2.27077607090642E-2</v>
      </c>
      <c r="E178" t="s">
        <v>1568</v>
      </c>
      <c r="F178" t="s">
        <v>1392</v>
      </c>
      <c r="G178">
        <v>105.515</v>
      </c>
      <c r="H178">
        <v>8.4005504797584098E-3</v>
      </c>
      <c r="I178">
        <v>103.435</v>
      </c>
      <c r="J178">
        <v>5.6292292136579398E-3</v>
      </c>
      <c r="K178" t="s">
        <v>1059</v>
      </c>
      <c r="L178" t="s">
        <v>883</v>
      </c>
    </row>
    <row r="179" spans="1:12" x14ac:dyDescent="0.35">
      <c r="A179">
        <v>2.0192934056340501E-2</v>
      </c>
      <c r="B179">
        <v>1.7798477087045E-2</v>
      </c>
      <c r="C179">
        <v>1.2683683496116101E-2</v>
      </c>
      <c r="D179">
        <v>1.8378329285591199E-2</v>
      </c>
      <c r="E179" t="s">
        <v>1569</v>
      </c>
      <c r="F179" t="s">
        <v>1392</v>
      </c>
      <c r="G179">
        <v>105.848</v>
      </c>
      <c r="H179">
        <v>3.1559493910817702E-3</v>
      </c>
      <c r="I179">
        <v>103.907</v>
      </c>
      <c r="J179">
        <v>4.5632522840430801E-3</v>
      </c>
      <c r="K179" t="s">
        <v>1060</v>
      </c>
      <c r="L179" t="s">
        <v>883</v>
      </c>
    </row>
    <row r="180" spans="1:12" x14ac:dyDescent="0.35">
      <c r="A180">
        <v>1.13601398604235E-2</v>
      </c>
      <c r="B180">
        <v>1.8827452214838801E-2</v>
      </c>
      <c r="C180">
        <v>2.3098181930942801E-2</v>
      </c>
      <c r="D180">
        <v>1.94654703730235E-2</v>
      </c>
      <c r="E180" t="s">
        <v>1570</v>
      </c>
      <c r="F180" t="s">
        <v>1392</v>
      </c>
      <c r="G180">
        <v>106.45399999999999</v>
      </c>
      <c r="H180">
        <v>5.7251908396946903E-3</v>
      </c>
      <c r="I180">
        <v>104.40900000000001</v>
      </c>
      <c r="J180">
        <v>4.8312433233566E-3</v>
      </c>
      <c r="K180" t="s">
        <v>1061</v>
      </c>
      <c r="L180" t="s">
        <v>883</v>
      </c>
    </row>
    <row r="181" spans="1:12" x14ac:dyDescent="0.35">
      <c r="A181">
        <v>-4.6048768205230201E-3</v>
      </c>
      <c r="B181">
        <v>5.3720415632923001E-3</v>
      </c>
      <c r="C181">
        <v>-3.1150724387948299E-3</v>
      </c>
      <c r="D181">
        <v>7.0678568534106E-3</v>
      </c>
      <c r="E181" t="s">
        <v>1571</v>
      </c>
      <c r="F181" t="s">
        <v>1392</v>
      </c>
      <c r="G181">
        <v>106.371</v>
      </c>
      <c r="H181">
        <v>-7.7967948597512703E-4</v>
      </c>
      <c r="I181">
        <v>104.593</v>
      </c>
      <c r="J181">
        <v>1.76230018484991E-3</v>
      </c>
      <c r="K181" t="s">
        <v>1062</v>
      </c>
      <c r="L181" t="s">
        <v>883</v>
      </c>
    </row>
    <row r="182" spans="1:12" x14ac:dyDescent="0.35">
      <c r="A182">
        <v>-1.65067373701384E-2</v>
      </c>
      <c r="B182">
        <v>-6.4248737444822001E-3</v>
      </c>
      <c r="C182">
        <v>-3.9305105462135198E-2</v>
      </c>
      <c r="D182">
        <v>-1.18502082280647E-3</v>
      </c>
      <c r="E182" t="s">
        <v>1572</v>
      </c>
      <c r="F182" t="s">
        <v>1392</v>
      </c>
      <c r="G182">
        <v>105.31</v>
      </c>
      <c r="H182">
        <v>-9.9745231313045392E-3</v>
      </c>
      <c r="I182">
        <v>104.562</v>
      </c>
      <c r="J182">
        <v>-2.9638694750133698E-4</v>
      </c>
      <c r="K182" t="s">
        <v>1063</v>
      </c>
      <c r="L182" t="s">
        <v>883</v>
      </c>
    </row>
    <row r="183" spans="1:12" x14ac:dyDescent="0.35">
      <c r="A183">
        <v>1.9548766403745001E-2</v>
      </c>
      <c r="B183">
        <v>7.87290366046434E-3</v>
      </c>
      <c r="C183">
        <v>2.82887807392058E-2</v>
      </c>
      <c r="D183">
        <v>1.76749178700988E-2</v>
      </c>
      <c r="E183" t="s">
        <v>1573</v>
      </c>
      <c r="F183" t="s">
        <v>1392</v>
      </c>
      <c r="G183">
        <v>106.047</v>
      </c>
      <c r="H183">
        <v>6.9983857183553199E-3</v>
      </c>
      <c r="I183">
        <v>105.021</v>
      </c>
      <c r="J183">
        <v>4.3897400585299904E-3</v>
      </c>
      <c r="K183" t="s">
        <v>1064</v>
      </c>
      <c r="L183" t="s">
        <v>883</v>
      </c>
    </row>
    <row r="184" spans="1:12" x14ac:dyDescent="0.35">
      <c r="A184">
        <v>9.6917092109320997E-3</v>
      </c>
      <c r="B184">
        <v>6.1419866574232698E-3</v>
      </c>
      <c r="C184">
        <v>2.4162101667697402E-3</v>
      </c>
      <c r="D184">
        <v>1.1398511762960899E-2</v>
      </c>
      <c r="E184" t="s">
        <v>1574</v>
      </c>
      <c r="F184" t="s">
        <v>1392</v>
      </c>
      <c r="G184">
        <v>106.111</v>
      </c>
      <c r="H184">
        <v>6.0350599262592997E-4</v>
      </c>
      <c r="I184">
        <v>105.319</v>
      </c>
      <c r="J184">
        <v>2.8375277325487498E-3</v>
      </c>
      <c r="K184" t="s">
        <v>1065</v>
      </c>
      <c r="L184" t="s">
        <v>883</v>
      </c>
    </row>
    <row r="185" spans="1:12" x14ac:dyDescent="0.35">
      <c r="A185">
        <v>-3.9403871252573497E-3</v>
      </c>
      <c r="B185">
        <v>-3.1716537268759999E-3</v>
      </c>
      <c r="C185">
        <v>-1.5664221695060501E-2</v>
      </c>
      <c r="D185">
        <v>-2.2010123911118101E-3</v>
      </c>
      <c r="E185" t="s">
        <v>1575</v>
      </c>
      <c r="F185" t="s">
        <v>1392</v>
      </c>
      <c r="G185">
        <v>105.693</v>
      </c>
      <c r="H185">
        <v>-3.9392711405981098E-3</v>
      </c>
      <c r="I185">
        <v>105.261</v>
      </c>
      <c r="J185">
        <v>-5.5070784948596497E-4</v>
      </c>
      <c r="K185" t="s">
        <v>1066</v>
      </c>
      <c r="L185" t="s">
        <v>883</v>
      </c>
    </row>
    <row r="186" spans="1:12" x14ac:dyDescent="0.35">
      <c r="A186">
        <v>2.1316685833889801E-3</v>
      </c>
      <c r="B186">
        <v>-9.9615046560082004E-3</v>
      </c>
      <c r="C186">
        <v>-3.3665208430493802E-2</v>
      </c>
      <c r="D186">
        <v>-9.6550430027560995E-3</v>
      </c>
      <c r="E186" t="s">
        <v>1576</v>
      </c>
      <c r="F186" t="s">
        <v>1392</v>
      </c>
      <c r="G186">
        <v>104.792</v>
      </c>
      <c r="H186">
        <v>-8.5246894307096106E-3</v>
      </c>
      <c r="I186">
        <v>105.006</v>
      </c>
      <c r="J186">
        <v>-2.4225496622680702E-3</v>
      </c>
      <c r="K186" t="s">
        <v>1067</v>
      </c>
      <c r="L186" t="s">
        <v>883</v>
      </c>
    </row>
    <row r="187" spans="1:12" x14ac:dyDescent="0.35">
      <c r="A187">
        <v>2.5357857709627601E-2</v>
      </c>
      <c r="B187">
        <v>2.1698746196001199E-2</v>
      </c>
      <c r="C187">
        <v>3.0770998377488399E-2</v>
      </c>
      <c r="D187">
        <v>3.3008554152673703E-2</v>
      </c>
      <c r="E187" t="s">
        <v>1577</v>
      </c>
      <c r="F187" t="s">
        <v>1392</v>
      </c>
      <c r="G187">
        <v>105.589</v>
      </c>
      <c r="H187">
        <v>7.6055424078174099E-3</v>
      </c>
      <c r="I187">
        <v>105.86199999999999</v>
      </c>
      <c r="J187">
        <v>8.1519151286593202E-3</v>
      </c>
      <c r="K187" t="s">
        <v>1068</v>
      </c>
      <c r="L187" t="s">
        <v>883</v>
      </c>
    </row>
    <row r="188" spans="1:12" x14ac:dyDescent="0.35">
      <c r="A188">
        <v>1.5085753101185199E-2</v>
      </c>
      <c r="B188">
        <v>1.5625918949128799E-2</v>
      </c>
      <c r="C188">
        <v>1.5469326265677499E-2</v>
      </c>
      <c r="D188">
        <v>3.0262315011426702E-3</v>
      </c>
      <c r="E188" t="s">
        <v>1578</v>
      </c>
      <c r="F188" t="s">
        <v>1392</v>
      </c>
      <c r="G188">
        <v>105.995</v>
      </c>
      <c r="H188">
        <v>3.8450975006867299E-3</v>
      </c>
      <c r="I188">
        <v>105.94199999999999</v>
      </c>
      <c r="J188">
        <v>7.5570081804610101E-4</v>
      </c>
      <c r="K188" t="s">
        <v>1069</v>
      </c>
      <c r="L188" t="s">
        <v>883</v>
      </c>
    </row>
    <row r="189" spans="1:12" x14ac:dyDescent="0.35">
      <c r="A189">
        <v>1.9065277405527499E-2</v>
      </c>
      <c r="B189">
        <v>1.9426037707255001E-2</v>
      </c>
      <c r="C189">
        <v>1.98067429774604E-2</v>
      </c>
      <c r="D189">
        <v>1.9471921944120799E-2</v>
      </c>
      <c r="E189" t="s">
        <v>1579</v>
      </c>
      <c r="F189" t="s">
        <v>1392</v>
      </c>
      <c r="G189">
        <v>106.51600000000001</v>
      </c>
      <c r="H189">
        <v>4.9153261946317502E-3</v>
      </c>
      <c r="I189">
        <v>106.45399999999999</v>
      </c>
      <c r="J189">
        <v>4.8328330595985803E-3</v>
      </c>
      <c r="K189" t="s">
        <v>1070</v>
      </c>
      <c r="L189" t="s">
        <v>883</v>
      </c>
    </row>
    <row r="190" spans="1:12" x14ac:dyDescent="0.35">
      <c r="A190">
        <v>2.3896314746341098E-2</v>
      </c>
      <c r="B190">
        <v>1.9409885132803301E-2</v>
      </c>
      <c r="C190">
        <v>3.9514900887574103E-2</v>
      </c>
      <c r="D190">
        <v>2.7099611156277601E-2</v>
      </c>
      <c r="E190" t="s">
        <v>1580</v>
      </c>
      <c r="F190" t="s">
        <v>1392</v>
      </c>
      <c r="G190">
        <v>107.53400000000001</v>
      </c>
      <c r="H190">
        <v>9.5572496150813108E-3</v>
      </c>
      <c r="I190">
        <v>107.188</v>
      </c>
      <c r="J190">
        <v>6.8949969000695601E-3</v>
      </c>
      <c r="K190" t="s">
        <v>1071</v>
      </c>
      <c r="L190" t="s">
        <v>883</v>
      </c>
    </row>
    <row r="191" spans="1:12" x14ac:dyDescent="0.35">
      <c r="A191">
        <v>9.9328007831764892E-3</v>
      </c>
      <c r="B191">
        <v>1.3103273651826199E-2</v>
      </c>
      <c r="C191">
        <v>9.0306358829268501E-3</v>
      </c>
      <c r="D191">
        <v>2.1521193573355E-2</v>
      </c>
      <c r="E191" t="s">
        <v>1581</v>
      </c>
      <c r="F191" t="s">
        <v>1392</v>
      </c>
      <c r="G191">
        <v>107.80200000000001</v>
      </c>
      <c r="H191">
        <v>2.49223501404217E-3</v>
      </c>
      <c r="I191">
        <v>107.712</v>
      </c>
      <c r="J191">
        <v>4.8886069336120403E-3</v>
      </c>
      <c r="K191" t="s">
        <v>1072</v>
      </c>
      <c r="L191" t="s">
        <v>883</v>
      </c>
    </row>
    <row r="192" spans="1:12" x14ac:dyDescent="0.35">
      <c r="A192">
        <v>1.4603017582518699E-2</v>
      </c>
      <c r="B192">
        <v>1.7788818797953999E-2</v>
      </c>
      <c r="C192">
        <v>3.6635495652026999E-2</v>
      </c>
      <c r="D192">
        <v>3.6311211479282998E-2</v>
      </c>
      <c r="E192" t="s">
        <v>1582</v>
      </c>
      <c r="F192" t="s">
        <v>1392</v>
      </c>
      <c r="G192">
        <v>108.785</v>
      </c>
      <c r="H192">
        <v>9.1185692287711895E-3</v>
      </c>
      <c r="I192">
        <v>108.676</v>
      </c>
      <c r="J192">
        <v>8.94979203802726E-3</v>
      </c>
      <c r="K192" t="s">
        <v>1073</v>
      </c>
      <c r="L192" t="s">
        <v>883</v>
      </c>
    </row>
    <row r="193" spans="1:12" x14ac:dyDescent="0.35">
      <c r="A193">
        <v>2.5719713356744601E-2</v>
      </c>
      <c r="B193">
        <v>2.90667642529692E-2</v>
      </c>
      <c r="C193">
        <v>5.7042627848445E-2</v>
      </c>
      <c r="D193">
        <v>2.3197124388088401E-2</v>
      </c>
      <c r="E193" t="s">
        <v>1583</v>
      </c>
      <c r="F193" t="s">
        <v>1392</v>
      </c>
      <c r="G193">
        <v>110.252</v>
      </c>
      <c r="H193">
        <v>1.3485315071011699E-2</v>
      </c>
      <c r="I193">
        <v>109.285</v>
      </c>
      <c r="J193">
        <v>5.6038131694209304E-3</v>
      </c>
      <c r="K193" t="s">
        <v>1074</v>
      </c>
      <c r="L193" t="s">
        <v>883</v>
      </c>
    </row>
    <row r="194" spans="1:12" x14ac:dyDescent="0.35">
      <c r="A194">
        <v>2.9147369447939799E-2</v>
      </c>
      <c r="B194">
        <v>4.11537159385129E-2</v>
      </c>
      <c r="C194">
        <v>5.2316315130779299E-2</v>
      </c>
      <c r="D194">
        <v>3.8107075575473298E-2</v>
      </c>
      <c r="E194" t="s">
        <v>1584</v>
      </c>
      <c r="F194" t="s">
        <v>1392</v>
      </c>
      <c r="G194">
        <v>111.627</v>
      </c>
      <c r="H194">
        <v>1.24714290897217E-2</v>
      </c>
      <c r="I194">
        <v>110.291</v>
      </c>
      <c r="J194">
        <v>9.2052889234570702E-3</v>
      </c>
      <c r="K194" t="s">
        <v>1075</v>
      </c>
      <c r="L194" t="s">
        <v>883</v>
      </c>
    </row>
    <row r="195" spans="1:12" x14ac:dyDescent="0.35">
      <c r="A195">
        <v>2.1663179127611398E-2</v>
      </c>
      <c r="B195">
        <v>2.95524402709311E-2</v>
      </c>
      <c r="C195">
        <v>4.1414814571916599E-2</v>
      </c>
      <c r="D195">
        <v>5.71493007542314E-2</v>
      </c>
      <c r="E195" t="s">
        <v>1585</v>
      </c>
      <c r="F195" t="s">
        <v>1392</v>
      </c>
      <c r="G195">
        <v>112.81100000000001</v>
      </c>
      <c r="H195">
        <v>1.06067528465337E-2</v>
      </c>
      <c r="I195">
        <v>111.736</v>
      </c>
      <c r="J195">
        <v>1.3101703674824E-2</v>
      </c>
      <c r="K195" t="s">
        <v>1076</v>
      </c>
      <c r="L195" t="s">
        <v>883</v>
      </c>
    </row>
    <row r="196" spans="1:12" x14ac:dyDescent="0.35">
      <c r="A196">
        <v>1.4350946991545E-2</v>
      </c>
      <c r="B196">
        <v>2.3387558006987101E-2</v>
      </c>
      <c r="C196">
        <v>3.8836746328921902E-2</v>
      </c>
      <c r="D196">
        <v>2.9745006586506799E-2</v>
      </c>
      <c r="E196" t="s">
        <v>1586</v>
      </c>
      <c r="F196" t="s">
        <v>1392</v>
      </c>
      <c r="G196">
        <v>113.875</v>
      </c>
      <c r="H196">
        <v>9.4317043550717905E-3</v>
      </c>
      <c r="I196">
        <v>112.542</v>
      </c>
      <c r="J196">
        <v>7.2134316603422698E-3</v>
      </c>
      <c r="K196" t="s">
        <v>1077</v>
      </c>
      <c r="L196" t="s">
        <v>883</v>
      </c>
    </row>
    <row r="197" spans="1:12" x14ac:dyDescent="0.35">
      <c r="A197">
        <v>1.51565091171486E-2</v>
      </c>
      <c r="B197">
        <v>2.9652502701153601E-2</v>
      </c>
      <c r="C197">
        <v>1.6036274889288799E-2</v>
      </c>
      <c r="D197">
        <v>4.1912016313216102E-2</v>
      </c>
      <c r="E197" t="s">
        <v>1587</v>
      </c>
      <c r="F197" t="s">
        <v>1392</v>
      </c>
      <c r="G197">
        <v>114.43899999999999</v>
      </c>
      <c r="H197">
        <v>4.9527991218440998E-3</v>
      </c>
      <c r="I197">
        <v>113.715</v>
      </c>
      <c r="J197">
        <v>1.0422775497147801E-2</v>
      </c>
      <c r="K197" t="s">
        <v>1078</v>
      </c>
      <c r="L197" t="s">
        <v>883</v>
      </c>
    </row>
    <row r="198" spans="1:12" x14ac:dyDescent="0.35">
      <c r="A198">
        <v>8.3593342288621492E-3</v>
      </c>
      <c r="B198">
        <v>4.3357912415273203E-2</v>
      </c>
      <c r="C198">
        <v>-1.6750426853228501E-2</v>
      </c>
      <c r="D198">
        <v>1.5721372171975601E-2</v>
      </c>
      <c r="E198" t="s">
        <v>1588</v>
      </c>
      <c r="F198" t="s">
        <v>1392</v>
      </c>
      <c r="G198">
        <v>113.98</v>
      </c>
      <c r="H198">
        <v>-4.0108704200489996E-3</v>
      </c>
      <c r="I198">
        <v>114.175</v>
      </c>
      <c r="J198">
        <v>4.0452007211009304E-3</v>
      </c>
      <c r="K198" t="s">
        <v>1079</v>
      </c>
      <c r="L198" t="s">
        <v>883</v>
      </c>
    </row>
    <row r="199" spans="1:12" x14ac:dyDescent="0.35">
      <c r="A199">
        <v>2.4734353401226102E-2</v>
      </c>
      <c r="B199">
        <v>-2.6343933972632301E-2</v>
      </c>
      <c r="C199">
        <v>2.5813818283005E-2</v>
      </c>
      <c r="D199">
        <v>4.8037769815769002E-2</v>
      </c>
      <c r="E199" t="s">
        <v>1589</v>
      </c>
      <c r="F199" t="s">
        <v>1392</v>
      </c>
      <c r="G199">
        <v>114.758</v>
      </c>
      <c r="H199">
        <v>6.8257589050710896E-3</v>
      </c>
      <c r="I199">
        <v>115.41800000000001</v>
      </c>
      <c r="J199">
        <v>1.0886796584191E-2</v>
      </c>
      <c r="K199" t="s">
        <v>1080</v>
      </c>
      <c r="L199" t="s">
        <v>883</v>
      </c>
    </row>
    <row r="200" spans="1:12" x14ac:dyDescent="0.35">
      <c r="A200">
        <v>1.0490970472330399E-2</v>
      </c>
      <c r="B200">
        <v>1.0018821110834301E-2</v>
      </c>
      <c r="C200">
        <v>8.6124156242581903E-3</v>
      </c>
      <c r="D200">
        <v>1.9083730667159401E-2</v>
      </c>
      <c r="E200" t="s">
        <v>1590</v>
      </c>
      <c r="F200" t="s">
        <v>1392</v>
      </c>
      <c r="G200">
        <v>114.919</v>
      </c>
      <c r="H200">
        <v>1.40295229962173E-3</v>
      </c>
      <c r="I200">
        <v>115.982</v>
      </c>
      <c r="J200">
        <v>4.8865861477411796E-3</v>
      </c>
      <c r="K200" t="s">
        <v>1081</v>
      </c>
      <c r="L200" t="s">
        <v>883</v>
      </c>
    </row>
    <row r="201" spans="1:12" x14ac:dyDescent="0.35">
      <c r="A201">
        <v>1.45690487077856E-2</v>
      </c>
      <c r="B201">
        <v>1.6245763277308499E-2</v>
      </c>
      <c r="C201">
        <v>1.6996215944869601E-2</v>
      </c>
      <c r="D201">
        <v>5.8979339636946503E-3</v>
      </c>
      <c r="E201" t="s">
        <v>1591</v>
      </c>
      <c r="F201" t="s">
        <v>1392</v>
      </c>
      <c r="G201">
        <v>115.285</v>
      </c>
      <c r="H201">
        <v>3.1848519391919298E-3</v>
      </c>
      <c r="I201">
        <v>116.167</v>
      </c>
      <c r="J201">
        <v>1.59507509785994E-3</v>
      </c>
      <c r="K201" t="s">
        <v>1082</v>
      </c>
      <c r="L201" t="s">
        <v>883</v>
      </c>
    </row>
    <row r="202" spans="1:12" x14ac:dyDescent="0.35">
      <c r="A202">
        <v>1.46624987744557E-2</v>
      </c>
      <c r="B202">
        <v>1.3591255249432201E-2</v>
      </c>
      <c r="C202">
        <v>5.0660572456327199E-2</v>
      </c>
      <c r="D202">
        <v>1.0418465412080901E-2</v>
      </c>
      <c r="E202" t="s">
        <v>1592</v>
      </c>
      <c r="F202" t="s">
        <v>1392</v>
      </c>
      <c r="G202">
        <v>116.54600000000001</v>
      </c>
      <c r="H202">
        <v>1.09381099015484E-2</v>
      </c>
      <c r="I202">
        <v>116.5</v>
      </c>
      <c r="J202">
        <v>2.86656279322006E-3</v>
      </c>
      <c r="K202" t="s">
        <v>1083</v>
      </c>
      <c r="L202" t="s">
        <v>883</v>
      </c>
    </row>
    <row r="203" spans="1:12" x14ac:dyDescent="0.35">
      <c r="A203">
        <v>-1.7940859457881899E-2</v>
      </c>
      <c r="B203">
        <v>3.31045118831508E-3</v>
      </c>
      <c r="C203">
        <v>-1.06133933402519E-3</v>
      </c>
      <c r="D203">
        <v>-7.65559802497651E-3</v>
      </c>
      <c r="E203" t="s">
        <v>1593</v>
      </c>
      <c r="F203" t="s">
        <v>1392</v>
      </c>
      <c r="G203">
        <v>116.072</v>
      </c>
      <c r="H203">
        <v>-4.0670636486881398E-3</v>
      </c>
      <c r="I203">
        <v>116.19499999999999</v>
      </c>
      <c r="J203">
        <v>-2.61802575107306E-3</v>
      </c>
      <c r="K203" t="s">
        <v>1084</v>
      </c>
      <c r="L203" t="s">
        <v>883</v>
      </c>
    </row>
    <row r="204" spans="1:12" x14ac:dyDescent="0.35">
      <c r="A204">
        <v>3.3775526155126898E-2</v>
      </c>
      <c r="B204">
        <v>2.5959727144998501E-2</v>
      </c>
      <c r="C204">
        <v>3.4596703938155803E-2</v>
      </c>
      <c r="D204">
        <v>4.1355015452944698E-2</v>
      </c>
      <c r="E204" t="s">
        <v>1594</v>
      </c>
      <c r="F204" t="s">
        <v>1392</v>
      </c>
      <c r="G204">
        <v>116.51900000000001</v>
      </c>
      <c r="H204">
        <v>3.8510579640223001E-3</v>
      </c>
      <c r="I204">
        <v>117.285</v>
      </c>
      <c r="J204">
        <v>9.3807823056069103E-3</v>
      </c>
      <c r="K204" t="s">
        <v>1085</v>
      </c>
      <c r="L204" t="s">
        <v>883</v>
      </c>
    </row>
    <row r="205" spans="1:12" x14ac:dyDescent="0.35">
      <c r="A205">
        <v>1.6442937470855502E-2</v>
      </c>
      <c r="B205">
        <v>2.4447407360365301E-2</v>
      </c>
      <c r="C205">
        <v>5.1547958936444697E-2</v>
      </c>
      <c r="D205">
        <v>1.8415186976738801E-2</v>
      </c>
      <c r="E205" t="s">
        <v>1595</v>
      </c>
      <c r="F205" t="s">
        <v>1392</v>
      </c>
      <c r="G205">
        <v>117.593</v>
      </c>
      <c r="H205">
        <v>9.2173808563409398E-3</v>
      </c>
      <c r="I205">
        <v>117.706</v>
      </c>
      <c r="J205">
        <v>3.5895468303705999E-3</v>
      </c>
      <c r="K205" t="s">
        <v>1086</v>
      </c>
      <c r="L205" t="s">
        <v>883</v>
      </c>
    </row>
    <row r="206" spans="1:12" x14ac:dyDescent="0.35">
      <c r="A206">
        <v>4.5025943450948999E-2</v>
      </c>
      <c r="B206">
        <v>4.0827649049089101E-2</v>
      </c>
      <c r="C206">
        <v>9.2834286401326696E-2</v>
      </c>
      <c r="D206">
        <v>6.4160755006020101E-2</v>
      </c>
      <c r="E206" t="s">
        <v>1596</v>
      </c>
      <c r="F206" t="s">
        <v>1392</v>
      </c>
      <c r="G206">
        <v>119.419</v>
      </c>
      <c r="H206">
        <v>1.5528135178114201E-2</v>
      </c>
      <c r="I206">
        <v>119.416</v>
      </c>
      <c r="J206">
        <v>1.45277216114725E-2</v>
      </c>
      <c r="K206" t="s">
        <v>1087</v>
      </c>
      <c r="L206" t="s">
        <v>883</v>
      </c>
    </row>
    <row r="207" spans="1:12" x14ac:dyDescent="0.35">
      <c r="A207">
        <v>6.4441802743663304E-2</v>
      </c>
      <c r="B207">
        <v>4.1247362410053098E-2</v>
      </c>
      <c r="C207">
        <v>8.0575514620662397E-2</v>
      </c>
      <c r="D207">
        <v>0.104589902157439</v>
      </c>
      <c r="E207" t="s">
        <v>1597</v>
      </c>
      <c r="F207" t="s">
        <v>1392</v>
      </c>
      <c r="G207">
        <v>121.425</v>
      </c>
      <c r="H207">
        <v>1.6797996968656699E-2</v>
      </c>
      <c r="I207">
        <v>122.101</v>
      </c>
      <c r="J207">
        <v>2.24844241977624E-2</v>
      </c>
      <c r="K207" t="s">
        <v>1088</v>
      </c>
      <c r="L207" t="s">
        <v>883</v>
      </c>
    </row>
    <row r="208" spans="1:12" x14ac:dyDescent="0.35">
      <c r="A208">
        <v>5.5998846943190198E-2</v>
      </c>
      <c r="B208">
        <v>4.40178580952795E-2</v>
      </c>
      <c r="C208">
        <v>6.4680375979367696E-2</v>
      </c>
      <c r="D208">
        <v>9.3631239224950299E-2</v>
      </c>
      <c r="E208" t="s">
        <v>1598</v>
      </c>
      <c r="F208" t="s">
        <v>1392</v>
      </c>
      <c r="G208">
        <v>123.291</v>
      </c>
      <c r="H208">
        <v>1.53675108091413E-2</v>
      </c>
      <c r="I208">
        <v>124.71</v>
      </c>
      <c r="J208">
        <v>2.13675563672697E-2</v>
      </c>
      <c r="K208" t="s">
        <v>1089</v>
      </c>
      <c r="L208" t="s">
        <v>883</v>
      </c>
    </row>
    <row r="209" spans="1:12" x14ac:dyDescent="0.35">
      <c r="A209">
        <v>6.1859650545573498E-2</v>
      </c>
      <c r="B209">
        <v>4.34322998250962E-2</v>
      </c>
      <c r="C209">
        <v>8.4136934840178798E-2</v>
      </c>
      <c r="D209">
        <v>0.12124821634027599</v>
      </c>
      <c r="E209" t="s">
        <v>1599</v>
      </c>
      <c r="F209" t="s">
        <v>1392</v>
      </c>
      <c r="G209">
        <v>125.712</v>
      </c>
      <c r="H209">
        <v>1.96364698153151E-2</v>
      </c>
      <c r="I209">
        <v>128.44900000000001</v>
      </c>
      <c r="J209">
        <v>2.9981557212733798E-2</v>
      </c>
      <c r="K209" t="s">
        <v>1090</v>
      </c>
      <c r="L209" t="s">
        <v>883</v>
      </c>
    </row>
    <row r="210" spans="1:12" x14ac:dyDescent="0.35">
      <c r="A210">
        <v>7.4784916271317198E-2</v>
      </c>
      <c r="B210">
        <v>5.6798579453040801E-2</v>
      </c>
      <c r="C210">
        <v>0.10120576467409099</v>
      </c>
      <c r="D210">
        <v>0.12687792670398401</v>
      </c>
      <c r="E210" t="s">
        <v>1600</v>
      </c>
      <c r="F210" t="s">
        <v>1392</v>
      </c>
      <c r="G210">
        <v>129</v>
      </c>
      <c r="H210">
        <v>2.6155021000381799E-2</v>
      </c>
      <c r="I210">
        <v>132.33099999999999</v>
      </c>
      <c r="J210">
        <v>3.0222111499505398E-2</v>
      </c>
      <c r="K210" t="s">
        <v>1091</v>
      </c>
      <c r="L210" t="s">
        <v>883</v>
      </c>
    </row>
    <row r="211" spans="1:12" x14ac:dyDescent="0.35">
      <c r="A211">
        <v>7.2922192171477093E-2</v>
      </c>
      <c r="B211">
        <v>5.9959109255099501E-2</v>
      </c>
      <c r="C211">
        <v>0.15221841372862299</v>
      </c>
      <c r="D211">
        <v>0.13796693794697101</v>
      </c>
      <c r="E211" t="s">
        <v>1601</v>
      </c>
      <c r="F211" t="s">
        <v>1392</v>
      </c>
      <c r="G211">
        <v>133.62100000000001</v>
      </c>
      <c r="H211">
        <v>3.5821705426356799E-2</v>
      </c>
      <c r="I211">
        <v>136.69900000000001</v>
      </c>
      <c r="J211">
        <v>3.3008138682546297E-2</v>
      </c>
      <c r="K211" t="s">
        <v>1092</v>
      </c>
      <c r="L211" t="s">
        <v>883</v>
      </c>
    </row>
    <row r="212" spans="1:12" x14ac:dyDescent="0.35">
      <c r="A212">
        <v>4.1796200977757901E-2</v>
      </c>
      <c r="B212">
        <v>4.8377032065661102E-2</v>
      </c>
      <c r="C212">
        <v>8.9811228034972802E-3</v>
      </c>
      <c r="D212">
        <v>8.9581033951388098E-2</v>
      </c>
      <c r="E212" t="s">
        <v>1602</v>
      </c>
      <c r="F212" t="s">
        <v>1392</v>
      </c>
      <c r="H212">
        <v>1.10762503071244E-2</v>
      </c>
      <c r="J212">
        <v>1.10762503071244E-2</v>
      </c>
      <c r="K212" t="s">
        <v>1093</v>
      </c>
      <c r="L212" t="s">
        <v>1094</v>
      </c>
    </row>
    <row r="213" spans="1:12" x14ac:dyDescent="0.35">
      <c r="A213">
        <v>2.7447616796656402E-2</v>
      </c>
      <c r="B213">
        <v>2.3249618404576101E-2</v>
      </c>
      <c r="C213">
        <v>3.8298767461848897E-2</v>
      </c>
      <c r="D213">
        <v>3.8298767461848897E-2</v>
      </c>
      <c r="E213" t="s">
        <v>1603</v>
      </c>
      <c r="F213" t="s">
        <v>1604</v>
      </c>
      <c r="H213">
        <v>9.4401732935755992E-3</v>
      </c>
      <c r="J213">
        <v>9.4401732935755992E-3</v>
      </c>
      <c r="K213" t="s">
        <v>1095</v>
      </c>
      <c r="L213" t="s">
        <v>1094</v>
      </c>
    </row>
    <row r="214" spans="1:12" x14ac:dyDescent="0.35">
      <c r="A214">
        <v>2.49173870638888E-2</v>
      </c>
      <c r="B214">
        <v>2.1715756912072299E-2</v>
      </c>
      <c r="C214">
        <v>3.6085750781477598E-2</v>
      </c>
      <c r="D214">
        <v>3.6085750781477598E-2</v>
      </c>
      <c r="E214" t="s">
        <v>1605</v>
      </c>
      <c r="F214" t="s">
        <v>1604</v>
      </c>
      <c r="H214">
        <v>8.9018658885664497E-3</v>
      </c>
      <c r="J214">
        <v>8.9018658885664497E-3</v>
      </c>
      <c r="K214" t="s">
        <v>1096</v>
      </c>
      <c r="L214" t="s">
        <v>1094</v>
      </c>
    </row>
    <row r="215" spans="1:12" x14ac:dyDescent="0.35">
      <c r="A215">
        <v>2.33440010578361E-2</v>
      </c>
      <c r="B215">
        <v>2.1485909848918801E-2</v>
      </c>
      <c r="C215">
        <v>3.2005284910624002E-2</v>
      </c>
      <c r="D215">
        <v>3.2005284910624002E-2</v>
      </c>
      <c r="E215" t="s">
        <v>1606</v>
      </c>
      <c r="F215" t="s">
        <v>1604</v>
      </c>
      <c r="H215">
        <v>7.9070438771131606E-3</v>
      </c>
      <c r="J215">
        <v>7.9070438771131606E-3</v>
      </c>
      <c r="K215" t="s">
        <v>1097</v>
      </c>
      <c r="L215" t="s">
        <v>1094</v>
      </c>
    </row>
    <row r="216" spans="1:12" x14ac:dyDescent="0.35">
      <c r="A216">
        <v>2.2676579457354702E-2</v>
      </c>
      <c r="B216">
        <v>2.1729771469873E-2</v>
      </c>
      <c r="C216">
        <v>2.9538555790939999E-2</v>
      </c>
      <c r="D216">
        <v>2.9538555790939999E-2</v>
      </c>
      <c r="E216" t="s">
        <v>1607</v>
      </c>
      <c r="F216" t="s">
        <v>1604</v>
      </c>
      <c r="H216">
        <v>7.3042210756391101E-3</v>
      </c>
      <c r="J216">
        <v>7.3042210756391101E-3</v>
      </c>
      <c r="K216" t="s">
        <v>1098</v>
      </c>
      <c r="L216" t="s">
        <v>1094</v>
      </c>
    </row>
    <row r="217" spans="1:12" x14ac:dyDescent="0.35">
      <c r="A217">
        <v>2.2178287431426899E-2</v>
      </c>
      <c r="B217">
        <v>2.22727407121028E-2</v>
      </c>
      <c r="C217">
        <v>2.8512142036472E-2</v>
      </c>
      <c r="D217">
        <v>2.8512142036472E-2</v>
      </c>
      <c r="E217" t="s">
        <v>1608</v>
      </c>
      <c r="F217" t="s">
        <v>1604</v>
      </c>
      <c r="H217">
        <v>7.0530654325617901E-3</v>
      </c>
      <c r="J217">
        <v>7.0530654325617901E-3</v>
      </c>
      <c r="K217" t="s">
        <v>1099</v>
      </c>
      <c r="L217" t="s">
        <v>1094</v>
      </c>
    </row>
    <row r="218" spans="1:12" x14ac:dyDescent="0.35">
      <c r="A218">
        <v>2.1434276652948898E-2</v>
      </c>
      <c r="B218">
        <v>2.23623952750127E-2</v>
      </c>
      <c r="C218">
        <v>2.8283584176253401E-2</v>
      </c>
      <c r="D218">
        <v>2.8283584176253401E-2</v>
      </c>
      <c r="E218" t="s">
        <v>1609</v>
      </c>
      <c r="F218" t="s">
        <v>1604</v>
      </c>
      <c r="H218">
        <v>6.9971134735056202E-3</v>
      </c>
      <c r="J218">
        <v>6.9971134735056202E-3</v>
      </c>
      <c r="K218" t="s">
        <v>1100</v>
      </c>
      <c r="L218" t="s">
        <v>1094</v>
      </c>
    </row>
    <row r="219" spans="1:12" x14ac:dyDescent="0.35">
      <c r="A219">
        <v>2.10072065089228E-2</v>
      </c>
      <c r="B219">
        <v>2.2496789219665199E-2</v>
      </c>
      <c r="C219">
        <v>2.7654852328046001E-2</v>
      </c>
      <c r="D219">
        <v>2.7654852328046001E-2</v>
      </c>
      <c r="E219" t="s">
        <v>1610</v>
      </c>
      <c r="F219" t="s">
        <v>1604</v>
      </c>
      <c r="H219">
        <v>6.8431490448084302E-3</v>
      </c>
      <c r="J219">
        <v>6.8431490448084302E-3</v>
      </c>
      <c r="K219" t="s">
        <v>1101</v>
      </c>
      <c r="L219" t="s">
        <v>1094</v>
      </c>
    </row>
    <row r="220" spans="1:12" x14ac:dyDescent="0.35">
      <c r="A220">
        <v>2.0591622707038602E-2</v>
      </c>
      <c r="B220">
        <v>2.25123599902981E-2</v>
      </c>
      <c r="C220">
        <v>2.7753662335143502E-2</v>
      </c>
      <c r="D220">
        <v>2.7753662335143502E-2</v>
      </c>
      <c r="E220" t="s">
        <v>1611</v>
      </c>
      <c r="F220" t="s">
        <v>1604</v>
      </c>
      <c r="H220">
        <v>6.8673504076357502E-3</v>
      </c>
      <c r="J220">
        <v>6.8673504076357502E-3</v>
      </c>
      <c r="K220" t="s">
        <v>1102</v>
      </c>
      <c r="L220" t="s">
        <v>1094</v>
      </c>
    </row>
    <row r="221" spans="1:12" x14ac:dyDescent="0.35">
      <c r="A221">
        <v>2.0347186911993099E-2</v>
      </c>
      <c r="B221">
        <v>2.2891901714989799E-2</v>
      </c>
      <c r="C221">
        <v>2.8110399323646899E-2</v>
      </c>
      <c r="D221">
        <v>2.8110399323646899E-2</v>
      </c>
      <c r="E221" t="s">
        <v>1612</v>
      </c>
      <c r="F221" t="s">
        <v>1604</v>
      </c>
      <c r="H221">
        <v>6.9547108559351303E-3</v>
      </c>
      <c r="J221">
        <v>6.9547108559351303E-3</v>
      </c>
      <c r="K221" t="s">
        <v>1103</v>
      </c>
      <c r="L221" t="s">
        <v>1094</v>
      </c>
    </row>
    <row r="222" spans="1:12" x14ac:dyDescent="0.35">
      <c r="A222">
        <v>2.03844462174123E-2</v>
      </c>
      <c r="B222">
        <v>2.2688598137850801E-2</v>
      </c>
      <c r="C222">
        <v>2.89673943247446E-2</v>
      </c>
      <c r="D222">
        <v>2.89673943247446E-2</v>
      </c>
      <c r="E222" t="s">
        <v>1613</v>
      </c>
      <c r="F222" t="s">
        <v>1604</v>
      </c>
      <c r="H222">
        <v>7.1644853940870902E-3</v>
      </c>
      <c r="J222">
        <v>7.1644853940870902E-3</v>
      </c>
      <c r="K222" t="s">
        <v>1104</v>
      </c>
      <c r="L222" t="s">
        <v>1094</v>
      </c>
    </row>
    <row r="223" spans="1:12" x14ac:dyDescent="0.35">
      <c r="A223">
        <v>2.02121429685698E-2</v>
      </c>
      <c r="B223">
        <v>2.2861927422401802E-2</v>
      </c>
      <c r="C223">
        <v>2.97171972862664E-2</v>
      </c>
      <c r="D223">
        <v>2.97171972862664E-2</v>
      </c>
      <c r="E223" t="s">
        <v>1614</v>
      </c>
      <c r="F223" t="s">
        <v>1604</v>
      </c>
      <c r="H223">
        <v>7.3479141028771596E-3</v>
      </c>
      <c r="J223">
        <v>7.3479141028771596E-3</v>
      </c>
      <c r="K223" t="s">
        <v>1105</v>
      </c>
      <c r="L223" t="s">
        <v>1094</v>
      </c>
    </row>
    <row r="224" spans="1:12" x14ac:dyDescent="0.35">
      <c r="A224">
        <v>2.00951255413373E-2</v>
      </c>
      <c r="B224">
        <v>2.2789213164977801E-2</v>
      </c>
      <c r="C224">
        <v>2.9972823640437098E-2</v>
      </c>
      <c r="D224">
        <v>2.9972823640437098E-2</v>
      </c>
      <c r="E224" t="s">
        <v>1615</v>
      </c>
      <c r="F224" t="s">
        <v>1604</v>
      </c>
      <c r="H224">
        <v>7.4104265836887296E-3</v>
      </c>
      <c r="J224">
        <v>7.4104265836887296E-3</v>
      </c>
      <c r="K224" t="s">
        <v>1106</v>
      </c>
      <c r="L224" t="s">
        <v>1094</v>
      </c>
    </row>
    <row r="225" spans="1:12" x14ac:dyDescent="0.35">
      <c r="A225">
        <v>2.0005533751415599E-2</v>
      </c>
      <c r="B225">
        <v>2.30067515754304E-2</v>
      </c>
      <c r="C225">
        <v>3.0378543432117301E-2</v>
      </c>
      <c r="D225">
        <v>3.0378543432117301E-2</v>
      </c>
      <c r="E225" t="s">
        <v>1616</v>
      </c>
      <c r="F225" t="s">
        <v>1604</v>
      </c>
      <c r="H225">
        <v>7.5096199742570296E-3</v>
      </c>
      <c r="J225">
        <v>7.5096199742570296E-3</v>
      </c>
      <c r="K225" t="s">
        <v>1107</v>
      </c>
      <c r="L225" t="s">
        <v>1094</v>
      </c>
    </row>
    <row r="226" spans="1:12" x14ac:dyDescent="0.35">
      <c r="A226">
        <v>1.9992497685795502E-2</v>
      </c>
      <c r="B226">
        <v>2.28689196510703E-2</v>
      </c>
      <c r="C226">
        <v>3.0384347471833498E-2</v>
      </c>
      <c r="D226">
        <v>3.0384347471833498E-2</v>
      </c>
      <c r="E226" t="s">
        <v>1617</v>
      </c>
      <c r="F226" t="s">
        <v>1604</v>
      </c>
      <c r="H226">
        <v>7.5110387764860701E-3</v>
      </c>
      <c r="J226">
        <v>7.5110387764860701E-3</v>
      </c>
      <c r="K226" t="s">
        <v>1108</v>
      </c>
      <c r="L226" t="s">
        <v>1094</v>
      </c>
    </row>
    <row r="227" spans="1:12" x14ac:dyDescent="0.35">
      <c r="A227">
        <v>1.99491524210023E-2</v>
      </c>
      <c r="B227">
        <v>2.2952518060170599E-2</v>
      </c>
      <c r="C227">
        <v>3.0780667439755299E-2</v>
      </c>
      <c r="D227">
        <v>3.0780667439755299E-2</v>
      </c>
      <c r="E227" t="s">
        <v>1618</v>
      </c>
      <c r="F227" t="s">
        <v>1604</v>
      </c>
      <c r="H227">
        <v>7.6079053396602703E-3</v>
      </c>
      <c r="J227">
        <v>7.6079053396602703E-3</v>
      </c>
      <c r="K227" t="s">
        <v>1109</v>
      </c>
      <c r="L227" t="s">
        <v>1094</v>
      </c>
    </row>
    <row r="228" spans="1:12" x14ac:dyDescent="0.35">
      <c r="A228">
        <v>1.99785657506244E-2</v>
      </c>
      <c r="B228">
        <v>2.3092018308592099E-2</v>
      </c>
      <c r="C228">
        <v>3.09234356698747E-2</v>
      </c>
      <c r="D228">
        <v>3.09234356698747E-2</v>
      </c>
      <c r="E228" t="s">
        <v>1619</v>
      </c>
      <c r="F228" t="s">
        <v>1604</v>
      </c>
      <c r="H228">
        <v>7.6427931995954896E-3</v>
      </c>
      <c r="J228">
        <v>7.6427931995954896E-3</v>
      </c>
      <c r="K228" t="s">
        <v>1110</v>
      </c>
      <c r="L228" t="s">
        <v>1094</v>
      </c>
    </row>
    <row r="229" spans="1:12" x14ac:dyDescent="0.35">
      <c r="A229">
        <v>1.9973482507164499E-2</v>
      </c>
      <c r="B229">
        <v>2.29188557927167E-2</v>
      </c>
      <c r="C229">
        <v>3.0940126349132901E-2</v>
      </c>
      <c r="D229">
        <v>3.0940126349132901E-2</v>
      </c>
      <c r="E229" t="s">
        <v>1620</v>
      </c>
      <c r="F229" t="s">
        <v>1604</v>
      </c>
      <c r="H229">
        <v>7.6468716160857904E-3</v>
      </c>
      <c r="J229">
        <v>7.6468716160857904E-3</v>
      </c>
      <c r="K229" t="s">
        <v>1111</v>
      </c>
      <c r="L229" t="s">
        <v>1094</v>
      </c>
    </row>
    <row r="230" spans="1:12" x14ac:dyDescent="0.35">
      <c r="A230">
        <v>2.00262569988248E-2</v>
      </c>
      <c r="B230">
        <v>2.34219478386497E-2</v>
      </c>
      <c r="C230">
        <v>3.08963138434795E-2</v>
      </c>
      <c r="D230">
        <v>3.08963138434795E-2</v>
      </c>
      <c r="E230" t="s">
        <v>1621</v>
      </c>
      <c r="F230" t="s">
        <v>1604</v>
      </c>
      <c r="H230">
        <v>7.6361657960506398E-3</v>
      </c>
      <c r="J230">
        <v>7.6361657960506398E-3</v>
      </c>
      <c r="K230" t="s">
        <v>1112</v>
      </c>
      <c r="L230" t="s">
        <v>1094</v>
      </c>
    </row>
    <row r="231" spans="1:12" x14ac:dyDescent="0.35">
      <c r="A231">
        <v>2.0068184200822601E-2</v>
      </c>
      <c r="B231">
        <v>2.29559923804479E-2</v>
      </c>
      <c r="C231">
        <v>3.1171169586274899E-2</v>
      </c>
      <c r="D231">
        <v>3.1171169586274899E-2</v>
      </c>
      <c r="E231" t="s">
        <v>1622</v>
      </c>
      <c r="F231" t="s">
        <v>1604</v>
      </c>
      <c r="H231">
        <v>7.7033226228278E-3</v>
      </c>
      <c r="J231">
        <v>7.7033226228278E-3</v>
      </c>
      <c r="K231" t="s">
        <v>1113</v>
      </c>
      <c r="L231" t="s">
        <v>1094</v>
      </c>
    </row>
    <row r="232" spans="1:12" x14ac:dyDescent="0.35">
      <c r="A232">
        <v>2.00733299513789E-2</v>
      </c>
      <c r="B232">
        <v>2.3089907346120601E-2</v>
      </c>
      <c r="C232">
        <v>3.11290252355114E-2</v>
      </c>
      <c r="D232">
        <v>3.11290252355114E-2</v>
      </c>
      <c r="E232" t="s">
        <v>1623</v>
      </c>
      <c r="F232" t="s">
        <v>1604</v>
      </c>
      <c r="H232">
        <v>7.6930261622452098E-3</v>
      </c>
      <c r="J232">
        <v>7.6930261622452098E-3</v>
      </c>
      <c r="K232" t="s">
        <v>1114</v>
      </c>
      <c r="L232" t="s">
        <v>1094</v>
      </c>
    </row>
    <row r="233" spans="1:12" x14ac:dyDescent="0.35">
      <c r="A233">
        <v>2.00833471581769E-2</v>
      </c>
      <c r="B233">
        <v>2.2986135275529802E-2</v>
      </c>
      <c r="C233">
        <v>3.12799263503531E-2</v>
      </c>
      <c r="D233">
        <v>3.12799263503531E-2</v>
      </c>
      <c r="E233" t="s">
        <v>1624</v>
      </c>
      <c r="F233" t="s">
        <v>1604</v>
      </c>
      <c r="H233">
        <v>7.72989197946106E-3</v>
      </c>
      <c r="J233">
        <v>7.72989197946106E-3</v>
      </c>
      <c r="K233" t="s">
        <v>1115</v>
      </c>
      <c r="L233" t="s">
        <v>1094</v>
      </c>
    </row>
    <row r="234" spans="1:12" x14ac:dyDescent="0.35">
      <c r="A234">
        <v>2.0140093939852201E-2</v>
      </c>
      <c r="B234">
        <v>2.31414769468055E-2</v>
      </c>
      <c r="C234">
        <v>3.1432246791632999E-2</v>
      </c>
      <c r="D234">
        <v>3.1432246791632999E-2</v>
      </c>
      <c r="E234" t="s">
        <v>1625</v>
      </c>
      <c r="F234" t="s">
        <v>1604</v>
      </c>
      <c r="H234">
        <v>7.76710044167461E-3</v>
      </c>
      <c r="J234">
        <v>7.76710044167461E-3</v>
      </c>
      <c r="K234" t="s">
        <v>1116</v>
      </c>
      <c r="L234" t="s">
        <v>1094</v>
      </c>
    </row>
    <row r="235" spans="1:12" x14ac:dyDescent="0.35">
      <c r="A235">
        <v>2.02021592909249E-2</v>
      </c>
      <c r="B235">
        <v>2.2984714477401601E-2</v>
      </c>
      <c r="C235">
        <v>3.1205847095053599E-2</v>
      </c>
      <c r="D235">
        <v>3.1205847095053599E-2</v>
      </c>
      <c r="E235" t="s">
        <v>1626</v>
      </c>
      <c r="F235" t="s">
        <v>1604</v>
      </c>
      <c r="H235">
        <v>7.7117945916846996E-3</v>
      </c>
      <c r="J235">
        <v>7.7117945916846996E-3</v>
      </c>
      <c r="K235" t="s">
        <v>1117</v>
      </c>
      <c r="L235" t="s">
        <v>1094</v>
      </c>
    </row>
    <row r="236" spans="1:12" x14ac:dyDescent="0.35">
      <c r="A236">
        <v>2.0211898969260102E-2</v>
      </c>
      <c r="B236">
        <v>2.2913195171825301E-2</v>
      </c>
      <c r="C236">
        <v>3.14110402970686E-2</v>
      </c>
      <c r="D236">
        <v>3.14110402970686E-2</v>
      </c>
      <c r="E236" t="s">
        <v>1627</v>
      </c>
      <c r="F236" t="s">
        <v>1604</v>
      </c>
      <c r="H236">
        <v>7.7619204183672101E-3</v>
      </c>
      <c r="J236">
        <v>7.7619204183672101E-3</v>
      </c>
      <c r="K236" t="s">
        <v>1118</v>
      </c>
      <c r="L236" t="s">
        <v>1094</v>
      </c>
    </row>
    <row r="237" spans="1:12" x14ac:dyDescent="0.35">
      <c r="A237">
        <v>2.0290430669000999E-2</v>
      </c>
      <c r="B237">
        <v>2.29758501503456E-2</v>
      </c>
      <c r="C237">
        <v>3.1565029186180898E-2</v>
      </c>
      <c r="D237">
        <v>3.1565029186180898E-2</v>
      </c>
      <c r="E237" t="s">
        <v>1628</v>
      </c>
      <c r="F237" t="s">
        <v>1604</v>
      </c>
      <c r="H237">
        <v>7.7995328359632401E-3</v>
      </c>
      <c r="J237">
        <v>7.7995328359632401E-3</v>
      </c>
      <c r="K237" t="s">
        <v>1119</v>
      </c>
      <c r="L237" t="s">
        <v>1094</v>
      </c>
    </row>
    <row r="238" spans="1:12" x14ac:dyDescent="0.35">
      <c r="A238">
        <v>2.0308808571870299E-2</v>
      </c>
      <c r="B238">
        <v>2.2824531954790599E-2</v>
      </c>
      <c r="C238">
        <v>3.1531274423854297E-2</v>
      </c>
      <c r="D238">
        <v>3.1531274423854297E-2</v>
      </c>
      <c r="E238" t="s">
        <v>1629</v>
      </c>
      <c r="F238" t="s">
        <v>1604</v>
      </c>
      <c r="H238">
        <v>7.7912884572341997E-3</v>
      </c>
      <c r="J238">
        <v>7.7912884572341997E-3</v>
      </c>
      <c r="K238" t="s">
        <v>1120</v>
      </c>
      <c r="L238" t="s">
        <v>1094</v>
      </c>
    </row>
    <row r="239" spans="1:12" x14ac:dyDescent="0.35">
      <c r="A239">
        <v>2.03080060292413E-2</v>
      </c>
      <c r="B239">
        <v>2.2972481063801901E-2</v>
      </c>
      <c r="C239">
        <v>3.1542996473644003E-2</v>
      </c>
      <c r="D239">
        <v>3.1542996473644003E-2</v>
      </c>
      <c r="E239" t="s">
        <v>1630</v>
      </c>
      <c r="F239" t="s">
        <v>1604</v>
      </c>
      <c r="H239">
        <v>7.7941515137436301E-3</v>
      </c>
      <c r="J239">
        <v>7.7941515137436301E-3</v>
      </c>
      <c r="K239" t="s">
        <v>1121</v>
      </c>
      <c r="L239" t="s">
        <v>1094</v>
      </c>
    </row>
    <row r="240" spans="1:12" x14ac:dyDescent="0.35">
      <c r="A240">
        <v>2.0323983720006399E-2</v>
      </c>
      <c r="B240">
        <v>2.2824566637221998E-2</v>
      </c>
      <c r="C240">
        <v>3.1855243350590097E-2</v>
      </c>
      <c r="D240">
        <v>3.1855243350590097E-2</v>
      </c>
      <c r="E240" t="s">
        <v>1631</v>
      </c>
      <c r="F240" t="s">
        <v>1604</v>
      </c>
      <c r="H240">
        <v>7.8704073905595494E-3</v>
      </c>
      <c r="J240">
        <v>7.8704073905595494E-3</v>
      </c>
      <c r="K240" t="s">
        <v>1122</v>
      </c>
      <c r="L240" t="s">
        <v>1094</v>
      </c>
    </row>
    <row r="241" spans="1:12" x14ac:dyDescent="0.35">
      <c r="A241">
        <v>2.0325704902500501E-2</v>
      </c>
      <c r="B241">
        <v>2.2886555231629101E-2</v>
      </c>
      <c r="C241">
        <v>3.1708818720508798E-2</v>
      </c>
      <c r="D241">
        <v>3.1708818720508798E-2</v>
      </c>
      <c r="E241" t="s">
        <v>1632</v>
      </c>
      <c r="F241" t="s">
        <v>1604</v>
      </c>
      <c r="H241">
        <v>7.8346502176538397E-3</v>
      </c>
      <c r="J241">
        <v>7.8346502176538397E-3</v>
      </c>
      <c r="K241" t="s">
        <v>1123</v>
      </c>
      <c r="L241" t="s">
        <v>1094</v>
      </c>
    </row>
    <row r="242" spans="1:12" x14ac:dyDescent="0.35">
      <c r="A242">
        <v>2.0305041683886599E-2</v>
      </c>
      <c r="B242">
        <v>2.29465623765257E-2</v>
      </c>
      <c r="C242">
        <v>3.1893508731351002E-2</v>
      </c>
      <c r="D242">
        <v>3.1893508731351002E-2</v>
      </c>
      <c r="E242" t="s">
        <v>1633</v>
      </c>
      <c r="F242" t="s">
        <v>1604</v>
      </c>
      <c r="H242">
        <v>7.8797512420421007E-3</v>
      </c>
      <c r="J242">
        <v>7.8797512420421007E-3</v>
      </c>
      <c r="K242" t="s">
        <v>1124</v>
      </c>
      <c r="L242" t="s">
        <v>1094</v>
      </c>
    </row>
    <row r="243" spans="1:12" x14ac:dyDescent="0.35">
      <c r="A243">
        <v>2.0287096358251301E-2</v>
      </c>
      <c r="B243">
        <v>2.2798980065175601E-2</v>
      </c>
      <c r="C243">
        <v>3.1810408581062898E-2</v>
      </c>
      <c r="D243">
        <v>3.1810408581062898E-2</v>
      </c>
      <c r="E243" t="s">
        <v>1634</v>
      </c>
      <c r="F243" t="s">
        <v>1604</v>
      </c>
      <c r="H243">
        <v>7.8594590588953999E-3</v>
      </c>
      <c r="J243">
        <v>7.8594590588953999E-3</v>
      </c>
      <c r="K243" t="s">
        <v>1125</v>
      </c>
      <c r="L243" t="s">
        <v>1094</v>
      </c>
    </row>
    <row r="244" spans="1:12" x14ac:dyDescent="0.35">
      <c r="A244">
        <v>2.0271579331879098E-2</v>
      </c>
      <c r="B244">
        <v>2.2857567238674801E-2</v>
      </c>
      <c r="C244">
        <v>3.1611362599311098E-2</v>
      </c>
      <c r="D244">
        <v>3.1611362599311098E-2</v>
      </c>
      <c r="E244" t="s">
        <v>1635</v>
      </c>
      <c r="F244" t="s">
        <v>1604</v>
      </c>
      <c r="H244">
        <v>7.8108491379678098E-3</v>
      </c>
      <c r="J244">
        <v>7.8108491379678098E-3</v>
      </c>
      <c r="K244" t="s">
        <v>1126</v>
      </c>
      <c r="L244" t="s">
        <v>1094</v>
      </c>
    </row>
    <row r="245" spans="1:12" x14ac:dyDescent="0.35">
      <c r="A245">
        <v>2.0226750918557398E-2</v>
      </c>
      <c r="B245">
        <v>2.30078651102898E-2</v>
      </c>
      <c r="C245">
        <v>3.1895036638032601E-2</v>
      </c>
      <c r="D245">
        <v>3.1895036638032601E-2</v>
      </c>
      <c r="E245" t="s">
        <v>1636</v>
      </c>
      <c r="F245" t="s">
        <v>1604</v>
      </c>
      <c r="H245">
        <v>7.8801243293176206E-3</v>
      </c>
      <c r="J245">
        <v>7.8801243293176206E-3</v>
      </c>
      <c r="K245" t="s">
        <v>1127</v>
      </c>
      <c r="L245" t="s">
        <v>1094</v>
      </c>
    </row>
    <row r="246" spans="1:12" x14ac:dyDescent="0.35">
      <c r="A246">
        <v>2.0229639632362201E-2</v>
      </c>
      <c r="B246">
        <v>2.2755662461575201E-2</v>
      </c>
      <c r="C246">
        <v>3.1906732152356301E-2</v>
      </c>
      <c r="D246">
        <v>3.1906732152356301E-2</v>
      </c>
      <c r="E246" t="s">
        <v>1637</v>
      </c>
      <c r="F246" t="s">
        <v>1604</v>
      </c>
      <c r="H246">
        <v>7.88298014941358E-3</v>
      </c>
      <c r="J246">
        <v>7.88298014941358E-3</v>
      </c>
      <c r="K246" t="s">
        <v>1128</v>
      </c>
      <c r="L246" t="s">
        <v>1094</v>
      </c>
    </row>
    <row r="247" spans="1:12" x14ac:dyDescent="0.35">
      <c r="A247">
        <v>2.0196749252488402E-2</v>
      </c>
      <c r="B247">
        <v>2.2817811468051102E-2</v>
      </c>
      <c r="C247">
        <v>3.1666344390047098E-2</v>
      </c>
      <c r="D247">
        <v>3.1666344390047098E-2</v>
      </c>
      <c r="E247" t="s">
        <v>1638</v>
      </c>
      <c r="F247" t="s">
        <v>1604</v>
      </c>
      <c r="H247">
        <v>7.8242771932854893E-3</v>
      </c>
      <c r="J247">
        <v>7.8242771932854893E-3</v>
      </c>
      <c r="K247" t="s">
        <v>1129</v>
      </c>
      <c r="L247" t="s">
        <v>1094</v>
      </c>
    </row>
    <row r="248" spans="1:12" x14ac:dyDescent="0.35">
      <c r="A248">
        <v>2.0138226913895701E-2</v>
      </c>
      <c r="B248">
        <v>2.3174738681931199E-2</v>
      </c>
      <c r="C248">
        <v>3.1749922428638201E-2</v>
      </c>
      <c r="D248">
        <v>3.1749922428638201E-2</v>
      </c>
      <c r="E248" t="s">
        <v>1639</v>
      </c>
      <c r="F248" t="s">
        <v>1604</v>
      </c>
      <c r="H248">
        <v>7.8446882055194199E-3</v>
      </c>
      <c r="J248">
        <v>7.8446882055194199E-3</v>
      </c>
      <c r="K248" t="s">
        <v>1130</v>
      </c>
      <c r="L248" t="s">
        <v>1094</v>
      </c>
    </row>
    <row r="249" spans="1:12" x14ac:dyDescent="0.35">
      <c r="A249">
        <v>2.0129535533826501E-2</v>
      </c>
      <c r="B249">
        <v>2.27379267080541E-2</v>
      </c>
      <c r="C249">
        <v>3.1908648163189397E-2</v>
      </c>
      <c r="D249">
        <v>3.1908648163189397E-2</v>
      </c>
      <c r="E249" t="s">
        <v>1640</v>
      </c>
      <c r="F249" t="s">
        <v>1604</v>
      </c>
      <c r="H249">
        <v>7.8834480001659397E-3</v>
      </c>
      <c r="J249">
        <v>7.8834480001659397E-3</v>
      </c>
      <c r="K249" t="s">
        <v>1131</v>
      </c>
      <c r="L249" t="s">
        <v>1094</v>
      </c>
    </row>
    <row r="250" spans="1:12" x14ac:dyDescent="0.35">
      <c r="A250">
        <v>2.0106884793451098E-2</v>
      </c>
      <c r="B250">
        <v>2.3093327603912001E-2</v>
      </c>
      <c r="C250">
        <v>3.1692204125751702E-2</v>
      </c>
      <c r="D250">
        <v>3.1692204125751702E-2</v>
      </c>
      <c r="E250" t="s">
        <v>1641</v>
      </c>
      <c r="F250" t="s">
        <v>1604</v>
      </c>
      <c r="H250">
        <v>7.8305926616084598E-3</v>
      </c>
      <c r="J250">
        <v>7.8305926616084598E-3</v>
      </c>
      <c r="K250" t="s">
        <v>1132</v>
      </c>
      <c r="L250" t="s">
        <v>1094</v>
      </c>
    </row>
    <row r="251" spans="1:12" x14ac:dyDescent="0.35">
      <c r="A251">
        <v>2.0037252982960399E-2</v>
      </c>
      <c r="B251">
        <v>2.2853757020905099E-2</v>
      </c>
      <c r="C251">
        <v>3.1763978164364597E-2</v>
      </c>
      <c r="D251">
        <v>3.1763978164364597E-2</v>
      </c>
      <c r="E251" t="s">
        <v>1642</v>
      </c>
      <c r="F251" t="s">
        <v>1604</v>
      </c>
      <c r="H251">
        <v>7.8481207054677E-3</v>
      </c>
      <c r="J251">
        <v>7.8481207054677E-3</v>
      </c>
      <c r="K251" t="s">
        <v>1133</v>
      </c>
      <c r="L251" t="s">
        <v>1094</v>
      </c>
    </row>
    <row r="252" spans="1:12" x14ac:dyDescent="0.35">
      <c r="A252">
        <v>2.0056022895238401E-2</v>
      </c>
      <c r="B252">
        <v>2.2713969923905002E-2</v>
      </c>
      <c r="C252">
        <v>3.17278315390737E-2</v>
      </c>
      <c r="D252">
        <v>3.17278315390737E-2</v>
      </c>
      <c r="E252" t="s">
        <v>1643</v>
      </c>
      <c r="F252" t="s">
        <v>1604</v>
      </c>
      <c r="H252">
        <v>7.8392933990876195E-3</v>
      </c>
      <c r="J252">
        <v>7.8392933990876195E-3</v>
      </c>
      <c r="K252" t="s">
        <v>1134</v>
      </c>
      <c r="L252" t="s">
        <v>1094</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a6274e99-f707-4183-90a3-28f81526dfab}" enabled="1" method="Standard" siteId="{0a02388e-6178-4513-9b82-88b9dc6bf45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Calculating Shutdown</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2026-02-23T17:55:53Z</dcterms:modified>
  <cp:category/>
  <cp:contentStatus/>
</cp:coreProperties>
</file>