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103" documentId="13_ncr:1_{91161821-E772-439A-9177-6AE511869C9C}" xr6:coauthVersionLast="47" xr6:coauthVersionMax="47" xr10:uidLastSave="{0BD28CE4-1D02-4546-AE70-068FF0B2F4D5}"/>
  <bookViews>
    <workbookView xWindow="-20820" yWindow="-13890" windowWidth="14400" windowHeight="7275" firstSheet="5" activeTab="6"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Ma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9" i="48" l="1"/>
  <c r="K39" i="48"/>
  <c r="AA22" i="48" l="1"/>
  <c r="AB22" i="48"/>
  <c r="AC22" i="48"/>
  <c r="AD22" i="48"/>
  <c r="AE22" i="48"/>
  <c r="AF22" i="48"/>
  <c r="AG22" i="48"/>
  <c r="Z22" i="48"/>
  <c r="Z90" i="80"/>
  <c r="X86" i="80"/>
  <c r="Y86" i="80"/>
  <c r="Y85" i="80"/>
  <c r="M55" i="48"/>
  <c r="H20" i="49" l="1"/>
  <c r="Z12" i="49"/>
  <c r="Y12" i="49"/>
  <c r="Z11" i="20" l="1"/>
  <c r="L92" i="55"/>
  <c r="M92" i="55"/>
  <c r="L93" i="55"/>
  <c r="M93" i="55"/>
  <c r="L94" i="55"/>
  <c r="M94" i="55"/>
  <c r="L95" i="55"/>
  <c r="M95" i="55"/>
  <c r="L96" i="55"/>
  <c r="M96" i="55"/>
  <c r="K69" i="55"/>
  <c r="L69" i="55"/>
  <c r="M69" i="55"/>
  <c r="M70" i="55"/>
  <c r="M71" i="55"/>
  <c r="K72" i="55"/>
  <c r="L72" i="55"/>
  <c r="M72" i="55"/>
  <c r="K73" i="55"/>
  <c r="L73" i="55"/>
  <c r="M73" i="55"/>
  <c r="K74" i="55"/>
  <c r="L74" i="55"/>
  <c r="M74" i="55"/>
  <c r="K75" i="55"/>
  <c r="L75" i="55"/>
  <c r="M75" i="55"/>
  <c r="M76" i="55"/>
  <c r="M77" i="55"/>
  <c r="K78" i="55"/>
  <c r="L78" i="55"/>
  <c r="M78" i="55"/>
  <c r="K79" i="55"/>
  <c r="L79" i="55"/>
  <c r="M79" i="55"/>
  <c r="K80" i="55"/>
  <c r="L80" i="55"/>
  <c r="M80" i="55"/>
  <c r="K81" i="55"/>
  <c r="L81" i="55"/>
  <c r="M81" i="55"/>
  <c r="K82" i="55"/>
  <c r="L82" i="55"/>
  <c r="M82" i="55"/>
  <c r="K83" i="55"/>
  <c r="L83" i="55"/>
  <c r="M83" i="55"/>
  <c r="K84" i="55"/>
  <c r="L84" i="55"/>
  <c r="M84" i="55"/>
  <c r="M85" i="55"/>
  <c r="M86" i="55"/>
  <c r="M87" i="55"/>
  <c r="M88" i="55"/>
  <c r="K89" i="55"/>
  <c r="L89" i="55"/>
  <c r="M89" i="55"/>
  <c r="L68" i="55"/>
  <c r="M68" i="55"/>
  <c r="F82" i="21"/>
  <c r="G81" i="21"/>
  <c r="D81" i="21"/>
  <c r="D80" i="21"/>
  <c r="G79" i="21"/>
  <c r="G78" i="21"/>
  <c r="F78" i="21"/>
  <c r="E78" i="21"/>
  <c r="V53" i="21"/>
  <c r="U53" i="21"/>
  <c r="T53" i="21"/>
  <c r="S53" i="21"/>
  <c r="R53" i="21"/>
  <c r="Q53" i="21"/>
  <c r="P53" i="21"/>
  <c r="O53" i="21"/>
  <c r="N53" i="21"/>
  <c r="M53" i="21"/>
  <c r="L53" i="21"/>
  <c r="K53" i="21"/>
  <c r="J53" i="21"/>
  <c r="I53" i="21"/>
  <c r="U51"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U49" i="21"/>
  <c r="R49" i="21"/>
  <c r="Q49" i="21"/>
  <c r="P49" i="21"/>
  <c r="O49" i="21"/>
  <c r="N49" i="21"/>
  <c r="M49" i="21"/>
  <c r="L49" i="21"/>
  <c r="K49" i="21"/>
  <c r="J49" i="21"/>
  <c r="I49" i="21"/>
  <c r="H49" i="21"/>
  <c r="G49" i="21"/>
  <c r="F49" i="21"/>
  <c r="E49" i="21"/>
  <c r="S44" i="21"/>
  <c r="U43" i="21"/>
  <c r="S43" i="21"/>
  <c r="O40" i="21"/>
  <c r="T37" i="21"/>
  <c r="R37" i="21"/>
  <c r="P37" i="21"/>
  <c r="Q36" i="21"/>
  <c r="S35" i="21"/>
  <c r="Q35" i="21"/>
  <c r="O35" i="21"/>
  <c r="T34" i="21"/>
  <c r="R34" i="21"/>
  <c r="P34" i="21"/>
  <c r="V33" i="21"/>
  <c r="T33" i="21"/>
  <c r="R33" i="21"/>
  <c r="J33" i="21"/>
  <c r="H33" i="21"/>
  <c r="U32" i="21"/>
  <c r="M32" i="21"/>
  <c r="K32" i="21"/>
  <c r="I32" i="21"/>
  <c r="O31" i="21"/>
  <c r="M31" i="21"/>
  <c r="L29" i="21"/>
  <c r="C23" i="21"/>
  <c r="O13" i="21"/>
  <c r="O14" i="21" s="1"/>
  <c r="O15" i="21" s="1"/>
  <c r="M13" i="21"/>
  <c r="M14" i="21" s="1"/>
  <c r="M15" i="21" s="1"/>
  <c r="K13" i="21"/>
  <c r="K14" i="21" s="1"/>
  <c r="K15" i="21" s="1"/>
  <c r="C13" i="21"/>
  <c r="V12" i="21"/>
  <c r="U12" i="21"/>
  <c r="T12" i="21"/>
  <c r="S12" i="21"/>
  <c r="R12" i="21"/>
  <c r="Q12" i="21"/>
  <c r="P12" i="21"/>
  <c r="O12" i="21"/>
  <c r="N12" i="21"/>
  <c r="M12" i="21"/>
  <c r="L12" i="21"/>
  <c r="K12" i="21"/>
  <c r="J12" i="21"/>
  <c r="E82" i="21" s="1"/>
  <c r="I12" i="21"/>
  <c r="H12" i="21"/>
  <c r="D82" i="21" s="1"/>
  <c r="G12" i="21"/>
  <c r="F12" i="21"/>
  <c r="D12" i="21"/>
  <c r="C12" i="21"/>
  <c r="V11" i="21"/>
  <c r="U11" i="21"/>
  <c r="T11" i="21"/>
  <c r="S11" i="21"/>
  <c r="R11" i="21"/>
  <c r="Q11" i="21"/>
  <c r="P11" i="21"/>
  <c r="O11" i="21"/>
  <c r="F81" i="21" s="1"/>
  <c r="N11" i="21"/>
  <c r="M11" i="21"/>
  <c r="L11" i="21"/>
  <c r="K11" i="21"/>
  <c r="J11" i="21"/>
  <c r="E81" i="21" s="1"/>
  <c r="I11" i="21"/>
  <c r="H11" i="21"/>
  <c r="G11" i="21"/>
  <c r="F11" i="21"/>
  <c r="D11" i="21"/>
  <c r="C11" i="21"/>
  <c r="V10" i="21"/>
  <c r="U10" i="21"/>
  <c r="T10" i="21"/>
  <c r="S10" i="21"/>
  <c r="R10" i="21"/>
  <c r="G80" i="21" s="1"/>
  <c r="Q10" i="21"/>
  <c r="P10" i="21"/>
  <c r="V41" i="21" s="1"/>
  <c r="O10" i="21"/>
  <c r="N10" i="21"/>
  <c r="F80" i="21" s="1"/>
  <c r="M10" i="21"/>
  <c r="L10" i="21"/>
  <c r="K10" i="21"/>
  <c r="J10" i="21"/>
  <c r="E80" i="21" s="1"/>
  <c r="I10" i="21"/>
  <c r="H10" i="21"/>
  <c r="G10" i="21"/>
  <c r="F10" i="21"/>
  <c r="Q31" i="21" s="1"/>
  <c r="D10" i="21"/>
  <c r="N29" i="21" s="1"/>
  <c r="C10" i="21"/>
  <c r="V9" i="21"/>
  <c r="U9" i="21"/>
  <c r="T9" i="21"/>
  <c r="S9" i="21"/>
  <c r="V44" i="21" s="1"/>
  <c r="R9" i="21"/>
  <c r="R43" i="21" s="1"/>
  <c r="Q9" i="21"/>
  <c r="V42" i="21" s="1"/>
  <c r="P9" i="21"/>
  <c r="O9" i="21"/>
  <c r="V40" i="21" s="1"/>
  <c r="N9" i="21"/>
  <c r="F79" i="21" s="1"/>
  <c r="M9" i="21"/>
  <c r="R38" i="21" s="1"/>
  <c r="L9" i="21"/>
  <c r="O37" i="21" s="1"/>
  <c r="K9" i="21"/>
  <c r="J9" i="21"/>
  <c r="N35" i="21" s="1"/>
  <c r="I9" i="21"/>
  <c r="O34" i="21" s="1"/>
  <c r="H9" i="21"/>
  <c r="Q33" i="21" s="1"/>
  <c r="G9" i="21"/>
  <c r="T32" i="21" s="1"/>
  <c r="F9" i="21"/>
  <c r="L31" i="21" s="1"/>
  <c r="D9" i="21"/>
  <c r="C9" i="21"/>
  <c r="C8" i="21"/>
  <c r="P7" i="21"/>
  <c r="N7" i="21"/>
  <c r="L7" i="21"/>
  <c r="V6" i="21"/>
  <c r="U6" i="21"/>
  <c r="T6" i="21"/>
  <c r="S6" i="21"/>
  <c r="R6" i="21"/>
  <c r="D6" i="21"/>
  <c r="C6" i="21"/>
  <c r="C18" i="21" s="1"/>
  <c r="E1" i="21"/>
  <c r="D1" i="21"/>
  <c r="C19" i="6"/>
  <c r="B19" i="6"/>
  <c r="T17" i="6"/>
  <c r="S17" i="6"/>
  <c r="V50" i="21" s="1"/>
  <c r="R17" i="6"/>
  <c r="U50" i="21" s="1"/>
  <c r="U16" i="6"/>
  <c r="T16" i="6"/>
  <c r="S16" i="6"/>
  <c r="R16" i="6"/>
  <c r="Q16" i="6"/>
  <c r="P16" i="6"/>
  <c r="S49" i="21" s="1"/>
  <c r="O16" i="6"/>
  <c r="N16" i="6"/>
  <c r="D9" i="6"/>
  <c r="C9" i="6"/>
  <c r="U6" i="6"/>
  <c r="T6" i="6"/>
  <c r="S6" i="6"/>
  <c r="R6" i="6"/>
  <c r="Q6" i="6"/>
  <c r="P6" i="6"/>
  <c r="O6" i="6"/>
  <c r="P3" i="21" s="1"/>
  <c r="N6" i="6"/>
  <c r="M6" i="6"/>
  <c r="L6" i="6"/>
  <c r="K6" i="6"/>
  <c r="J6" i="6"/>
  <c r="I6" i="6"/>
  <c r="H6" i="6"/>
  <c r="G6" i="6"/>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J16" i="5"/>
  <c r="G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K10" i="5"/>
  <c r="J10" i="5"/>
  <c r="I10" i="5"/>
  <c r="H10" i="5"/>
  <c r="V7" i="21" s="1"/>
  <c r="G10" i="5"/>
  <c r="E10" i="5"/>
  <c r="V4" i="21" s="1"/>
  <c r="D10" i="5"/>
  <c r="C10" i="5"/>
  <c r="B10" i="5"/>
  <c r="N9" i="5"/>
  <c r="M9" i="5"/>
  <c r="K9" i="5"/>
  <c r="J9" i="5"/>
  <c r="I9" i="5"/>
  <c r="H9" i="5"/>
  <c r="U7" i="21" s="1"/>
  <c r="G9" i="5"/>
  <c r="E9" i="5"/>
  <c r="D9" i="5"/>
  <c r="C9" i="5"/>
  <c r="B9" i="5"/>
  <c r="N8" i="5"/>
  <c r="M8" i="5"/>
  <c r="K8" i="5"/>
  <c r="J8" i="5"/>
  <c r="I8" i="5"/>
  <c r="H8" i="5"/>
  <c r="Q7" i="21" s="1"/>
  <c r="G8" i="5"/>
  <c r="E8" i="5"/>
  <c r="D8" i="5"/>
  <c r="C8" i="5"/>
  <c r="N3" i="21" s="1"/>
  <c r="B8" i="5"/>
  <c r="N7" i="5"/>
  <c r="V13" i="21" s="1"/>
  <c r="V14" i="21" s="1"/>
  <c r="V15" i="21" s="1"/>
  <c r="M7" i="5"/>
  <c r="K7" i="5"/>
  <c r="J7" i="5"/>
  <c r="I7" i="5"/>
  <c r="H7" i="5"/>
  <c r="K7" i="21" s="1"/>
  <c r="G7" i="5"/>
  <c r="K6" i="21" s="1"/>
  <c r="E7" i="5"/>
  <c r="D7" i="5"/>
  <c r="C7" i="5"/>
  <c r="L3" i="21" s="1"/>
  <c r="B7" i="5"/>
  <c r="N6" i="5"/>
  <c r="I13" i="21" s="1"/>
  <c r="I14" i="21" s="1"/>
  <c r="M6" i="5"/>
  <c r="K6" i="5"/>
  <c r="J6" i="5"/>
  <c r="I6" i="5"/>
  <c r="H6" i="5"/>
  <c r="I7" i="21" s="1"/>
  <c r="G6" i="5"/>
  <c r="I6" i="21" s="1"/>
  <c r="E6" i="5"/>
  <c r="G4" i="21" s="1"/>
  <c r="D6" i="5"/>
  <c r="C6" i="5"/>
  <c r="B6" i="5"/>
  <c r="B16" i="5" s="1"/>
  <c r="N5" i="5"/>
  <c r="E13" i="21" s="1"/>
  <c r="E14" i="21" s="1"/>
  <c r="E15" i="21" s="1"/>
  <c r="M5" i="5"/>
  <c r="L5" i="5"/>
  <c r="K5" i="5"/>
  <c r="J5" i="5"/>
  <c r="I5" i="5"/>
  <c r="I16" i="5" s="1"/>
  <c r="H5" i="5"/>
  <c r="G5" i="5"/>
  <c r="F5" i="5"/>
  <c r="D5" i="5"/>
  <c r="D16" i="5" s="1"/>
  <c r="C5" i="5"/>
  <c r="B5" i="5"/>
  <c r="D8" i="21" s="1"/>
  <c r="L48" i="21" s="1"/>
  <c r="F17" i="27"/>
  <c r="F16" i="27"/>
  <c r="F15" i="27"/>
  <c r="F14" i="27"/>
  <c r="F13" i="27"/>
  <c r="F12" i="27"/>
  <c r="F11" i="27"/>
  <c r="F9" i="27"/>
  <c r="F8" i="27"/>
  <c r="F7" i="27"/>
  <c r="F6" i="27"/>
  <c r="F5" i="27"/>
  <c r="B3" i="27"/>
  <c r="O194" i="65"/>
  <c r="P194" i="65" s="1"/>
  <c r="Q194" i="65" s="1"/>
  <c r="K194" i="65"/>
  <c r="L194" i="65" s="1"/>
  <c r="M194" i="65" s="1"/>
  <c r="E193" i="65"/>
  <c r="K191" i="65"/>
  <c r="L191" i="65" s="1"/>
  <c r="M191" i="65" s="1"/>
  <c r="E190" i="65"/>
  <c r="S188" i="65"/>
  <c r="R188" i="65"/>
  <c r="O188" i="65"/>
  <c r="P188" i="65" s="1"/>
  <c r="Q188" i="65" s="1"/>
  <c r="N188" i="65"/>
  <c r="M188" i="65"/>
  <c r="K188" i="65"/>
  <c r="L188" i="65" s="1"/>
  <c r="J188" i="65"/>
  <c r="G188" i="65"/>
  <c r="H188" i="65" s="1"/>
  <c r="I188" i="65" s="1"/>
  <c r="F188" i="65"/>
  <c r="D188" i="65"/>
  <c r="E188" i="65" s="1"/>
  <c r="O187" i="65"/>
  <c r="P187" i="65" s="1"/>
  <c r="Q187" i="65" s="1"/>
  <c r="E187" i="65"/>
  <c r="K186" i="65"/>
  <c r="L186" i="65" s="1"/>
  <c r="M186" i="65" s="1"/>
  <c r="O184" i="65"/>
  <c r="P184" i="65" s="1"/>
  <c r="Q184" i="65" s="1"/>
  <c r="E184" i="65"/>
  <c r="O179" i="65"/>
  <c r="G179" i="65"/>
  <c r="N194" i="65" s="1"/>
  <c r="O177" i="65"/>
  <c r="O176" i="65"/>
  <c r="O175" i="65"/>
  <c r="G175" i="65"/>
  <c r="N190" i="65" s="1"/>
  <c r="O190" i="65" s="1"/>
  <c r="P190" i="65" s="1"/>
  <c r="Q190" i="65" s="1"/>
  <c r="O172" i="65"/>
  <c r="O171" i="65"/>
  <c r="O170" i="65"/>
  <c r="G170" i="65"/>
  <c r="N185" i="65" s="1"/>
  <c r="O185" i="65" s="1"/>
  <c r="P185" i="65" s="1"/>
  <c r="Q185" i="65" s="1"/>
  <c r="O169" i="65"/>
  <c r="N169" i="65"/>
  <c r="M169" i="65"/>
  <c r="L169" i="65"/>
  <c r="K169" i="65"/>
  <c r="J169" i="65"/>
  <c r="I169" i="65"/>
  <c r="H169" i="65"/>
  <c r="R184" i="65" s="1"/>
  <c r="S184" i="65" s="1"/>
  <c r="G169" i="65"/>
  <c r="N184" i="65" s="1"/>
  <c r="F169" i="65"/>
  <c r="J184" i="65" s="1"/>
  <c r="K184" i="65" s="1"/>
  <c r="L184" i="65" s="1"/>
  <c r="M184" i="65" s="1"/>
  <c r="E169" i="65"/>
  <c r="F184" i="65" s="1"/>
  <c r="G184" i="65" s="1"/>
  <c r="H184" i="65" s="1"/>
  <c r="I184" i="65" s="1"/>
  <c r="D169" i="65"/>
  <c r="D184" i="65" s="1"/>
  <c r="O85" i="65"/>
  <c r="O178" i="65" s="1"/>
  <c r="N85" i="65"/>
  <c r="N178" i="65" s="1"/>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O84" i="65"/>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G192" i="65" s="1"/>
  <c r="H192" i="65" s="1"/>
  <c r="I192" i="65" s="1"/>
  <c r="D84" i="65"/>
  <c r="D177" i="65" s="1"/>
  <c r="D192" i="65" s="1"/>
  <c r="E192" i="65" s="1"/>
  <c r="O83" i="65"/>
  <c r="N83" i="65"/>
  <c r="N179" i="65" s="1"/>
  <c r="M83" i="65"/>
  <c r="M179" i="65" s="1"/>
  <c r="L83" i="65"/>
  <c r="L179" i="65" s="1"/>
  <c r="K83" i="65"/>
  <c r="K179" i="65" s="1"/>
  <c r="J83" i="65"/>
  <c r="J179" i="65" s="1"/>
  <c r="I83" i="65"/>
  <c r="I179" i="65" s="1"/>
  <c r="H83" i="65"/>
  <c r="H179" i="65" s="1"/>
  <c r="R194" i="65" s="1"/>
  <c r="S194" i="65" s="1"/>
  <c r="G83" i="65"/>
  <c r="F83" i="65"/>
  <c r="F179" i="65" s="1"/>
  <c r="J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I172" i="65" s="1"/>
  <c r="H74" i="65"/>
  <c r="H172" i="65" s="1"/>
  <c r="R187" i="65" s="1"/>
  <c r="S187" i="65" s="1"/>
  <c r="G74" i="65"/>
  <c r="G172" i="65" s="1"/>
  <c r="N187" i="65" s="1"/>
  <c r="F74" i="65"/>
  <c r="F172" i="65" s="1"/>
  <c r="J187" i="65" s="1"/>
  <c r="K187" i="65" s="1"/>
  <c r="L187" i="65" s="1"/>
  <c r="M187" i="65" s="1"/>
  <c r="E74" i="65"/>
  <c r="E172" i="65" s="1"/>
  <c r="F187" i="65" s="1"/>
  <c r="G187" i="65" s="1"/>
  <c r="H187" i="65" s="1"/>
  <c r="I187" i="65" s="1"/>
  <c r="D74" i="65"/>
  <c r="D172" i="65" s="1"/>
  <c r="D187" i="65" s="1"/>
  <c r="O73" i="65"/>
  <c r="N73" i="65"/>
  <c r="N176" i="65" s="1"/>
  <c r="M73" i="65"/>
  <c r="M176" i="65" s="1"/>
  <c r="L73" i="65"/>
  <c r="L176" i="65" s="1"/>
  <c r="K73" i="65"/>
  <c r="K176" i="65" s="1"/>
  <c r="J73" i="65"/>
  <c r="J176" i="65" s="1"/>
  <c r="I73" i="65"/>
  <c r="I176" i="65" s="1"/>
  <c r="H73" i="65"/>
  <c r="H176" i="65" s="1"/>
  <c r="R191" i="65" s="1"/>
  <c r="S191" i="65" s="1"/>
  <c r="G73" i="65"/>
  <c r="G176" i="65" s="1"/>
  <c r="N191" i="65" s="1"/>
  <c r="O191" i="65" s="1"/>
  <c r="P191" i="65" s="1"/>
  <c r="Q191" i="65" s="1"/>
  <c r="F73" i="65"/>
  <c r="F176" i="65" s="1"/>
  <c r="J191" i="65" s="1"/>
  <c r="E73" i="65"/>
  <c r="E176" i="65" s="1"/>
  <c r="F191" i="65" s="1"/>
  <c r="G191" i="65" s="1"/>
  <c r="H191" i="65" s="1"/>
  <c r="I191" i="65" s="1"/>
  <c r="D73" i="65"/>
  <c r="D176" i="65" s="1"/>
  <c r="D191" i="65" s="1"/>
  <c r="E191" i="65" s="1"/>
  <c r="O72" i="65"/>
  <c r="N72" i="65"/>
  <c r="N175" i="65" s="1"/>
  <c r="M72" i="65"/>
  <c r="M175" i="65" s="1"/>
  <c r="L72" i="65"/>
  <c r="L175" i="65" s="1"/>
  <c r="K72" i="65"/>
  <c r="K175" i="65" s="1"/>
  <c r="J72" i="65"/>
  <c r="J175" i="65" s="1"/>
  <c r="I72" i="65"/>
  <c r="I175" i="65" s="1"/>
  <c r="H72" i="65"/>
  <c r="H175" i="65" s="1"/>
  <c r="R190" i="65" s="1"/>
  <c r="S190" i="65" s="1"/>
  <c r="G72" i="65"/>
  <c r="F72" i="65"/>
  <c r="F175" i="65" s="1"/>
  <c r="J190" i="65" s="1"/>
  <c r="K190" i="65" s="1"/>
  <c r="L190" i="65" s="1"/>
  <c r="M190" i="65" s="1"/>
  <c r="E72" i="65"/>
  <c r="E175" i="65" s="1"/>
  <c r="F190" i="65" s="1"/>
  <c r="G190" i="65" s="1"/>
  <c r="H190" i="65" s="1"/>
  <c r="I190" i="65" s="1"/>
  <c r="D72" i="65"/>
  <c r="D175" i="65" s="1"/>
  <c r="D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J170" i="65" s="1"/>
  <c r="I70" i="65"/>
  <c r="I170" i="65" s="1"/>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6" i="76"/>
  <c r="D45" i="76"/>
  <c r="D44" i="76"/>
  <c r="D43" i="76"/>
  <c r="D42" i="76"/>
  <c r="G41" i="76"/>
  <c r="D41" i="76"/>
  <c r="G32" i="76" s="1"/>
  <c r="H32" i="76" s="1"/>
  <c r="H40" i="76"/>
  <c r="G40" i="76"/>
  <c r="D40" i="76"/>
  <c r="I39" i="76"/>
  <c r="H39" i="76"/>
  <c r="D39" i="76"/>
  <c r="G31" i="76" s="1"/>
  <c r="H31" i="76" s="1"/>
  <c r="I31" i="76" s="1"/>
  <c r="I38" i="76"/>
  <c r="H38" i="76"/>
  <c r="J38" i="76" s="1"/>
  <c r="D38" i="76"/>
  <c r="I37" i="76"/>
  <c r="J37" i="76" s="1"/>
  <c r="H37" i="76"/>
  <c r="D37" i="76"/>
  <c r="I36" i="76"/>
  <c r="G36" i="76"/>
  <c r="H36" i="76" s="1"/>
  <c r="D36" i="76"/>
  <c r="D35" i="76"/>
  <c r="D34" i="76"/>
  <c r="M33" i="76"/>
  <c r="D33" i="76"/>
  <c r="M32" i="76"/>
  <c r="D32" i="76"/>
  <c r="D31" i="76"/>
  <c r="G30" i="76"/>
  <c r="H30" i="76" s="1"/>
  <c r="D30" i="76"/>
  <c r="D29" i="76"/>
  <c r="G28" i="76" s="1"/>
  <c r="H28" i="76" s="1"/>
  <c r="D28" i="76"/>
  <c r="G27" i="76" s="1"/>
  <c r="H27" i="76" s="1"/>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D27" i="76"/>
  <c r="Q14" i="76"/>
  <c r="P14" i="76"/>
  <c r="B14" i="76"/>
  <c r="M11" i="29"/>
  <c r="L11" i="29"/>
  <c r="K11" i="29"/>
  <c r="J11" i="29"/>
  <c r="T10" i="29"/>
  <c r="Q10" i="29"/>
  <c r="N10" i="29"/>
  <c r="T9" i="29"/>
  <c r="S9" i="29"/>
  <c r="S10" i="29" s="1"/>
  <c r="R9" i="29"/>
  <c r="R10" i="29" s="1"/>
  <c r="Q9" i="29"/>
  <c r="P9" i="29"/>
  <c r="P10" i="29" s="1"/>
  <c r="O9" i="29"/>
  <c r="O10" i="29" s="1"/>
  <c r="N9" i="29"/>
  <c r="M9" i="29"/>
  <c r="M10" i="29" s="1"/>
  <c r="L9" i="29"/>
  <c r="K9" i="29"/>
  <c r="J9" i="29"/>
  <c r="R16" i="40"/>
  <c r="R14" i="40"/>
  <c r="R15" i="40" s="1"/>
  <c r="Q14" i="40"/>
  <c r="M14" i="40"/>
  <c r="M15" i="40" s="1"/>
  <c r="T13" i="40"/>
  <c r="S13" i="40"/>
  <c r="S14" i="40" s="1"/>
  <c r="S16" i="40" s="1"/>
  <c r="R13" i="40"/>
  <c r="R17" i="40" s="1"/>
  <c r="Q13" i="40"/>
  <c r="P13" i="40"/>
  <c r="O13" i="40"/>
  <c r="N13" i="40"/>
  <c r="M13" i="40"/>
  <c r="L13" i="40"/>
  <c r="K13" i="40"/>
  <c r="J13" i="40"/>
  <c r="T12" i="40"/>
  <c r="T14" i="40" s="1"/>
  <c r="S12" i="40"/>
  <c r="R12" i="40"/>
  <c r="Q12" i="40"/>
  <c r="P12" i="40"/>
  <c r="O12" i="40"/>
  <c r="N12" i="40"/>
  <c r="M12" i="40"/>
  <c r="L12" i="40"/>
  <c r="K12" i="40"/>
  <c r="J12" i="40"/>
  <c r="T11" i="40"/>
  <c r="S11" i="40"/>
  <c r="S15" i="40" s="1"/>
  <c r="R11" i="40"/>
  <c r="Q11" i="40"/>
  <c r="P11" i="40"/>
  <c r="O11" i="40"/>
  <c r="N11" i="40"/>
  <c r="M11" i="40"/>
  <c r="L11" i="40"/>
  <c r="K11" i="40"/>
  <c r="J11" i="40"/>
  <c r="L70" i="38"/>
  <c r="L69" i="38"/>
  <c r="L66" i="38"/>
  <c r="L71" i="38" s="1"/>
  <c r="L65" i="38"/>
  <c r="I65" i="38"/>
  <c r="I70" i="38" s="1"/>
  <c r="L64" i="38"/>
  <c r="L67" i="38" s="1"/>
  <c r="M56" i="38"/>
  <c r="P55" i="38"/>
  <c r="P56" i="38" s="1"/>
  <c r="M55" i="38"/>
  <c r="I67" i="38" s="1"/>
  <c r="P54" i="38"/>
  <c r="O54" i="38"/>
  <c r="O55" i="38" s="1"/>
  <c r="K67" i="38" s="1"/>
  <c r="N54" i="38"/>
  <c r="N55" i="38" s="1"/>
  <c r="M54" i="38"/>
  <c r="L54" i="38"/>
  <c r="L55" i="38" s="1"/>
  <c r="N48" i="38" s="1"/>
  <c r="K54" i="38"/>
  <c r="K55" i="38" s="1"/>
  <c r="J54" i="38"/>
  <c r="P53" i="38"/>
  <c r="O53" i="38"/>
  <c r="K65" i="38" s="1"/>
  <c r="N53" i="38"/>
  <c r="J65" i="38" s="1"/>
  <c r="M53" i="38"/>
  <c r="L53" i="38"/>
  <c r="K53" i="38"/>
  <c r="J53" i="38"/>
  <c r="J45" i="38"/>
  <c r="Q44" i="38"/>
  <c r="J44" i="38"/>
  <c r="J43" i="38"/>
  <c r="Q42" i="38"/>
  <c r="J42" i="38"/>
  <c r="J41" i="38"/>
  <c r="Q40" i="38"/>
  <c r="J40" i="38"/>
  <c r="T39" i="38"/>
  <c r="J39" i="38"/>
  <c r="T38" i="38"/>
  <c r="S38" i="38"/>
  <c r="S39" i="38" s="1"/>
  <c r="S40" i="38" s="1"/>
  <c r="S41" i="38" s="1"/>
  <c r="S42" i="38" s="1"/>
  <c r="S43" i="38" s="1"/>
  <c r="S44" i="38" s="1"/>
  <c r="S45" i="38" s="1"/>
  <c r="Q38" i="38"/>
  <c r="R38" i="38" s="1"/>
  <c r="P38" i="38"/>
  <c r="J38" i="38"/>
  <c r="J37" i="38"/>
  <c r="Q37" i="38" s="1"/>
  <c r="J36" i="38"/>
  <c r="J35" i="38"/>
  <c r="P35" i="38" s="1"/>
  <c r="J34" i="38"/>
  <c r="J33" i="38"/>
  <c r="P33" i="38" s="1"/>
  <c r="J32" i="38"/>
  <c r="J31" i="38"/>
  <c r="P31" i="38" s="1"/>
  <c r="J30" i="38"/>
  <c r="J29" i="38"/>
  <c r="P29" i="38" s="1"/>
  <c r="T28" i="38"/>
  <c r="T29" i="38" s="1"/>
  <c r="T30" i="38" s="1"/>
  <c r="T31" i="38" s="1"/>
  <c r="T32" i="38" s="1"/>
  <c r="T33" i="38" s="1"/>
  <c r="T34" i="38" s="1"/>
  <c r="T35" i="38" s="1"/>
  <c r="T36" i="38" s="1"/>
  <c r="S28" i="38"/>
  <c r="J28" i="38"/>
  <c r="O27" i="38"/>
  <c r="J27" i="38"/>
  <c r="P27" i="38" s="1"/>
  <c r="N26" i="38"/>
  <c r="J26" i="38"/>
  <c r="N25" i="38"/>
  <c r="J25" i="38"/>
  <c r="S24" i="38"/>
  <c r="J24" i="38"/>
  <c r="S23" i="38"/>
  <c r="J23" i="38"/>
  <c r="J22" i="38"/>
  <c r="J21" i="38"/>
  <c r="J20" i="38"/>
  <c r="M20" i="38" s="1"/>
  <c r="J19" i="38"/>
  <c r="M19" i="38" s="1"/>
  <c r="M18" i="38"/>
  <c r="J18" i="38"/>
  <c r="M17" i="38"/>
  <c r="J17" i="38"/>
  <c r="S16" i="38"/>
  <c r="J16" i="38"/>
  <c r="S15" i="38"/>
  <c r="L15" i="38" s="1"/>
  <c r="J15" i="38"/>
  <c r="S14" i="38"/>
  <c r="L14" i="38" s="1"/>
  <c r="M14" i="38"/>
  <c r="J14" i="38"/>
  <c r="N14" i="38" s="1"/>
  <c r="M13" i="38"/>
  <c r="L13" i="38"/>
  <c r="N13" i="38" s="1"/>
  <c r="J13" i="38"/>
  <c r="M12" i="38"/>
  <c r="L12" i="38"/>
  <c r="N12" i="38" s="1"/>
  <c r="J12" i="38"/>
  <c r="M11" i="38"/>
  <c r="J11" i="38"/>
  <c r="AG73" i="70"/>
  <c r="AF73" i="70"/>
  <c r="AE73" i="70"/>
  <c r="AF49" i="70" s="1"/>
  <c r="AD73" i="70"/>
  <c r="AC73" i="70"/>
  <c r="AD49" i="70" s="1"/>
  <c r="AB73" i="70"/>
  <c r="AA73" i="70"/>
  <c r="Z73" i="70"/>
  <c r="Y73" i="70"/>
  <c r="X73" i="70"/>
  <c r="W73" i="70"/>
  <c r="V73" i="70"/>
  <c r="U73" i="70"/>
  <c r="T73" i="70"/>
  <c r="S73" i="70"/>
  <c r="AG72" i="70"/>
  <c r="AF72" i="70"/>
  <c r="AF48" i="70" s="1"/>
  <c r="AF14" i="70" s="1"/>
  <c r="AF24" i="70" s="1"/>
  <c r="AE72" i="70"/>
  <c r="AD72" i="70"/>
  <c r="AE48" i="70" s="1"/>
  <c r="AC72" i="70"/>
  <c r="AB72" i="70"/>
  <c r="AA72" i="70"/>
  <c r="Z72" i="70"/>
  <c r="Y72" i="70"/>
  <c r="X72" i="70"/>
  <c r="W72" i="70"/>
  <c r="V72" i="70"/>
  <c r="U72" i="70"/>
  <c r="T72" i="70"/>
  <c r="S72" i="70"/>
  <c r="AG71" i="70"/>
  <c r="AG46" i="70" s="1"/>
  <c r="AF71" i="70"/>
  <c r="AE71" i="70"/>
  <c r="AD71" i="70"/>
  <c r="AD46" i="70" s="1"/>
  <c r="AD45" i="70" s="1"/>
  <c r="AD12" i="70" s="1"/>
  <c r="AD23" i="70" s="1"/>
  <c r="AC71" i="70"/>
  <c r="AB71" i="70"/>
  <c r="AA71" i="70"/>
  <c r="Z71" i="70"/>
  <c r="Y71" i="70"/>
  <c r="Z46" i="70" s="1"/>
  <c r="Z45" i="70" s="1"/>
  <c r="X71" i="70"/>
  <c r="W71" i="70"/>
  <c r="V71" i="70"/>
  <c r="U71" i="70"/>
  <c r="T71" i="70"/>
  <c r="S71" i="70"/>
  <c r="AG52" i="70"/>
  <c r="AG20" i="70" s="1"/>
  <c r="AG27" i="70" s="1"/>
  <c r="Y52" i="70"/>
  <c r="X52" i="70"/>
  <c r="X20" i="70" s="1"/>
  <c r="W52" i="70"/>
  <c r="V52" i="70"/>
  <c r="V20" i="70" s="1"/>
  <c r="V27" i="70" s="1"/>
  <c r="U52" i="70"/>
  <c r="U20" i="70" s="1"/>
  <c r="U27" i="70" s="1"/>
  <c r="T52" i="70"/>
  <c r="S52" i="70"/>
  <c r="R52" i="70"/>
  <c r="Q52" i="70"/>
  <c r="P52" i="70"/>
  <c r="P20" i="70" s="1"/>
  <c r="P27" i="70" s="1"/>
  <c r="O52" i="70"/>
  <c r="N52" i="70"/>
  <c r="N20" i="70" s="1"/>
  <c r="N27" i="70" s="1"/>
  <c r="M52" i="70"/>
  <c r="L52" i="70"/>
  <c r="L20" i="70" s="1"/>
  <c r="L27" i="70" s="1"/>
  <c r="K52" i="70"/>
  <c r="J52" i="70"/>
  <c r="J20" i="70" s="1"/>
  <c r="J27" i="70" s="1"/>
  <c r="I52" i="70"/>
  <c r="I20" i="70" s="1"/>
  <c r="I27" i="70" s="1"/>
  <c r="H52" i="70"/>
  <c r="G52" i="70"/>
  <c r="F52" i="70"/>
  <c r="E52" i="70"/>
  <c r="D52" i="70"/>
  <c r="D20" i="70" s="1"/>
  <c r="D27" i="70" s="1"/>
  <c r="AD51" i="70"/>
  <c r="Y51" i="70"/>
  <c r="X51" i="70"/>
  <c r="W51" i="70"/>
  <c r="V51" i="70"/>
  <c r="V18" i="70" s="1"/>
  <c r="V26" i="70" s="1"/>
  <c r="U51" i="70"/>
  <c r="T51" i="70"/>
  <c r="T18" i="70" s="1"/>
  <c r="T26" i="70" s="1"/>
  <c r="S51" i="70"/>
  <c r="R51" i="70"/>
  <c r="R18" i="70" s="1"/>
  <c r="Q51" i="70"/>
  <c r="P51" i="70"/>
  <c r="P18" i="70" s="1"/>
  <c r="P26" i="70" s="1"/>
  <c r="O51" i="70"/>
  <c r="N51" i="70"/>
  <c r="M51" i="70"/>
  <c r="L51" i="70"/>
  <c r="K51" i="70"/>
  <c r="J51" i="70"/>
  <c r="J18" i="70" s="1"/>
  <c r="J26" i="70" s="1"/>
  <c r="I51" i="70"/>
  <c r="H51" i="70"/>
  <c r="H18" i="70" s="1"/>
  <c r="H26" i="70" s="1"/>
  <c r="G51" i="70"/>
  <c r="F51" i="70"/>
  <c r="F18" i="70" s="1"/>
  <c r="E51" i="70"/>
  <c r="D51" i="70"/>
  <c r="D18" i="70" s="1"/>
  <c r="D26" i="70" s="1"/>
  <c r="AB50" i="70"/>
  <c r="AA50" i="70"/>
  <c r="Z50" i="70"/>
  <c r="Z48" i="70" s="1"/>
  <c r="AG49" i="70"/>
  <c r="AG51" i="70" s="1"/>
  <c r="AG18" i="70" s="1"/>
  <c r="AE49" i="70"/>
  <c r="AE51" i="70" s="1"/>
  <c r="AE52" i="70" s="1"/>
  <c r="AE20" i="70" s="1"/>
  <c r="AE27" i="70" s="1"/>
  <c r="AC49" i="70"/>
  <c r="AC51" i="70" s="1"/>
  <c r="AC52" i="70" s="1"/>
  <c r="AC20" i="70" s="1"/>
  <c r="AC27" i="70" s="1"/>
  <c r="Y49" i="70"/>
  <c r="X49" i="70"/>
  <c r="X16" i="70" s="1"/>
  <c r="X25" i="70" s="1"/>
  <c r="W49" i="70"/>
  <c r="V49" i="70"/>
  <c r="U49" i="70"/>
  <c r="T49" i="70"/>
  <c r="S49" i="70"/>
  <c r="S16" i="70" s="1"/>
  <c r="S25" i="70" s="1"/>
  <c r="R49" i="70"/>
  <c r="Q49" i="70"/>
  <c r="Q16" i="70" s="1"/>
  <c r="P49" i="70"/>
  <c r="P16" i="70" s="1"/>
  <c r="P25" i="70" s="1"/>
  <c r="O49" i="70"/>
  <c r="O16" i="70" s="1"/>
  <c r="N49" i="70"/>
  <c r="M49" i="70"/>
  <c r="M16" i="70" s="1"/>
  <c r="M25" i="70" s="1"/>
  <c r="L49" i="70"/>
  <c r="L16" i="70" s="1"/>
  <c r="K49" i="70"/>
  <c r="J49" i="70"/>
  <c r="I49" i="70"/>
  <c r="H49" i="70"/>
  <c r="G49" i="70"/>
  <c r="G16" i="70" s="1"/>
  <c r="G25" i="70" s="1"/>
  <c r="F49" i="70"/>
  <c r="E49" i="70"/>
  <c r="E16" i="70" s="1"/>
  <c r="D49" i="70"/>
  <c r="D16" i="70" s="1"/>
  <c r="D25" i="70" s="1"/>
  <c r="AG48" i="70"/>
  <c r="AG14" i="70" s="1"/>
  <c r="AD48" i="70"/>
  <c r="AD14" i="70" s="1"/>
  <c r="AD24" i="70" s="1"/>
  <c r="Y48" i="70"/>
  <c r="Y14" i="70" s="1"/>
  <c r="Y24" i="70" s="1"/>
  <c r="X48" i="70"/>
  <c r="W48" i="70"/>
  <c r="W14" i="70" s="1"/>
  <c r="W24" i="70" s="1"/>
  <c r="V48" i="70"/>
  <c r="V14" i="70" s="1"/>
  <c r="V24" i="70" s="1"/>
  <c r="U48" i="70"/>
  <c r="U14" i="70" s="1"/>
  <c r="U24" i="70" s="1"/>
  <c r="T48" i="70"/>
  <c r="S48" i="70"/>
  <c r="R48" i="70"/>
  <c r="R14" i="70" s="1"/>
  <c r="Q48" i="70"/>
  <c r="P48" i="70"/>
  <c r="O48" i="70"/>
  <c r="N48" i="70"/>
  <c r="M48" i="70"/>
  <c r="L48" i="70"/>
  <c r="K48" i="70"/>
  <c r="K14" i="70" s="1"/>
  <c r="K24" i="70" s="1"/>
  <c r="J48" i="70"/>
  <c r="J14" i="70" s="1"/>
  <c r="J24" i="70" s="1"/>
  <c r="I48" i="70"/>
  <c r="I14" i="70" s="1"/>
  <c r="I24" i="70" s="1"/>
  <c r="H48" i="70"/>
  <c r="G48" i="70"/>
  <c r="F48" i="70"/>
  <c r="F14" i="70" s="1"/>
  <c r="E48" i="70"/>
  <c r="D48" i="70"/>
  <c r="AC46" i="70"/>
  <c r="AC45" i="70" s="1"/>
  <c r="AC12" i="70" s="1"/>
  <c r="AC23" i="70" s="1"/>
  <c r="AB46" i="70"/>
  <c r="AB45" i="70" s="1"/>
  <c r="AB12" i="70" s="1"/>
  <c r="AB23" i="70" s="1"/>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G45" i="70"/>
  <c r="Y45" i="70"/>
  <c r="X45" i="70"/>
  <c r="W45" i="70"/>
  <c r="V45" i="70"/>
  <c r="U45" i="70"/>
  <c r="U12" i="70" s="1"/>
  <c r="U23" i="70" s="1"/>
  <c r="T45" i="70"/>
  <c r="C13" i="76" s="1"/>
  <c r="S45" i="70"/>
  <c r="R45" i="70"/>
  <c r="R12" i="70" s="1"/>
  <c r="R23" i="70" s="1"/>
  <c r="Q45" i="70"/>
  <c r="P45" i="70"/>
  <c r="O45" i="70"/>
  <c r="N45" i="70"/>
  <c r="M45" i="70"/>
  <c r="L45" i="70"/>
  <c r="K45" i="70"/>
  <c r="J45" i="70"/>
  <c r="I45" i="70"/>
  <c r="I12" i="70" s="1"/>
  <c r="I23" i="70" s="1"/>
  <c r="H45" i="70"/>
  <c r="G45" i="70"/>
  <c r="F45" i="70"/>
  <c r="F12" i="70" s="1"/>
  <c r="F23" i="70" s="1"/>
  <c r="E45" i="70"/>
  <c r="D45" i="70"/>
  <c r="X27" i="70"/>
  <c r="Q27" i="70"/>
  <c r="O27" i="70"/>
  <c r="M27" i="70"/>
  <c r="G27" i="70"/>
  <c r="E27" i="70"/>
  <c r="AG26" i="70"/>
  <c r="AE26" i="70"/>
  <c r="W26" i="70"/>
  <c r="U26" i="70"/>
  <c r="R26" i="70"/>
  <c r="M26" i="70"/>
  <c r="K26" i="70"/>
  <c r="I26" i="70"/>
  <c r="F26" i="70"/>
  <c r="AE25" i="70"/>
  <c r="Q25" i="70"/>
  <c r="O25" i="70"/>
  <c r="L25" i="70"/>
  <c r="E25" i="70"/>
  <c r="AG24" i="70"/>
  <c r="S24" i="70"/>
  <c r="R24" i="70"/>
  <c r="G24" i="70"/>
  <c r="F24" i="70"/>
  <c r="X23" i="70"/>
  <c r="S23" i="70"/>
  <c r="Q23" i="70"/>
  <c r="P23" i="70"/>
  <c r="O23" i="70"/>
  <c r="L23" i="70"/>
  <c r="G23" i="70"/>
  <c r="E23" i="70"/>
  <c r="D23" i="70"/>
  <c r="Y20" i="70"/>
  <c r="Y27" i="70" s="1"/>
  <c r="W20" i="70"/>
  <c r="W27" i="70" s="1"/>
  <c r="T20" i="70"/>
  <c r="T27" i="70" s="1"/>
  <c r="S20" i="70"/>
  <c r="S27" i="70" s="1"/>
  <c r="R20" i="70"/>
  <c r="R27" i="70" s="1"/>
  <c r="Q20" i="70"/>
  <c r="O20" i="70"/>
  <c r="M20" i="70"/>
  <c r="K20" i="70"/>
  <c r="K27" i="70" s="1"/>
  <c r="H20" i="70"/>
  <c r="H27" i="70" s="1"/>
  <c r="G20" i="70"/>
  <c r="F20" i="70"/>
  <c r="F27" i="70" s="1"/>
  <c r="E20" i="70"/>
  <c r="AE18" i="70"/>
  <c r="Y18" i="70"/>
  <c r="Y26" i="70" s="1"/>
  <c r="X18" i="70"/>
  <c r="X26" i="70" s="1"/>
  <c r="W18" i="70"/>
  <c r="U18" i="70"/>
  <c r="S18" i="70"/>
  <c r="S26" i="70" s="1"/>
  <c r="Q18" i="70"/>
  <c r="Q26" i="70" s="1"/>
  <c r="O18" i="70"/>
  <c r="O26" i="70" s="1"/>
  <c r="N18" i="70"/>
  <c r="N26" i="70" s="1"/>
  <c r="M18" i="70"/>
  <c r="L18" i="70"/>
  <c r="L26" i="70" s="1"/>
  <c r="K18" i="70"/>
  <c r="I18" i="70"/>
  <c r="G18" i="70"/>
  <c r="G26" i="70" s="1"/>
  <c r="E18" i="70"/>
  <c r="E26" i="70" s="1"/>
  <c r="AG16" i="70"/>
  <c r="AG25" i="70" s="1"/>
  <c r="AE16" i="70"/>
  <c r="AD16" i="70"/>
  <c r="AD25" i="70" s="1"/>
  <c r="Y16" i="70"/>
  <c r="Y25" i="70" s="1"/>
  <c r="W16" i="70"/>
  <c r="W25" i="70" s="1"/>
  <c r="V16" i="70"/>
  <c r="V25" i="70" s="1"/>
  <c r="U16" i="70"/>
  <c r="U25" i="70" s="1"/>
  <c r="T16" i="70"/>
  <c r="T25" i="70" s="1"/>
  <c r="R16" i="70"/>
  <c r="R25" i="70" s="1"/>
  <c r="N16" i="70"/>
  <c r="N25" i="70" s="1"/>
  <c r="K16" i="70"/>
  <c r="K25" i="70" s="1"/>
  <c r="J16" i="70"/>
  <c r="J25" i="70" s="1"/>
  <c r="I16" i="70"/>
  <c r="I25" i="70" s="1"/>
  <c r="H16" i="70"/>
  <c r="H25" i="70" s="1"/>
  <c r="F16" i="70"/>
  <c r="F25" i="70" s="1"/>
  <c r="AE14" i="70"/>
  <c r="AE24" i="70" s="1"/>
  <c r="X14" i="70"/>
  <c r="X24" i="70" s="1"/>
  <c r="T14" i="70"/>
  <c r="T24" i="70" s="1"/>
  <c r="S14" i="70"/>
  <c r="Q14" i="70"/>
  <c r="Q24" i="70" s="1"/>
  <c r="P14" i="70"/>
  <c r="P24" i="70" s="1"/>
  <c r="O14" i="70"/>
  <c r="O24" i="70" s="1"/>
  <c r="N14" i="70"/>
  <c r="N24" i="70" s="1"/>
  <c r="M14" i="70"/>
  <c r="M24" i="70" s="1"/>
  <c r="L14" i="70"/>
  <c r="L24" i="70" s="1"/>
  <c r="H14" i="70"/>
  <c r="H24" i="70" s="1"/>
  <c r="G14" i="70"/>
  <c r="E14" i="70"/>
  <c r="E24" i="70" s="1"/>
  <c r="D14" i="70"/>
  <c r="D24" i="70" s="1"/>
  <c r="AG12" i="70"/>
  <c r="AG23" i="70" s="1"/>
  <c r="Y12" i="70"/>
  <c r="Y23" i="70" s="1"/>
  <c r="X12" i="70"/>
  <c r="W12" i="70"/>
  <c r="W23" i="70" s="1"/>
  <c r="V12" i="70"/>
  <c r="V23" i="70" s="1"/>
  <c r="T12" i="70"/>
  <c r="T23" i="70" s="1"/>
  <c r="S12" i="70"/>
  <c r="Q12" i="70"/>
  <c r="P12" i="70"/>
  <c r="O12" i="70"/>
  <c r="N12" i="70"/>
  <c r="N23" i="70" s="1"/>
  <c r="M12" i="70"/>
  <c r="M23" i="70" s="1"/>
  <c r="L12" i="70"/>
  <c r="K12" i="70"/>
  <c r="K23" i="70" s="1"/>
  <c r="J12" i="70"/>
  <c r="J23" i="70" s="1"/>
  <c r="H12" i="70"/>
  <c r="H23" i="70" s="1"/>
  <c r="G12" i="70"/>
  <c r="E12" i="70"/>
  <c r="D12" i="70"/>
  <c r="Q138" i="48"/>
  <c r="Y131" i="48"/>
  <c r="Z131" i="48" s="1"/>
  <c r="AA131" i="48" s="1"/>
  <c r="AB131" i="48" s="1"/>
  <c r="AC131" i="48" s="1"/>
  <c r="AD131" i="48" s="1"/>
  <c r="AE131" i="48" s="1"/>
  <c r="AF131" i="48" s="1"/>
  <c r="AG131" i="48" s="1"/>
  <c r="AG25" i="48" s="1"/>
  <c r="K22" i="35" s="1"/>
  <c r="L24" i="55" s="1"/>
  <c r="Y126" i="48"/>
  <c r="X126" i="48"/>
  <c r="W126" i="48"/>
  <c r="V126" i="48"/>
  <c r="U126" i="48"/>
  <c r="T126" i="48"/>
  <c r="S126" i="48"/>
  <c r="R126" i="48"/>
  <c r="Q126" i="48"/>
  <c r="P126" i="48"/>
  <c r="O126" i="48"/>
  <c r="N126" i="48"/>
  <c r="N144" i="48" s="1"/>
  <c r="M126" i="48"/>
  <c r="L126" i="48"/>
  <c r="K126" i="48"/>
  <c r="K144" i="48" s="1"/>
  <c r="J126" i="48"/>
  <c r="I126" i="48"/>
  <c r="I144" i="48" s="1"/>
  <c r="H126" i="48"/>
  <c r="G126" i="48"/>
  <c r="F126" i="48"/>
  <c r="Y125" i="48"/>
  <c r="X125" i="48"/>
  <c r="W125" i="48"/>
  <c r="V125" i="48"/>
  <c r="U125" i="48"/>
  <c r="T125" i="48"/>
  <c r="S125" i="48"/>
  <c r="R125" i="48"/>
  <c r="Q125" i="48"/>
  <c r="Q143" i="48" s="1"/>
  <c r="P125" i="48"/>
  <c r="P143" i="48" s="1"/>
  <c r="O125" i="48"/>
  <c r="N125" i="48"/>
  <c r="M125" i="48"/>
  <c r="L125" i="48"/>
  <c r="K125" i="48"/>
  <c r="J125" i="48"/>
  <c r="I125" i="48"/>
  <c r="H125" i="48"/>
  <c r="G125" i="48"/>
  <c r="F125" i="48"/>
  <c r="Y124" i="48"/>
  <c r="Y123" i="48"/>
  <c r="X123" i="48"/>
  <c r="W123" i="48"/>
  <c r="V123" i="48"/>
  <c r="U123" i="48"/>
  <c r="T123" i="48"/>
  <c r="S123" i="48"/>
  <c r="R123" i="48"/>
  <c r="Q123" i="48"/>
  <c r="P123" i="48"/>
  <c r="O123" i="48"/>
  <c r="N123" i="48"/>
  <c r="N141" i="48" s="1"/>
  <c r="M123" i="48"/>
  <c r="M141" i="48" s="1"/>
  <c r="L123" i="48"/>
  <c r="K123" i="48"/>
  <c r="J123" i="48"/>
  <c r="I123" i="48"/>
  <c r="I141" i="48" s="1"/>
  <c r="H123" i="48"/>
  <c r="G123" i="48"/>
  <c r="F123" i="48"/>
  <c r="Y122" i="48"/>
  <c r="X122" i="48"/>
  <c r="W122" i="48"/>
  <c r="V122" i="48"/>
  <c r="U122" i="48"/>
  <c r="T122" i="48"/>
  <c r="S122" i="48"/>
  <c r="R122" i="48"/>
  <c r="Q122" i="48"/>
  <c r="P122" i="48"/>
  <c r="O122" i="48"/>
  <c r="O140" i="48" s="1"/>
  <c r="N122" i="48"/>
  <c r="M122" i="48"/>
  <c r="L122" i="48"/>
  <c r="K122" i="48"/>
  <c r="J122" i="48"/>
  <c r="I122" i="48"/>
  <c r="I140" i="48" s="1"/>
  <c r="H122" i="48"/>
  <c r="G122" i="48"/>
  <c r="F122" i="48"/>
  <c r="Y121" i="48"/>
  <c r="Y119" i="48" s="1"/>
  <c r="X121" i="48"/>
  <c r="W121" i="48"/>
  <c r="V121" i="48"/>
  <c r="U121" i="48"/>
  <c r="T121" i="48"/>
  <c r="S121" i="48"/>
  <c r="R121" i="48"/>
  <c r="Q121" i="48"/>
  <c r="P121" i="48"/>
  <c r="O121" i="48"/>
  <c r="N121" i="48"/>
  <c r="M121" i="48"/>
  <c r="L121" i="48"/>
  <c r="K121" i="48"/>
  <c r="J121" i="48"/>
  <c r="I121" i="48"/>
  <c r="H121" i="48"/>
  <c r="G121" i="48"/>
  <c r="F121" i="48"/>
  <c r="Y120" i="48"/>
  <c r="X120" i="48"/>
  <c r="W120" i="48"/>
  <c r="W124" i="48" s="1"/>
  <c r="V120" i="48"/>
  <c r="V124" i="48" s="1"/>
  <c r="U120" i="48"/>
  <c r="T120" i="48"/>
  <c r="T124" i="48" s="1"/>
  <c r="S120" i="48"/>
  <c r="S124" i="48" s="1"/>
  <c r="R120" i="48"/>
  <c r="Q120" i="48"/>
  <c r="Q124" i="48" s="1"/>
  <c r="P120" i="48"/>
  <c r="P124" i="48" s="1"/>
  <c r="O120" i="48"/>
  <c r="O124" i="48" s="1"/>
  <c r="N120" i="48"/>
  <c r="M120" i="48"/>
  <c r="M124" i="48" s="1"/>
  <c r="L120" i="48"/>
  <c r="L124" i="48" s="1"/>
  <c r="K120" i="48"/>
  <c r="J120" i="48"/>
  <c r="J124" i="48" s="1"/>
  <c r="I120" i="48"/>
  <c r="H120" i="48"/>
  <c r="H124" i="48" s="1"/>
  <c r="G120" i="48"/>
  <c r="G124" i="48" s="1"/>
  <c r="F120"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M88" i="48"/>
  <c r="L88" i="48"/>
  <c r="K88" i="48"/>
  <c r="J88" i="48"/>
  <c r="I88" i="48"/>
  <c r="H88" i="48"/>
  <c r="G88" i="48"/>
  <c r="F88" i="48"/>
  <c r="E88" i="48"/>
  <c r="M86" i="48"/>
  <c r="L86" i="48"/>
  <c r="K86" i="48"/>
  <c r="J86" i="48"/>
  <c r="I86" i="48"/>
  <c r="H86" i="48"/>
  <c r="G86" i="48"/>
  <c r="F86" i="48"/>
  <c r="F94" i="48" s="1"/>
  <c r="E86" i="48"/>
  <c r="M85" i="48"/>
  <c r="L85" i="48"/>
  <c r="K85" i="48"/>
  <c r="J85" i="48"/>
  <c r="I85" i="48"/>
  <c r="H85" i="48"/>
  <c r="G85" i="48"/>
  <c r="F85" i="48"/>
  <c r="E85" i="48"/>
  <c r="F73" i="48"/>
  <c r="E73" i="48"/>
  <c r="F71" i="48"/>
  <c r="E71" i="48"/>
  <c r="F70" i="48"/>
  <c r="E70" i="48"/>
  <c r="M57" i="48"/>
  <c r="M87" i="48" s="1"/>
  <c r="L57" i="48"/>
  <c r="L87" i="48" s="1"/>
  <c r="K57" i="48"/>
  <c r="K87" i="48" s="1"/>
  <c r="J57" i="48"/>
  <c r="J87" i="48" s="1"/>
  <c r="I57" i="48"/>
  <c r="I87" i="48" s="1"/>
  <c r="H57" i="48"/>
  <c r="H87" i="48" s="1"/>
  <c r="G57" i="48"/>
  <c r="G87" i="48" s="1"/>
  <c r="F57" i="48"/>
  <c r="F72" i="48" s="1"/>
  <c r="E57" i="48"/>
  <c r="E72" i="48" s="1"/>
  <c r="AG47" i="48"/>
  <c r="AF47" i="48"/>
  <c r="AE47" i="48"/>
  <c r="AD47" i="48"/>
  <c r="AC47" i="48"/>
  <c r="AB47" i="48"/>
  <c r="AA47" i="48"/>
  <c r="Z47" i="48"/>
  <c r="Y47" i="48"/>
  <c r="Y25" i="48"/>
  <c r="X25" i="48"/>
  <c r="X131" i="48" s="1"/>
  <c r="W25" i="48"/>
  <c r="W131" i="48" s="1"/>
  <c r="V25" i="48"/>
  <c r="U25" i="48"/>
  <c r="T25" i="48"/>
  <c r="T131" i="48" s="1"/>
  <c r="S25" i="48"/>
  <c r="S131" i="48" s="1"/>
  <c r="R25" i="48"/>
  <c r="Q25" i="48"/>
  <c r="P25" i="48"/>
  <c r="O25" i="48"/>
  <c r="N25" i="48"/>
  <c r="M25" i="48"/>
  <c r="M131" i="48" s="1"/>
  <c r="L25" i="48"/>
  <c r="L131" i="48" s="1"/>
  <c r="K25" i="48"/>
  <c r="K131" i="48" s="1"/>
  <c r="J25" i="48"/>
  <c r="I25" i="48"/>
  <c r="H25" i="48"/>
  <c r="H131" i="48" s="1"/>
  <c r="G25" i="48"/>
  <c r="G131" i="48" s="1"/>
  <c r="F25" i="48"/>
  <c r="Y24" i="48"/>
  <c r="X24" i="48"/>
  <c r="W24" i="48"/>
  <c r="V24" i="48"/>
  <c r="U24" i="48"/>
  <c r="U130" i="48" s="1"/>
  <c r="T24" i="48"/>
  <c r="T130" i="48" s="1"/>
  <c r="S24" i="48"/>
  <c r="S130" i="48" s="1"/>
  <c r="R24" i="48"/>
  <c r="Q24" i="48"/>
  <c r="P24" i="48"/>
  <c r="P130" i="48" s="1"/>
  <c r="O24" i="48"/>
  <c r="O130" i="48" s="1"/>
  <c r="N24" i="48"/>
  <c r="M24" i="48"/>
  <c r="L24" i="48"/>
  <c r="K24" i="48"/>
  <c r="J24" i="48"/>
  <c r="I24" i="48"/>
  <c r="I130" i="48" s="1"/>
  <c r="H24" i="48"/>
  <c r="H130" i="48" s="1"/>
  <c r="G24" i="48"/>
  <c r="G130" i="48" s="1"/>
  <c r="F24" i="48"/>
  <c r="Y23" i="48"/>
  <c r="Y19" i="48" s="1"/>
  <c r="C20" i="35" s="1"/>
  <c r="D22" i="55" s="1"/>
  <c r="D118" i="55" s="1"/>
  <c r="X23" i="48"/>
  <c r="W23" i="48"/>
  <c r="W129" i="48" s="1"/>
  <c r="V23" i="48"/>
  <c r="V19" i="48" s="1"/>
  <c r="U23" i="48"/>
  <c r="T23" i="48"/>
  <c r="S23" i="48"/>
  <c r="R23" i="48"/>
  <c r="Q23" i="48"/>
  <c r="Q129" i="48" s="1"/>
  <c r="P23" i="48"/>
  <c r="O23" i="48"/>
  <c r="N23" i="48"/>
  <c r="M23" i="48"/>
  <c r="L23" i="48"/>
  <c r="L129" i="48" s="1"/>
  <c r="K23" i="48"/>
  <c r="J23" i="48"/>
  <c r="J19" i="48" s="1"/>
  <c r="I23" i="48"/>
  <c r="H23" i="48"/>
  <c r="G23" i="48"/>
  <c r="F23" i="48"/>
  <c r="Y21" i="48"/>
  <c r="X21" i="48"/>
  <c r="W21" i="48"/>
  <c r="V21" i="48"/>
  <c r="U21" i="48"/>
  <c r="U19" i="48" s="1"/>
  <c r="T21" i="48"/>
  <c r="S21" i="48"/>
  <c r="S19" i="48" s="1"/>
  <c r="R21" i="48"/>
  <c r="Q21" i="48"/>
  <c r="P21" i="48"/>
  <c r="O21" i="48"/>
  <c r="N21" i="48"/>
  <c r="M21" i="48"/>
  <c r="L21" i="48"/>
  <c r="K21" i="48"/>
  <c r="J21" i="48"/>
  <c r="I21" i="48"/>
  <c r="H21" i="48"/>
  <c r="G21" i="48"/>
  <c r="F21" i="48"/>
  <c r="Y16" i="48"/>
  <c r="X16" i="48"/>
  <c r="X116" i="48" s="1"/>
  <c r="W16" i="48"/>
  <c r="W116" i="48" s="1"/>
  <c r="V16" i="48"/>
  <c r="V116" i="48" s="1"/>
  <c r="U16" i="48"/>
  <c r="T16" i="48"/>
  <c r="T116" i="48" s="1"/>
  <c r="S16" i="48"/>
  <c r="S116" i="48" s="1"/>
  <c r="R16" i="48"/>
  <c r="Q16" i="48"/>
  <c r="P16" i="48"/>
  <c r="O16" i="48"/>
  <c r="N16" i="48"/>
  <c r="M16" i="48"/>
  <c r="M116" i="48" s="1"/>
  <c r="H96" i="48" s="1"/>
  <c r="L16" i="48"/>
  <c r="K16" i="48"/>
  <c r="K116" i="48" s="1"/>
  <c r="J16" i="48"/>
  <c r="J116" i="48" s="1"/>
  <c r="I16" i="48"/>
  <c r="I116" i="48" s="1"/>
  <c r="H16" i="48"/>
  <c r="H116" i="48" s="1"/>
  <c r="G16" i="48"/>
  <c r="F16" i="48"/>
  <c r="Y14" i="48"/>
  <c r="X14" i="48"/>
  <c r="W14" i="48"/>
  <c r="V14" i="48"/>
  <c r="U14" i="48"/>
  <c r="U115" i="48" s="1"/>
  <c r="T14" i="48"/>
  <c r="T115" i="48" s="1"/>
  <c r="S14" i="48"/>
  <c r="S115" i="48" s="1"/>
  <c r="R14" i="48"/>
  <c r="R115" i="48" s="1"/>
  <c r="Q14" i="48"/>
  <c r="P14" i="48"/>
  <c r="P9" i="48" s="1"/>
  <c r="O14" i="48"/>
  <c r="O115" i="48" s="1"/>
  <c r="N14" i="48"/>
  <c r="M14" i="48"/>
  <c r="L14" i="48"/>
  <c r="K14" i="48"/>
  <c r="K115" i="48" s="1"/>
  <c r="J14" i="48"/>
  <c r="I14" i="48"/>
  <c r="I115" i="48" s="1"/>
  <c r="H14" i="48"/>
  <c r="H115" i="48" s="1"/>
  <c r="G14" i="48"/>
  <c r="F14" i="48"/>
  <c r="Y12" i="48"/>
  <c r="X12" i="48"/>
  <c r="X28" i="48" s="1"/>
  <c r="W12" i="48"/>
  <c r="V12" i="48"/>
  <c r="U12" i="48"/>
  <c r="U28" i="48" s="1"/>
  <c r="T12" i="48"/>
  <c r="S12" i="48"/>
  <c r="S28" i="48" s="1"/>
  <c r="R12" i="48"/>
  <c r="Q12" i="48"/>
  <c r="P12" i="48"/>
  <c r="O12" i="48"/>
  <c r="N12" i="48"/>
  <c r="M12" i="48"/>
  <c r="M28" i="48" s="1"/>
  <c r="L12" i="48"/>
  <c r="L28" i="48" s="1"/>
  <c r="K12" i="48"/>
  <c r="J12" i="48"/>
  <c r="J28" i="48" s="1"/>
  <c r="I12" i="48"/>
  <c r="I28" i="48" s="1"/>
  <c r="H12" i="48"/>
  <c r="G12" i="48"/>
  <c r="G28" i="48" s="1"/>
  <c r="F12" i="48"/>
  <c r="Z10" i="48"/>
  <c r="Y10" i="48"/>
  <c r="Y27" i="48" s="1"/>
  <c r="X10" i="48"/>
  <c r="W10" i="48"/>
  <c r="W27" i="48" s="1"/>
  <c r="V10" i="48"/>
  <c r="U10" i="48"/>
  <c r="U27" i="48" s="1"/>
  <c r="T10" i="48"/>
  <c r="S10" i="48"/>
  <c r="S9" i="48" s="1"/>
  <c r="R10" i="48"/>
  <c r="Q10" i="48"/>
  <c r="P10" i="48"/>
  <c r="O10" i="48"/>
  <c r="O27" i="48" s="1"/>
  <c r="N10" i="48"/>
  <c r="N27" i="48" s="1"/>
  <c r="M10" i="48"/>
  <c r="M27" i="48" s="1"/>
  <c r="L10" i="48"/>
  <c r="K10" i="48"/>
  <c r="J10" i="48"/>
  <c r="I10" i="48"/>
  <c r="I27" i="48" s="1"/>
  <c r="H10" i="48"/>
  <c r="H27" i="48" s="1"/>
  <c r="G10" i="48"/>
  <c r="G9" i="48" s="1"/>
  <c r="F10" i="48"/>
  <c r="Z23" i="78"/>
  <c r="AA23" i="78" s="1"/>
  <c r="Y23" i="78"/>
  <c r="X23" i="78"/>
  <c r="W23" i="78"/>
  <c r="V23" i="78"/>
  <c r="U23" i="78"/>
  <c r="T23" i="78"/>
  <c r="S23" i="78"/>
  <c r="AF22" i="78"/>
  <c r="AD22" i="78"/>
  <c r="AB22" i="78"/>
  <c r="Z22" i="78"/>
  <c r="X21" i="78"/>
  <c r="W21" i="78"/>
  <c r="V21" i="78"/>
  <c r="AG16" i="78"/>
  <c r="AG22" i="78" s="1"/>
  <c r="AF16" i="78"/>
  <c r="AE16" i="78"/>
  <c r="AE22" i="78" s="1"/>
  <c r="AD16" i="78"/>
  <c r="AC16" i="78"/>
  <c r="AC22" i="78" s="1"/>
  <c r="AB16" i="78"/>
  <c r="AA16" i="78"/>
  <c r="AA22" i="78" s="1"/>
  <c r="Z16" i="78"/>
  <c r="AJ14" i="78"/>
  <c r="AI14" i="78"/>
  <c r="AH14" i="78"/>
  <c r="AG14" i="78"/>
  <c r="AB14" i="78"/>
  <c r="AA14" i="78"/>
  <c r="Z14" i="78"/>
  <c r="X14" i="78"/>
  <c r="V14" i="78"/>
  <c r="U14" i="78"/>
  <c r="AH13" i="78"/>
  <c r="AG13" i="78"/>
  <c r="AF13" i="78"/>
  <c r="AF14" i="78" s="1"/>
  <c r="AE13" i="78"/>
  <c r="AE14" i="78" s="1"/>
  <c r="AD13" i="78"/>
  <c r="AD14" i="78" s="1"/>
  <c r="AC13" i="78"/>
  <c r="AC14" i="78" s="1"/>
  <c r="AB13" i="78"/>
  <c r="AA13" i="78"/>
  <c r="Z13" i="78"/>
  <c r="Y13" i="78"/>
  <c r="Y21" i="78" s="1"/>
  <c r="X13" i="78"/>
  <c r="W13" i="78"/>
  <c r="W14" i="78" s="1"/>
  <c r="V13" i="78"/>
  <c r="U13" i="78"/>
  <c r="U21" i="78" s="1"/>
  <c r="T13" i="78"/>
  <c r="T21" i="78" s="1"/>
  <c r="S13" i="78"/>
  <c r="AA19" i="77"/>
  <c r="Z19" i="77"/>
  <c r="X16" i="77"/>
  <c r="X19" i="77" s="1"/>
  <c r="X15" i="77"/>
  <c r="AA7" i="77"/>
  <c r="Z7" i="77"/>
  <c r="X7" i="77"/>
  <c r="Q7" i="77"/>
  <c r="G130" i="75"/>
  <c r="F130" i="75"/>
  <c r="W106" i="75"/>
  <c r="W105" i="75" s="1"/>
  <c r="V106" i="75"/>
  <c r="V105" i="75"/>
  <c r="W104" i="75" s="1"/>
  <c r="U105" i="75"/>
  <c r="T105" i="75"/>
  <c r="U104" i="75" s="1"/>
  <c r="U106" i="75" s="1"/>
  <c r="S105" i="75"/>
  <c r="R105" i="75"/>
  <c r="Q105" i="75"/>
  <c r="P105" i="75"/>
  <c r="O105" i="75"/>
  <c r="N105" i="75"/>
  <c r="M105" i="75"/>
  <c r="L105" i="75"/>
  <c r="K105" i="75"/>
  <c r="J105" i="75"/>
  <c r="I105" i="75"/>
  <c r="H105" i="75"/>
  <c r="G105" i="75"/>
  <c r="F105" i="75"/>
  <c r="E105" i="75"/>
  <c r="D105" i="75"/>
  <c r="V104" i="75"/>
  <c r="AG99" i="75"/>
  <c r="AF99" i="75"/>
  <c r="AE99" i="75"/>
  <c r="AD99" i="75"/>
  <c r="F99" i="75"/>
  <c r="E99" i="75"/>
  <c r="V96" i="75"/>
  <c r="U96" i="75"/>
  <c r="T96" i="75"/>
  <c r="S96" i="75"/>
  <c r="R96" i="75"/>
  <c r="Q96" i="75"/>
  <c r="P96" i="75"/>
  <c r="O96" i="75"/>
  <c r="N96" i="75"/>
  <c r="M96" i="75"/>
  <c r="L96" i="75"/>
  <c r="K96" i="75"/>
  <c r="J96" i="75"/>
  <c r="I96" i="75"/>
  <c r="H96" i="75"/>
  <c r="G96" i="75"/>
  <c r="F96" i="75"/>
  <c r="E96" i="75"/>
  <c r="D96" i="75"/>
  <c r="V87" i="75"/>
  <c r="U87" i="75"/>
  <c r="T87" i="75"/>
  <c r="R87" i="75"/>
  <c r="O87" i="75"/>
  <c r="M87" i="75"/>
  <c r="J87" i="75"/>
  <c r="V86" i="75"/>
  <c r="V85" i="75" s="1"/>
  <c r="U86" i="75"/>
  <c r="U85" i="75" s="1"/>
  <c r="T86" i="75"/>
  <c r="S86" i="75"/>
  <c r="S87" i="75" s="1"/>
  <c r="R86" i="75"/>
  <c r="Q86" i="75"/>
  <c r="Q87" i="75" s="1"/>
  <c r="P86" i="75"/>
  <c r="P87" i="75" s="1"/>
  <c r="O86" i="75"/>
  <c r="N86" i="75"/>
  <c r="N85" i="75" s="1"/>
  <c r="N34" i="75" s="1"/>
  <c r="M86" i="75"/>
  <c r="L86" i="75"/>
  <c r="L85" i="75" s="1"/>
  <c r="L34" i="75" s="1"/>
  <c r="K86" i="75"/>
  <c r="J86" i="75"/>
  <c r="J85" i="75" s="1"/>
  <c r="I86" i="75"/>
  <c r="I85" i="75" s="1"/>
  <c r="H86" i="75"/>
  <c r="G86" i="75"/>
  <c r="R85" i="75" s="1"/>
  <c r="F86" i="75"/>
  <c r="E86" i="75"/>
  <c r="T85" i="75" s="1"/>
  <c r="D86" i="75"/>
  <c r="Q85" i="75"/>
  <c r="Q34" i="75" s="1"/>
  <c r="P85" i="75"/>
  <c r="P34" i="75" s="1"/>
  <c r="O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I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M34" i="75"/>
  <c r="H34" i="75"/>
  <c r="G34" i="75"/>
  <c r="F34" i="75"/>
  <c r="E34" i="75"/>
  <c r="D34" i="75"/>
  <c r="D99" i="75" s="1"/>
  <c r="Q33" i="75"/>
  <c r="H28" i="75"/>
  <c r="F28" i="75"/>
  <c r="E28" i="75"/>
  <c r="V25" i="75"/>
  <c r="U25" i="75"/>
  <c r="T25" i="75"/>
  <c r="S25" i="75"/>
  <c r="R25" i="75"/>
  <c r="Q25" i="75"/>
  <c r="P25" i="75"/>
  <c r="O25" i="75"/>
  <c r="N25" i="75"/>
  <c r="M25" i="75"/>
  <c r="L25" i="75"/>
  <c r="K25" i="75"/>
  <c r="J25" i="75"/>
  <c r="I25" i="75"/>
  <c r="H25" i="75"/>
  <c r="G25" i="75"/>
  <c r="F25" i="75"/>
  <c r="E25" i="75"/>
  <c r="D25" i="75"/>
  <c r="R24" i="75"/>
  <c r="Q24" i="75"/>
  <c r="Q28" i="75" s="1"/>
  <c r="P24" i="75"/>
  <c r="M24" i="75"/>
  <c r="H24" i="75"/>
  <c r="G24" i="75"/>
  <c r="G28" i="75" s="1"/>
  <c r="F24" i="75"/>
  <c r="E24" i="75"/>
  <c r="D24" i="75"/>
  <c r="D28" i="75" s="1"/>
  <c r="Q23" i="75"/>
  <c r="AC22" i="75"/>
  <c r="AB22" i="75"/>
  <c r="AA22" i="75"/>
  <c r="Z22" i="75"/>
  <c r="Y22" i="75"/>
  <c r="X22" i="75"/>
  <c r="W22" i="75"/>
  <c r="V22" i="75"/>
  <c r="U22" i="75"/>
  <c r="T22" i="75"/>
  <c r="S22" i="75"/>
  <c r="R22" i="75"/>
  <c r="Q22" i="75"/>
  <c r="P22" i="75"/>
  <c r="O22" i="75"/>
  <c r="N22" i="75"/>
  <c r="M22" i="75"/>
  <c r="L22" i="75"/>
  <c r="K22" i="75"/>
  <c r="J22" i="75"/>
  <c r="T21" i="75"/>
  <c r="S21" i="75"/>
  <c r="R21" i="75"/>
  <c r="Q21" i="75"/>
  <c r="Q38" i="75" s="1"/>
  <c r="P21" i="75"/>
  <c r="O21" i="75"/>
  <c r="N21" i="75"/>
  <c r="M21" i="75"/>
  <c r="L21" i="75"/>
  <c r="L38" i="75" s="1"/>
  <c r="K21" i="75"/>
  <c r="K38" i="75" s="1"/>
  <c r="J21" i="75"/>
  <c r="I21" i="75"/>
  <c r="H21" i="75"/>
  <c r="H38" i="75" s="1"/>
  <c r="G21" i="75"/>
  <c r="F21" i="75"/>
  <c r="F38"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G17" i="75"/>
  <c r="E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F95" i="59"/>
  <c r="G95" i="59" s="1"/>
  <c r="D84" i="59"/>
  <c r="R76" i="59"/>
  <c r="Y70" i="59"/>
  <c r="X70" i="59"/>
  <c r="W70" i="59"/>
  <c r="V70" i="59"/>
  <c r="U70" i="59"/>
  <c r="T70" i="59"/>
  <c r="U69" i="59" s="1"/>
  <c r="U71" i="59" s="1"/>
  <c r="S70" i="59"/>
  <c r="R70" i="59"/>
  <c r="Q70" i="59"/>
  <c r="P70" i="59"/>
  <c r="N76" i="59" s="1"/>
  <c r="O70" i="59"/>
  <c r="N70" i="59"/>
  <c r="M70" i="59"/>
  <c r="L70" i="59"/>
  <c r="K70" i="59"/>
  <c r="J70" i="59"/>
  <c r="I70" i="59"/>
  <c r="H70" i="59"/>
  <c r="G70" i="59"/>
  <c r="F70" i="59"/>
  <c r="E70" i="59"/>
  <c r="D70" i="59"/>
  <c r="Z69" i="59"/>
  <c r="Z71" i="59" s="1"/>
  <c r="Z70" i="59" s="1"/>
  <c r="Y69" i="59"/>
  <c r="Y71" i="59" s="1"/>
  <c r="X69" i="59"/>
  <c r="X71" i="59" s="1"/>
  <c r="W69" i="59"/>
  <c r="W71" i="59" s="1"/>
  <c r="V69" i="59"/>
  <c r="V71" i="59" s="1"/>
  <c r="Y61" i="59"/>
  <c r="X61" i="59"/>
  <c r="W61" i="59"/>
  <c r="V61" i="59"/>
  <c r="U61" i="59"/>
  <c r="T61" i="59"/>
  <c r="S61" i="59"/>
  <c r="R61" i="59"/>
  <c r="Q61" i="59"/>
  <c r="P61" i="59"/>
  <c r="O61" i="59"/>
  <c r="N61" i="59"/>
  <c r="M61" i="59"/>
  <c r="L61" i="59"/>
  <c r="K61" i="59"/>
  <c r="J61" i="59"/>
  <c r="I61" i="59"/>
  <c r="H61" i="59"/>
  <c r="G61" i="59"/>
  <c r="F61" i="59"/>
  <c r="E61" i="59"/>
  <c r="D61" i="59"/>
  <c r="W52" i="59"/>
  <c r="U52" i="59"/>
  <c r="K52" i="59"/>
  <c r="Y51" i="59"/>
  <c r="X51" i="59"/>
  <c r="W51" i="59"/>
  <c r="V51" i="59"/>
  <c r="U51" i="59"/>
  <c r="T51" i="59"/>
  <c r="S51" i="59"/>
  <c r="R51" i="59"/>
  <c r="Q51" i="59"/>
  <c r="Q50" i="59" s="1"/>
  <c r="Q26" i="59" s="1"/>
  <c r="P51" i="59"/>
  <c r="P50" i="59" s="1"/>
  <c r="P26" i="59" s="1"/>
  <c r="O51" i="59"/>
  <c r="N51" i="59"/>
  <c r="M51" i="59"/>
  <c r="L51" i="59"/>
  <c r="K51" i="59"/>
  <c r="J51" i="59"/>
  <c r="I51" i="59"/>
  <c r="H51" i="59"/>
  <c r="I50" i="59" s="1"/>
  <c r="I26" i="59" s="1"/>
  <c r="G51" i="59"/>
  <c r="F51" i="59"/>
  <c r="E51" i="59"/>
  <c r="X50" i="59" s="1"/>
  <c r="X26" i="59" s="1"/>
  <c r="D51"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K30" i="59"/>
  <c r="J30" i="59"/>
  <c r="I30" i="59"/>
  <c r="H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F64" i="59" s="1"/>
  <c r="E26" i="59"/>
  <c r="E64" i="59" s="1"/>
  <c r="D26" i="59"/>
  <c r="AF25" i="59"/>
  <c r="Q25" i="59"/>
  <c r="Q30" i="59" s="1"/>
  <c r="T21" i="59"/>
  <c r="S21" i="59"/>
  <c r="R21" i="59"/>
  <c r="Q21" i="59"/>
  <c r="P21" i="59"/>
  <c r="O21" i="59"/>
  <c r="N21" i="59"/>
  <c r="M21" i="59"/>
  <c r="L21" i="59"/>
  <c r="K21" i="59"/>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L18" i="59"/>
  <c r="K18" i="59"/>
  <c r="J18" i="59"/>
  <c r="I18" i="59"/>
  <c r="H18" i="59"/>
  <c r="H64" i="59" s="1"/>
  <c r="S17" i="59"/>
  <c r="P17" i="59"/>
  <c r="N17" i="59"/>
  <c r="W15" i="59"/>
  <c r="V15" i="59"/>
  <c r="Y12" i="59"/>
  <c r="X12" i="59"/>
  <c r="W12" i="59"/>
  <c r="V12" i="59"/>
  <c r="U12" i="59"/>
  <c r="T12" i="59"/>
  <c r="F98" i="59" s="1"/>
  <c r="F102" i="59" s="1"/>
  <c r="S12" i="59"/>
  <c r="R12" i="59"/>
  <c r="Q12" i="59"/>
  <c r="P12" i="59"/>
  <c r="E98" i="59" s="1"/>
  <c r="E102"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K24" i="33"/>
  <c r="K26" i="33" s="1"/>
  <c r="AJ13" i="33" s="1"/>
  <c r="J24" i="33"/>
  <c r="J26" i="33" s="1"/>
  <c r="I24" i="33"/>
  <c r="H24" i="33"/>
  <c r="H26" i="33" s="1"/>
  <c r="G24" i="33"/>
  <c r="F24" i="33"/>
  <c r="G26" i="33" s="1"/>
  <c r="W13" i="33" s="1"/>
  <c r="E24" i="33"/>
  <c r="J23" i="33"/>
  <c r="F22" i="33"/>
  <c r="R15" i="33"/>
  <c r="Q15" i="33"/>
  <c r="O15" i="33"/>
  <c r="F15" i="33"/>
  <c r="AH13" i="33"/>
  <c r="AG13" i="33"/>
  <c r="V13" i="33"/>
  <c r="U13" i="33"/>
  <c r="T13" i="33"/>
  <c r="O13" i="33"/>
  <c r="N13" i="33"/>
  <c r="Y11" i="33"/>
  <c r="Z11" i="33" s="1"/>
  <c r="X11" i="33"/>
  <c r="W11" i="33"/>
  <c r="V11" i="33"/>
  <c r="U11" i="33"/>
  <c r="T11" i="33"/>
  <c r="S11" i="33"/>
  <c r="R11" i="33"/>
  <c r="Q11" i="33"/>
  <c r="P11" i="33"/>
  <c r="O11" i="33"/>
  <c r="N11" i="33"/>
  <c r="M11" i="33"/>
  <c r="L11" i="33"/>
  <c r="K11" i="33"/>
  <c r="J11" i="33"/>
  <c r="Y10" i="33"/>
  <c r="X10" i="33"/>
  <c r="W10" i="33"/>
  <c r="V10" i="33"/>
  <c r="U10" i="33"/>
  <c r="T10" i="33"/>
  <c r="S10" i="33"/>
  <c r="R10" i="33"/>
  <c r="Q10" i="33"/>
  <c r="P10" i="33"/>
  <c r="O10" i="33"/>
  <c r="O17" i="75" s="1"/>
  <c r="N10" i="33"/>
  <c r="M10" i="33"/>
  <c r="L10" i="33"/>
  <c r="K10" i="33"/>
  <c r="J10" i="33"/>
  <c r="I10" i="33"/>
  <c r="I15" i="33" s="1"/>
  <c r="H10" i="33"/>
  <c r="H15" i="33" s="1"/>
  <c r="G10" i="33"/>
  <c r="F10" i="33"/>
  <c r="E10" i="33"/>
  <c r="E17" i="59"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Q29" i="49"/>
  <c r="W27" i="49"/>
  <c r="U27" i="49"/>
  <c r="K27" i="49"/>
  <c r="I27" i="49"/>
  <c r="Q12" i="49"/>
  <c r="P12" i="49"/>
  <c r="E12" i="49"/>
  <c r="E29" i="49" s="1"/>
  <c r="D12" i="49"/>
  <c r="D29" i="49" s="1"/>
  <c r="Y11" i="49"/>
  <c r="X11" i="49"/>
  <c r="W11" i="49"/>
  <c r="W12" i="49" s="1"/>
  <c r="V11" i="49"/>
  <c r="V12" i="49" s="1"/>
  <c r="U11" i="49"/>
  <c r="U12" i="49" s="1"/>
  <c r="T11" i="49"/>
  <c r="T12" i="49" s="1"/>
  <c r="S11" i="49"/>
  <c r="S12" i="49" s="1"/>
  <c r="R11" i="49"/>
  <c r="Q11" i="49"/>
  <c r="P11" i="49"/>
  <c r="O11" i="49"/>
  <c r="O12" i="49" s="1"/>
  <c r="O29" i="49" s="1"/>
  <c r="N11" i="49"/>
  <c r="N12" i="49" s="1"/>
  <c r="M11" i="49"/>
  <c r="L11" i="49"/>
  <c r="K11" i="49"/>
  <c r="K12" i="49" s="1"/>
  <c r="J11" i="49"/>
  <c r="J12" i="49" s="1"/>
  <c r="I11" i="49"/>
  <c r="I12" i="49" s="1"/>
  <c r="H11" i="49"/>
  <c r="H12" i="49" s="1"/>
  <c r="G11" i="49"/>
  <c r="G12" i="49" s="1"/>
  <c r="F11" i="49"/>
  <c r="E11" i="49"/>
  <c r="D11" i="49"/>
  <c r="Y10" i="49"/>
  <c r="Y27" i="49" s="1"/>
  <c r="X10" i="49"/>
  <c r="X27" i="49" s="1"/>
  <c r="W10" i="49"/>
  <c r="V10" i="49"/>
  <c r="V27" i="49" s="1"/>
  <c r="U10" i="49"/>
  <c r="T10" i="49"/>
  <c r="T27" i="49" s="1"/>
  <c r="S10" i="49"/>
  <c r="S27" i="49" s="1"/>
  <c r="R10" i="49"/>
  <c r="R27" i="49" s="1"/>
  <c r="Q10" i="49"/>
  <c r="Q27" i="49" s="1"/>
  <c r="P10" i="49"/>
  <c r="P27" i="49" s="1"/>
  <c r="O10" i="49"/>
  <c r="O27" i="49" s="1"/>
  <c r="N10" i="49"/>
  <c r="M10" i="49"/>
  <c r="L10" i="49"/>
  <c r="K10" i="49"/>
  <c r="J10" i="49"/>
  <c r="I10" i="49"/>
  <c r="I29" i="49" s="1"/>
  <c r="H10" i="49"/>
  <c r="H27" i="49" s="1"/>
  <c r="G10" i="49"/>
  <c r="G27" i="49" s="1"/>
  <c r="F10" i="49"/>
  <c r="F27" i="49" s="1"/>
  <c r="E10" i="49"/>
  <c r="E27" i="49" s="1"/>
  <c r="D10" i="49"/>
  <c r="D27" i="49" s="1"/>
  <c r="AD81" i="30"/>
  <c r="AD79" i="30"/>
  <c r="AD72" i="30"/>
  <c r="AD71" i="30"/>
  <c r="AD70" i="30"/>
  <c r="AD69" i="30"/>
  <c r="AD68" i="30"/>
  <c r="AD67" i="30"/>
  <c r="AD66" i="30"/>
  <c r="AD65" i="30"/>
  <c r="AD60" i="30"/>
  <c r="AD56" i="30"/>
  <c r="AD54" i="30"/>
  <c r="AD48" i="30"/>
  <c r="S46" i="30"/>
  <c r="J46" i="30"/>
  <c r="G46" i="30"/>
  <c r="F46" i="30"/>
  <c r="AF45" i="30"/>
  <c r="AE45" i="30"/>
  <c r="AD45" i="30"/>
  <c r="AC45" i="30"/>
  <c r="AB45" i="30"/>
  <c r="U45" i="30"/>
  <c r="AD82" i="30" s="1"/>
  <c r="S45" i="30"/>
  <c r="N45" i="30"/>
  <c r="M45" i="30"/>
  <c r="AC43" i="30"/>
  <c r="AB43" i="30"/>
  <c r="AC41" i="30"/>
  <c r="AB41" i="30"/>
  <c r="M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M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Y23" i="30"/>
  <c r="Z23" i="30" s="1"/>
  <c r="AA23" i="30" s="1"/>
  <c r="AB23" i="30" s="1"/>
  <c r="AC23" i="30" s="1"/>
  <c r="AD23" i="30" s="1"/>
  <c r="AE23" i="30" s="1"/>
  <c r="AF23" i="30" s="1"/>
  <c r="AG23" i="30" s="1"/>
  <c r="X23" i="30"/>
  <c r="W23" i="30"/>
  <c r="V23" i="30"/>
  <c r="U23" i="30"/>
  <c r="T23" i="30"/>
  <c r="S23" i="30"/>
  <c r="R23" i="30"/>
  <c r="Q23" i="30"/>
  <c r="P23" i="30"/>
  <c r="O23" i="30"/>
  <c r="N23" i="30"/>
  <c r="Y22" i="30"/>
  <c r="X22" i="30"/>
  <c r="W22" i="30"/>
  <c r="V22" i="30"/>
  <c r="U22" i="30"/>
  <c r="AD59" i="30" s="1"/>
  <c r="T22" i="30"/>
  <c r="S22" i="30"/>
  <c r="R22" i="30"/>
  <c r="Q22" i="30"/>
  <c r="P22" i="30"/>
  <c r="O22" i="30"/>
  <c r="N22" i="30"/>
  <c r="Y21" i="30"/>
  <c r="Z21" i="30" s="1"/>
  <c r="AA21" i="30" s="1"/>
  <c r="AB21" i="30" s="1"/>
  <c r="AC21" i="30" s="1"/>
  <c r="AD21" i="30" s="1"/>
  <c r="AE21" i="30" s="1"/>
  <c r="AF21" i="30" s="1"/>
  <c r="AG21" i="30" s="1"/>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L19" i="30"/>
  <c r="L13" i="30" s="1"/>
  <c r="K19" i="30"/>
  <c r="K15" i="30" s="1"/>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N30" i="30" s="1"/>
  <c r="N29" i="30" s="1"/>
  <c r="L18" i="30"/>
  <c r="K18" i="30"/>
  <c r="J18" i="30"/>
  <c r="I18" i="30"/>
  <c r="H18" i="30"/>
  <c r="Y17" i="30"/>
  <c r="Z17" i="30" s="1"/>
  <c r="X17" i="30"/>
  <c r="W17" i="30"/>
  <c r="V17" i="30"/>
  <c r="U17" i="30"/>
  <c r="T17" i="30"/>
  <c r="S17" i="30"/>
  <c r="R17" i="30"/>
  <c r="Q17" i="30"/>
  <c r="P17" i="30"/>
  <c r="O17" i="30"/>
  <c r="N17" i="30"/>
  <c r="M17" i="30"/>
  <c r="L17" i="30"/>
  <c r="K17" i="30"/>
  <c r="J17" i="30"/>
  <c r="I17" i="30"/>
  <c r="H17" i="30"/>
  <c r="Y16" i="30"/>
  <c r="X16" i="30"/>
  <c r="W16" i="30"/>
  <c r="V16" i="30"/>
  <c r="U16" i="30"/>
  <c r="T16" i="30"/>
  <c r="S16" i="30"/>
  <c r="R16" i="30"/>
  <c r="Q16" i="30"/>
  <c r="P16" i="30"/>
  <c r="O16" i="30"/>
  <c r="N16" i="30"/>
  <c r="M16" i="30"/>
  <c r="L16" i="30"/>
  <c r="K16" i="30"/>
  <c r="J16" i="30"/>
  <c r="I16" i="30"/>
  <c r="H16" i="30"/>
  <c r="H15" i="30"/>
  <c r="Y14" i="30"/>
  <c r="X14" i="30"/>
  <c r="W14" i="30"/>
  <c r="V14" i="30"/>
  <c r="U14" i="30"/>
  <c r="T14" i="30"/>
  <c r="S14" i="30"/>
  <c r="R14" i="30"/>
  <c r="Q14" i="30"/>
  <c r="P14" i="30"/>
  <c r="O14" i="30"/>
  <c r="N14" i="30"/>
  <c r="M14" i="30"/>
  <c r="L14" i="30"/>
  <c r="K14" i="30"/>
  <c r="J14" i="30"/>
  <c r="I14" i="30"/>
  <c r="H14" i="30"/>
  <c r="K13" i="30"/>
  <c r="H13" i="30"/>
  <c r="G12" i="30"/>
  <c r="F12" i="30"/>
  <c r="Y11" i="30"/>
  <c r="X11" i="30"/>
  <c r="W11" i="30"/>
  <c r="V11" i="30"/>
  <c r="U11" i="30"/>
  <c r="U46" i="30" s="1"/>
  <c r="AD83" i="30" s="1"/>
  <c r="T11" i="30"/>
  <c r="S11" i="30"/>
  <c r="R11" i="30"/>
  <c r="Q11" i="30"/>
  <c r="P11" i="30"/>
  <c r="O11" i="30"/>
  <c r="N11" i="30"/>
  <c r="M11" i="30"/>
  <c r="L11" i="30"/>
  <c r="L46" i="30" s="1"/>
  <c r="K11" i="30"/>
  <c r="J11" i="30"/>
  <c r="I11" i="30"/>
  <c r="I46" i="30" s="1"/>
  <c r="H11" i="30"/>
  <c r="H46" i="30" s="1"/>
  <c r="H48" i="20"/>
  <c r="AH41" i="20"/>
  <c r="AH39" i="20"/>
  <c r="AE39" i="20"/>
  <c r="AK38"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Q35" i="20"/>
  <c r="AP35" i="20"/>
  <c r="AO35" i="20"/>
  <c r="AN35" i="20"/>
  <c r="AN37" i="20" s="1"/>
  <c r="AM35" i="20"/>
  <c r="AL35" i="20"/>
  <c r="AL37" i="20" s="1"/>
  <c r="AK35" i="20"/>
  <c r="AJ35" i="20"/>
  <c r="AI35" i="20"/>
  <c r="AH35" i="20"/>
  <c r="AH38" i="20" s="1"/>
  <c r="AG35" i="20"/>
  <c r="AF35" i="20"/>
  <c r="M85" i="80" s="1"/>
  <c r="AE35" i="20"/>
  <c r="AD35" i="20"/>
  <c r="AC35" i="20"/>
  <c r="AB35" i="20"/>
  <c r="AA35" i="20"/>
  <c r="Z35" i="20"/>
  <c r="Y35" i="20"/>
  <c r="X35" i="20"/>
  <c r="W35" i="20"/>
  <c r="V35" i="20"/>
  <c r="Y27" i="20"/>
  <c r="X27" i="20"/>
  <c r="O27" i="20"/>
  <c r="N27" i="20"/>
  <c r="M27" i="20"/>
  <c r="L27" i="20"/>
  <c r="AG26" i="20"/>
  <c r="AF26" i="20"/>
  <c r="AE26" i="20"/>
  <c r="AD26" i="20"/>
  <c r="AC26" i="20"/>
  <c r="AB26" i="20"/>
  <c r="AA26" i="20"/>
  <c r="Z26" i="20"/>
  <c r="W26" i="20"/>
  <c r="T26" i="20"/>
  <c r="N26" i="20"/>
  <c r="Y23" i="20"/>
  <c r="X23" i="20"/>
  <c r="Y26" i="20" s="1"/>
  <c r="W23" i="20"/>
  <c r="W27" i="20" s="1"/>
  <c r="V23" i="20"/>
  <c r="V27" i="20" s="1"/>
  <c r="U23" i="20"/>
  <c r="T23" i="20"/>
  <c r="T27" i="20" s="1"/>
  <c r="S23" i="20"/>
  <c r="S27" i="20" s="1"/>
  <c r="R23" i="20"/>
  <c r="R26" i="20" s="1"/>
  <c r="Q23" i="20"/>
  <c r="Q27" i="20" s="1"/>
  <c r="P23" i="20"/>
  <c r="P27" i="20" s="1"/>
  <c r="O23" i="20"/>
  <c r="N23" i="20"/>
  <c r="M23" i="20"/>
  <c r="M26" i="20" s="1"/>
  <c r="L23" i="20"/>
  <c r="K23" i="20"/>
  <c r="K27" i="20" s="1"/>
  <c r="J23" i="20"/>
  <c r="J27" i="20" s="1"/>
  <c r="I23" i="20"/>
  <c r="H23" i="20"/>
  <c r="AA11" i="20"/>
  <c r="AB11" i="20" s="1"/>
  <c r="F4" i="35" s="1"/>
  <c r="G6" i="55" s="1"/>
  <c r="Y11" i="20"/>
  <c r="X11" i="20"/>
  <c r="W11" i="20"/>
  <c r="V11" i="20"/>
  <c r="U11" i="20"/>
  <c r="T11" i="20"/>
  <c r="S11" i="20"/>
  <c r="R11" i="20"/>
  <c r="Q11" i="20"/>
  <c r="P11" i="20"/>
  <c r="O11" i="20"/>
  <c r="N11" i="20"/>
  <c r="M11" i="20"/>
  <c r="L11" i="20"/>
  <c r="K11" i="20"/>
  <c r="J11" i="20"/>
  <c r="I11" i="20"/>
  <c r="H11" i="20"/>
  <c r="AD97" i="26"/>
  <c r="AC97" i="26"/>
  <c r="AB97" i="26"/>
  <c r="AA97" i="26"/>
  <c r="Z97" i="26"/>
  <c r="Z96" i="26" s="1"/>
  <c r="Z48" i="20" s="1"/>
  <c r="Y97" i="26"/>
  <c r="X97" i="26"/>
  <c r="W97" i="26"/>
  <c r="V97" i="26"/>
  <c r="U97" i="26"/>
  <c r="U96" i="26" s="1"/>
  <c r="U48" i="20" s="1"/>
  <c r="T97" i="26"/>
  <c r="T96" i="26" s="1"/>
  <c r="T48" i="20" s="1"/>
  <c r="S97" i="26"/>
  <c r="AF96" i="26"/>
  <c r="AF48" i="20" s="1"/>
  <c r="Y96" i="26"/>
  <c r="Y48" i="20" s="1"/>
  <c r="Q96" i="26"/>
  <c r="Q48" i="20" s="1"/>
  <c r="P96" i="26"/>
  <c r="O96" i="26"/>
  <c r="O48" i="20" s="1"/>
  <c r="N96" i="26"/>
  <c r="N48" i="20" s="1"/>
  <c r="M96" i="26"/>
  <c r="M48" i="20" s="1"/>
  <c r="L96" i="26"/>
  <c r="L48" i="20" s="1"/>
  <c r="K96" i="26"/>
  <c r="AD96" i="26" s="1"/>
  <c r="AD48" i="20" s="1"/>
  <c r="J96" i="26"/>
  <c r="J48" i="20" s="1"/>
  <c r="I96" i="26"/>
  <c r="I48" i="20" s="1"/>
  <c r="H96" i="26"/>
  <c r="S96" i="26" s="1"/>
  <c r="S48" i="20" s="1"/>
  <c r="P83" i="26"/>
  <c r="N83" i="26"/>
  <c r="AG81" i="26"/>
  <c r="AF81" i="26"/>
  <c r="AE81" i="26"/>
  <c r="AD81" i="26"/>
  <c r="AC81" i="26"/>
  <c r="AB81" i="26"/>
  <c r="AA81" i="26"/>
  <c r="Z81" i="26"/>
  <c r="Y81" i="26"/>
  <c r="X81" i="26"/>
  <c r="W81" i="26"/>
  <c r="V81" i="26"/>
  <c r="U81" i="26"/>
  <c r="T81" i="26"/>
  <c r="S81" i="26"/>
  <c r="AG79" i="26"/>
  <c r="AF79" i="26"/>
  <c r="AE79" i="26"/>
  <c r="AA79" i="26"/>
  <c r="AG78" i="26"/>
  <c r="AF78" i="26"/>
  <c r="AE78" i="26"/>
  <c r="AD78" i="26"/>
  <c r="AC78" i="26"/>
  <c r="AB78" i="26"/>
  <c r="AA78" i="26"/>
  <c r="Z78" i="26"/>
  <c r="Y78" i="26"/>
  <c r="AG77" i="26"/>
  <c r="AF77" i="26"/>
  <c r="AE77" i="26"/>
  <c r="AA77" i="26"/>
  <c r="Y77" i="26"/>
  <c r="U77" i="26"/>
  <c r="O77" i="26"/>
  <c r="M77" i="26"/>
  <c r="C69" i="26"/>
  <c r="C68" i="26"/>
  <c r="C67" i="26"/>
  <c r="C66" i="26"/>
  <c r="C65" i="26"/>
  <c r="C63" i="26"/>
  <c r="C62" i="26"/>
  <c r="C61" i="26"/>
  <c r="S32" i="26" s="1"/>
  <c r="C60" i="26"/>
  <c r="C47" i="26" s="1"/>
  <c r="C59" i="26"/>
  <c r="C49" i="26" s="1"/>
  <c r="C54" i="26"/>
  <c r="C50" i="26"/>
  <c r="E50" i="26" s="1"/>
  <c r="C48" i="26"/>
  <c r="C46" i="26"/>
  <c r="AD39" i="26"/>
  <c r="AC39" i="26"/>
  <c r="AB39" i="26"/>
  <c r="AA39" i="26"/>
  <c r="Z39" i="26"/>
  <c r="Y39" i="26"/>
  <c r="X39" i="26"/>
  <c r="W39" i="26"/>
  <c r="V39" i="26"/>
  <c r="U39" i="26"/>
  <c r="T39" i="26"/>
  <c r="S39" i="26"/>
  <c r="R39" i="26"/>
  <c r="Q39" i="26"/>
  <c r="P39" i="26"/>
  <c r="N39" i="26"/>
  <c r="Y38" i="26"/>
  <c r="Y35" i="26" s="1"/>
  <c r="W38" i="26"/>
  <c r="U38" i="26"/>
  <c r="O38" i="26"/>
  <c r="AD37" i="26"/>
  <c r="AC37" i="26"/>
  <c r="AB37" i="26"/>
  <c r="AA37" i="26"/>
  <c r="Z37" i="26"/>
  <c r="Y37" i="26"/>
  <c r="X37" i="26"/>
  <c r="W37" i="26"/>
  <c r="V37" i="26"/>
  <c r="U37" i="26"/>
  <c r="T37" i="26"/>
  <c r="S37" i="26"/>
  <c r="R37" i="26"/>
  <c r="Q37" i="26"/>
  <c r="P37" i="26"/>
  <c r="N37" i="26"/>
  <c r="N36" i="26"/>
  <c r="T34" i="26"/>
  <c r="T16" i="26" s="1"/>
  <c r="T79" i="26" s="1"/>
  <c r="X33" i="26"/>
  <c r="W33" i="26"/>
  <c r="V33" i="26"/>
  <c r="U33" i="26"/>
  <c r="T33" i="26"/>
  <c r="S33" i="26"/>
  <c r="R33" i="26"/>
  <c r="Q33" i="26"/>
  <c r="P33" i="26"/>
  <c r="O33" i="26"/>
  <c r="N33" i="26"/>
  <c r="M33" i="26"/>
  <c r="W32" i="26"/>
  <c r="V32" i="26"/>
  <c r="U32" i="26"/>
  <c r="T32" i="26"/>
  <c r="R32" i="26"/>
  <c r="Q32" i="26"/>
  <c r="P32" i="26"/>
  <c r="N32" i="26"/>
  <c r="N31" i="26"/>
  <c r="M31" i="26"/>
  <c r="AH31" i="26" s="1"/>
  <c r="AD29" i="26"/>
  <c r="AC29" i="26"/>
  <c r="AB29" i="26"/>
  <c r="AA29" i="26"/>
  <c r="Z29" i="26"/>
  <c r="Y29" i="26"/>
  <c r="AH28" i="26"/>
  <c r="AH27" i="26"/>
  <c r="P25" i="26"/>
  <c r="O25" i="26"/>
  <c r="N25" i="26"/>
  <c r="M25" i="26"/>
  <c r="L25" i="26"/>
  <c r="K25" i="26"/>
  <c r="F20" i="26"/>
  <c r="AD19" i="26"/>
  <c r="AC19" i="26"/>
  <c r="AB19" i="26"/>
  <c r="AA19" i="26"/>
  <c r="Z19" i="26"/>
  <c r="Y19" i="26"/>
  <c r="X19" i="26"/>
  <c r="W19" i="26"/>
  <c r="V19" i="26"/>
  <c r="U19" i="26"/>
  <c r="T19" i="26"/>
  <c r="S19" i="26"/>
  <c r="R19" i="26"/>
  <c r="Q19" i="26"/>
  <c r="P19" i="26"/>
  <c r="O19" i="26"/>
  <c r="N19" i="26"/>
  <c r="M19" i="26"/>
  <c r="L19" i="26"/>
  <c r="K19" i="26"/>
  <c r="AH19" i="26" s="1"/>
  <c r="S18" i="26"/>
  <c r="Q18" i="26"/>
  <c r="P18" i="26"/>
  <c r="AD17" i="26"/>
  <c r="AC17" i="26"/>
  <c r="AB17" i="26"/>
  <c r="AA17" i="26"/>
  <c r="Z17" i="26"/>
  <c r="Y17" i="26"/>
  <c r="X17" i="26"/>
  <c r="W17" i="26"/>
  <c r="V17" i="26"/>
  <c r="U17" i="26"/>
  <c r="T17" i="26"/>
  <c r="S17" i="26"/>
  <c r="R17" i="26"/>
  <c r="Q17" i="26"/>
  <c r="P17" i="26"/>
  <c r="N17" i="26"/>
  <c r="AD16" i="26"/>
  <c r="AC16" i="26"/>
  <c r="AC79" i="26" s="1"/>
  <c r="AB16" i="26"/>
  <c r="AA16" i="26"/>
  <c r="Z16" i="26"/>
  <c r="Z79" i="26" s="1"/>
  <c r="Y16" i="26"/>
  <c r="Y79" i="26" s="1"/>
  <c r="AD15" i="26"/>
  <c r="AC15" i="26"/>
  <c r="AB15" i="26"/>
  <c r="AA15" i="26"/>
  <c r="Z15" i="26"/>
  <c r="Y15" i="26"/>
  <c r="AD14" i="26"/>
  <c r="AD77" i="26" s="1"/>
  <c r="AC14" i="26"/>
  <c r="AC77" i="26" s="1"/>
  <c r="AB14" i="26"/>
  <c r="AB77" i="26" s="1"/>
  <c r="AA14" i="26"/>
  <c r="Z14" i="26"/>
  <c r="Z77" i="26" s="1"/>
  <c r="Y14" i="26"/>
  <c r="X14" i="26"/>
  <c r="X77" i="26" s="1"/>
  <c r="W14" i="26"/>
  <c r="W77" i="26" s="1"/>
  <c r="V14" i="26"/>
  <c r="V77" i="26" s="1"/>
  <c r="U14" i="26"/>
  <c r="T14" i="26"/>
  <c r="T77" i="26" s="1"/>
  <c r="S14" i="26"/>
  <c r="S77" i="26" s="1"/>
  <c r="R14" i="26"/>
  <c r="R77" i="26" s="1"/>
  <c r="Q14" i="26"/>
  <c r="Q77" i="26" s="1"/>
  <c r="P14" i="26"/>
  <c r="P77" i="26" s="1"/>
  <c r="O14" i="26"/>
  <c r="N14" i="26"/>
  <c r="N77" i="26" s="1"/>
  <c r="M14" i="26"/>
  <c r="L14" i="26"/>
  <c r="L77" i="26" s="1"/>
  <c r="K14" i="26"/>
  <c r="K77" i="26" s="1"/>
  <c r="J14" i="26"/>
  <c r="AD13" i="26"/>
  <c r="AB13" i="26"/>
  <c r="AA13" i="26"/>
  <c r="Z13" i="26"/>
  <c r="Y13" i="26"/>
  <c r="Y83" i="26" s="1"/>
  <c r="V13" i="26"/>
  <c r="V83" i="26" s="1"/>
  <c r="T13" i="26"/>
  <c r="T83" i="26" s="1"/>
  <c r="S13" i="26"/>
  <c r="S83" i="26" s="1"/>
  <c r="R13" i="26"/>
  <c r="R83" i="26" s="1"/>
  <c r="Q13" i="26"/>
  <c r="Q83" i="26" s="1"/>
  <c r="P13" i="26"/>
  <c r="O13" i="26"/>
  <c r="O83" i="26" s="1"/>
  <c r="N13" i="26"/>
  <c r="M13" i="26"/>
  <c r="M83" i="26" s="1"/>
  <c r="L13" i="26"/>
  <c r="L83" i="26" s="1"/>
  <c r="K13" i="26"/>
  <c r="K83" i="26" s="1"/>
  <c r="J13" i="26"/>
  <c r="AH12" i="26"/>
  <c r="J12" i="26"/>
  <c r="D46" i="26" s="1"/>
  <c r="V11" i="26"/>
  <c r="T11" i="26"/>
  <c r="R11" i="26"/>
  <c r="J11" i="26"/>
  <c r="H11" i="26"/>
  <c r="H20" i="26" s="1"/>
  <c r="H80" i="26" s="1"/>
  <c r="H75" i="26" s="1"/>
  <c r="H49" i="20" s="1"/>
  <c r="F11" i="26"/>
  <c r="AD10" i="26"/>
  <c r="Y10" i="26"/>
  <c r="X10" i="26"/>
  <c r="W10" i="26"/>
  <c r="W11" i="26" s="1"/>
  <c r="V10" i="26"/>
  <c r="U10" i="26"/>
  <c r="U11" i="26" s="1"/>
  <c r="T10" i="26"/>
  <c r="S10" i="26"/>
  <c r="R10" i="26"/>
  <c r="Q10" i="26"/>
  <c r="P10" i="26"/>
  <c r="O10" i="26"/>
  <c r="N10" i="26"/>
  <c r="M10" i="26"/>
  <c r="L10" i="26"/>
  <c r="K10" i="26"/>
  <c r="K11" i="26" s="1"/>
  <c r="J10" i="26"/>
  <c r="I10" i="26"/>
  <c r="I11" i="26" s="1"/>
  <c r="I20" i="26" s="1"/>
  <c r="I80" i="26" s="1"/>
  <c r="I75" i="26" s="1"/>
  <c r="I49" i="20" s="1"/>
  <c r="H10" i="26"/>
  <c r="G10" i="26"/>
  <c r="F10" i="26"/>
  <c r="E10" i="26"/>
  <c r="D10" i="26"/>
  <c r="Y9" i="26"/>
  <c r="Y11" i="26" s="1"/>
  <c r="Y20" i="26" s="1"/>
  <c r="X9" i="26"/>
  <c r="X11" i="26" s="1"/>
  <c r="W9" i="26"/>
  <c r="V9" i="26"/>
  <c r="U9" i="26"/>
  <c r="T9" i="26"/>
  <c r="S9" i="26"/>
  <c r="S11" i="26" s="1"/>
  <c r="R9" i="26"/>
  <c r="Q9" i="26"/>
  <c r="Q11" i="26" s="1"/>
  <c r="P9" i="26"/>
  <c r="P11" i="26" s="1"/>
  <c r="O9" i="26"/>
  <c r="O11" i="26" s="1"/>
  <c r="N9" i="26"/>
  <c r="N11" i="26" s="1"/>
  <c r="M9" i="26"/>
  <c r="M11" i="26" s="1"/>
  <c r="L9" i="26"/>
  <c r="L11" i="26" s="1"/>
  <c r="L20" i="26" s="1"/>
  <c r="L80" i="26" s="1"/>
  <c r="K9" i="26"/>
  <c r="J9" i="26"/>
  <c r="I9" i="26"/>
  <c r="H9" i="26"/>
  <c r="G9" i="26"/>
  <c r="G11" i="26" s="1"/>
  <c r="G20" i="26" s="1"/>
  <c r="F9" i="26"/>
  <c r="E9" i="26"/>
  <c r="E11" i="26" s="1"/>
  <c r="E20" i="26" s="1"/>
  <c r="D9" i="26"/>
  <c r="D11" i="26" s="1"/>
  <c r="D20" i="26" s="1"/>
  <c r="I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I13" i="74" s="1"/>
  <c r="H16" i="74"/>
  <c r="G16" i="74"/>
  <c r="F16" i="74"/>
  <c r="E16" i="74"/>
  <c r="D16" i="74"/>
  <c r="U15" i="74"/>
  <c r="T15" i="74"/>
  <c r="S15" i="74"/>
  <c r="R15" i="74"/>
  <c r="R13" i="74" s="1"/>
  <c r="Q15" i="74"/>
  <c r="P15" i="74"/>
  <c r="O15" i="74"/>
  <c r="N15" i="74"/>
  <c r="M15" i="74"/>
  <c r="L15" i="74"/>
  <c r="K15" i="74"/>
  <c r="K13" i="74" s="1"/>
  <c r="J15" i="74"/>
  <c r="I15" i="74"/>
  <c r="H15" i="74"/>
  <c r="G15" i="74"/>
  <c r="F15" i="74"/>
  <c r="E15" i="74"/>
  <c r="D15" i="74"/>
  <c r="U14" i="74"/>
  <c r="T14" i="74"/>
  <c r="T13" i="74" s="1"/>
  <c r="S14" i="74"/>
  <c r="S13" i="74" s="1"/>
  <c r="R14" i="74"/>
  <c r="Q14" i="74"/>
  <c r="P14" i="74"/>
  <c r="O14" i="74"/>
  <c r="N14" i="74"/>
  <c r="M14" i="74"/>
  <c r="L14" i="74"/>
  <c r="K14" i="74"/>
  <c r="J14" i="74"/>
  <c r="I14" i="74"/>
  <c r="H14" i="74"/>
  <c r="G14" i="74"/>
  <c r="F14" i="74"/>
  <c r="E14" i="74"/>
  <c r="D14" i="74"/>
  <c r="U13" i="74"/>
  <c r="U20" i="74" s="1"/>
  <c r="P13" i="74"/>
  <c r="N13" i="74"/>
  <c r="L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O11" i="74"/>
  <c r="N11" i="74"/>
  <c r="M11" i="74"/>
  <c r="L11" i="74"/>
  <c r="K11" i="74"/>
  <c r="K20" i="74" s="1"/>
  <c r="K19" i="74" s="1"/>
  <c r="J11" i="74"/>
  <c r="J20" i="74" s="1"/>
  <c r="I11" i="74"/>
  <c r="I19" i="74" s="1"/>
  <c r="H11" i="74"/>
  <c r="G11" i="74"/>
  <c r="G20" i="74" s="1"/>
  <c r="F11" i="74"/>
  <c r="E11" i="74"/>
  <c r="E20" i="74" s="1"/>
  <c r="E19" i="74" s="1"/>
  <c r="D11" i="74"/>
  <c r="D20" i="74" s="1"/>
  <c r="AG23" i="25"/>
  <c r="AF23" i="25"/>
  <c r="AE23" i="25"/>
  <c r="AD23" i="25"/>
  <c r="AC23" i="25"/>
  <c r="AB23" i="25"/>
  <c r="AA23" i="25"/>
  <c r="Z23" i="25"/>
  <c r="Y23" i="25"/>
  <c r="X23" i="25"/>
  <c r="M20" i="25"/>
  <c r="Y18" i="25"/>
  <c r="X18" i="25"/>
  <c r="W18" i="25"/>
  <c r="V18" i="25"/>
  <c r="U18" i="25"/>
  <c r="T18" i="25"/>
  <c r="S18" i="25"/>
  <c r="R18" i="25"/>
  <c r="Q18" i="25"/>
  <c r="P18" i="25"/>
  <c r="O18" i="25"/>
  <c r="N18" i="25"/>
  <c r="M18" i="25"/>
  <c r="L18" i="25"/>
  <c r="K18" i="25"/>
  <c r="J18" i="25"/>
  <c r="I18" i="25"/>
  <c r="H18" i="25"/>
  <c r="G18" i="25"/>
  <c r="F18" i="25"/>
  <c r="E18" i="25"/>
  <c r="D18" i="25"/>
  <c r="Y17" i="25"/>
  <c r="X17" i="25"/>
  <c r="W17" i="25"/>
  <c r="V17" i="25"/>
  <c r="U17" i="25"/>
  <c r="T17" i="25"/>
  <c r="S17" i="25"/>
  <c r="R17" i="25"/>
  <c r="Q17" i="25"/>
  <c r="P17" i="25"/>
  <c r="O17" i="25"/>
  <c r="N17" i="25"/>
  <c r="M17" i="25"/>
  <c r="L17" i="25"/>
  <c r="K17" i="25"/>
  <c r="J17" i="25"/>
  <c r="I17" i="25"/>
  <c r="H17" i="25"/>
  <c r="G17" i="25"/>
  <c r="F17" i="25"/>
  <c r="E17" i="25"/>
  <c r="D17" i="25"/>
  <c r="Y16" i="25"/>
  <c r="X16" i="25"/>
  <c r="W16" i="25"/>
  <c r="V16" i="25"/>
  <c r="U16" i="25"/>
  <c r="T16" i="25"/>
  <c r="S16" i="25"/>
  <c r="R16" i="25"/>
  <c r="Q16" i="25"/>
  <c r="P16" i="25"/>
  <c r="O16" i="25"/>
  <c r="N16" i="25"/>
  <c r="M16" i="25"/>
  <c r="L16" i="25"/>
  <c r="K16" i="25"/>
  <c r="J16" i="25"/>
  <c r="I16" i="25"/>
  <c r="H16" i="25"/>
  <c r="G16" i="25"/>
  <c r="F16" i="25"/>
  <c r="E16" i="25"/>
  <c r="D16" i="25"/>
  <c r="Y15" i="25"/>
  <c r="X15" i="25"/>
  <c r="W15" i="25"/>
  <c r="V15" i="25"/>
  <c r="U15" i="25"/>
  <c r="U13" i="25" s="1"/>
  <c r="T15" i="25"/>
  <c r="S15" i="25"/>
  <c r="R15" i="25"/>
  <c r="Q15" i="25"/>
  <c r="P15" i="25"/>
  <c r="O15" i="25"/>
  <c r="O13" i="25" s="1"/>
  <c r="N15" i="25"/>
  <c r="M15" i="25"/>
  <c r="M13" i="25" s="1"/>
  <c r="L15" i="25"/>
  <c r="K15" i="25"/>
  <c r="J15" i="25"/>
  <c r="I15" i="25"/>
  <c r="I13" i="25" s="1"/>
  <c r="H15" i="25"/>
  <c r="G15" i="25"/>
  <c r="F15" i="25"/>
  <c r="E15" i="25"/>
  <c r="D15" i="25"/>
  <c r="Y14" i="25"/>
  <c r="X14" i="25"/>
  <c r="X13" i="25" s="1"/>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W13" i="25"/>
  <c r="T13" i="25"/>
  <c r="S13" i="25"/>
  <c r="S20" i="25" s="1"/>
  <c r="N13" i="25"/>
  <c r="L13" i="25"/>
  <c r="K13" i="25"/>
  <c r="H13" i="25"/>
  <c r="Y12" i="25"/>
  <c r="Z12" i="25" s="1"/>
  <c r="X12" i="25"/>
  <c r="W12" i="25"/>
  <c r="V12" i="25"/>
  <c r="U12" i="25"/>
  <c r="T12" i="25"/>
  <c r="S12" i="25"/>
  <c r="R12" i="25"/>
  <c r="Q12" i="25"/>
  <c r="P12" i="25"/>
  <c r="O12" i="25"/>
  <c r="N12" i="25"/>
  <c r="M12" i="25"/>
  <c r="L12" i="25"/>
  <c r="K12" i="25"/>
  <c r="J12" i="25"/>
  <c r="I12" i="25"/>
  <c r="H12" i="25"/>
  <c r="G12" i="25"/>
  <c r="F12" i="25"/>
  <c r="E12" i="25"/>
  <c r="D12" i="25"/>
  <c r="AG11" i="25"/>
  <c r="AF11" i="25"/>
  <c r="AE11" i="25"/>
  <c r="Y11" i="25"/>
  <c r="X11" i="25"/>
  <c r="W11" i="25"/>
  <c r="V11" i="25"/>
  <c r="U11" i="25"/>
  <c r="T11" i="25"/>
  <c r="S11" i="25"/>
  <c r="R11" i="25"/>
  <c r="Q11" i="25"/>
  <c r="P11" i="25"/>
  <c r="O11" i="25"/>
  <c r="N11" i="25"/>
  <c r="M11" i="25"/>
  <c r="L11" i="25"/>
  <c r="K11" i="25"/>
  <c r="J11" i="25"/>
  <c r="I11" i="25"/>
  <c r="H11" i="25"/>
  <c r="H20" i="25" s="1"/>
  <c r="G11" i="25"/>
  <c r="F11" i="25"/>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J6" i="71"/>
  <c r="H6" i="71"/>
  <c r="F6" i="71"/>
  <c r="J5" i="71"/>
  <c r="H5" i="71"/>
  <c r="J4" i="71"/>
  <c r="H4" i="71"/>
  <c r="G4" i="71"/>
  <c r="J3" i="71"/>
  <c r="I3" i="71"/>
  <c r="H3" i="71"/>
  <c r="G3" i="71"/>
  <c r="J2" i="71"/>
  <c r="G2" i="71"/>
  <c r="F2" i="71"/>
  <c r="E2" i="71"/>
  <c r="D2" i="71"/>
  <c r="R11" i="50"/>
  <c r="Q11" i="50"/>
  <c r="P11" i="50"/>
  <c r="O11" i="50"/>
  <c r="N11" i="50"/>
  <c r="M11" i="50"/>
  <c r="L11" i="50"/>
  <c r="K11" i="50"/>
  <c r="J11" i="50"/>
  <c r="I11" i="50"/>
  <c r="H11" i="50"/>
  <c r="G11" i="50"/>
  <c r="F11" i="50"/>
  <c r="E11" i="50"/>
  <c r="D11" i="50"/>
  <c r="C11" i="50"/>
  <c r="Q10" i="50"/>
  <c r="P10" i="50"/>
  <c r="O10" i="50"/>
  <c r="N10" i="50"/>
  <c r="K10" i="50"/>
  <c r="R9" i="50"/>
  <c r="N9" i="50"/>
  <c r="M9" i="50"/>
  <c r="L9" i="50"/>
  <c r="J9" i="50"/>
  <c r="H9" i="50"/>
  <c r="G9" i="50"/>
  <c r="F9" i="50"/>
  <c r="E9" i="50"/>
  <c r="D9" i="50"/>
  <c r="C9" i="50"/>
  <c r="R8" i="50"/>
  <c r="Q8" i="50"/>
  <c r="P8" i="50"/>
  <c r="O8" i="50"/>
  <c r="N8" i="50"/>
  <c r="R7" i="50"/>
  <c r="Q7" i="50"/>
  <c r="P7" i="50"/>
  <c r="O7" i="50"/>
  <c r="N7" i="50"/>
  <c r="M7" i="50"/>
  <c r="L7" i="50"/>
  <c r="K7" i="50"/>
  <c r="J7" i="50"/>
  <c r="I7" i="50"/>
  <c r="H7" i="50"/>
  <c r="G7" i="50"/>
  <c r="F7" i="50"/>
  <c r="E7" i="50"/>
  <c r="D7" i="50"/>
  <c r="C7" i="50"/>
  <c r="N6" i="50"/>
  <c r="L6" i="50"/>
  <c r="G6" i="50"/>
  <c r="F6" i="50"/>
  <c r="E6" i="50"/>
  <c r="D6" i="50"/>
  <c r="C6" i="50"/>
  <c r="J5" i="50"/>
  <c r="D5" i="50"/>
  <c r="C5" i="50"/>
  <c r="M4" i="50"/>
  <c r="E4" i="50"/>
  <c r="D4" i="50"/>
  <c r="C4" i="50"/>
  <c r="X92" i="80"/>
  <c r="R92" i="80"/>
  <c r="O92" i="80"/>
  <c r="U90" i="80"/>
  <c r="W86" i="80"/>
  <c r="V86" i="80"/>
  <c r="U86" i="80"/>
  <c r="T86" i="80"/>
  <c r="S86" i="80"/>
  <c r="R86" i="80"/>
  <c r="Q86" i="80"/>
  <c r="P86" i="80"/>
  <c r="O86" i="80"/>
  <c r="N86" i="80"/>
  <c r="M86" i="80"/>
  <c r="L86" i="80"/>
  <c r="K86" i="80"/>
  <c r="J86" i="80"/>
  <c r="I86" i="80"/>
  <c r="H86" i="80"/>
  <c r="G86" i="80"/>
  <c r="F86" i="80"/>
  <c r="E86" i="80"/>
  <c r="D86" i="80"/>
  <c r="C86" i="80"/>
  <c r="X85" i="80"/>
  <c r="W85" i="80"/>
  <c r="Z85" i="80" s="1"/>
  <c r="V85" i="80"/>
  <c r="U85" i="80"/>
  <c r="T85" i="80"/>
  <c r="S85" i="80"/>
  <c r="R85" i="80"/>
  <c r="Q85" i="80"/>
  <c r="P85" i="80"/>
  <c r="O85" i="80"/>
  <c r="N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Z30" i="80"/>
  <c r="K24" i="35"/>
  <c r="J24" i="35"/>
  <c r="I24" i="35"/>
  <c r="H24" i="35"/>
  <c r="G24" i="35"/>
  <c r="F24" i="35"/>
  <c r="E24" i="35"/>
  <c r="D24" i="35"/>
  <c r="K23" i="35"/>
  <c r="J23" i="35"/>
  <c r="I23" i="35"/>
  <c r="H23" i="35"/>
  <c r="I25" i="55" s="1"/>
  <c r="G23" i="35"/>
  <c r="H25" i="55" s="1"/>
  <c r="F23" i="35"/>
  <c r="G25" i="55" s="1"/>
  <c r="E23" i="35"/>
  <c r="D23" i="35"/>
  <c r="C23" i="35"/>
  <c r="C22" i="35"/>
  <c r="D24" i="55" s="1"/>
  <c r="C21" i="35"/>
  <c r="K16" i="35"/>
  <c r="J16" i="35"/>
  <c r="K15" i="35"/>
  <c r="K14" i="35"/>
  <c r="J14" i="35"/>
  <c r="I14" i="35"/>
  <c r="H14" i="35"/>
  <c r="G14" i="35"/>
  <c r="F14" i="35"/>
  <c r="E14" i="35"/>
  <c r="F16" i="55" s="1"/>
  <c r="D14" i="35"/>
  <c r="E16" i="55" s="1"/>
  <c r="C14" i="35"/>
  <c r="D16" i="55" s="1"/>
  <c r="K13" i="35"/>
  <c r="J13" i="35"/>
  <c r="I13" i="35"/>
  <c r="H13" i="35"/>
  <c r="G13" i="35"/>
  <c r="F13" i="35"/>
  <c r="E13" i="35"/>
  <c r="D13" i="35"/>
  <c r="C13" i="35"/>
  <c r="C12" i="35"/>
  <c r="C11" i="35"/>
  <c r="K9" i="35"/>
  <c r="J9" i="35"/>
  <c r="I9" i="35"/>
  <c r="H9" i="35"/>
  <c r="G9" i="35"/>
  <c r="F9" i="35"/>
  <c r="E9" i="35"/>
  <c r="D9" i="35"/>
  <c r="K8" i="35"/>
  <c r="J8" i="35"/>
  <c r="I8" i="35"/>
  <c r="K7" i="35"/>
  <c r="J7" i="35"/>
  <c r="I7" i="35"/>
  <c r="H7" i="35"/>
  <c r="I9" i="55" s="1"/>
  <c r="G7" i="35"/>
  <c r="H9" i="55" s="1"/>
  <c r="H73" i="55" s="1"/>
  <c r="F7" i="35"/>
  <c r="G9" i="55" s="1"/>
  <c r="G105" i="55" s="1"/>
  <c r="D4" i="35"/>
  <c r="E6" i="55" s="1"/>
  <c r="E70" i="55" s="1"/>
  <c r="C4" i="35"/>
  <c r="J3" i="35"/>
  <c r="H3" i="35"/>
  <c r="I5" i="55" s="1"/>
  <c r="D3" i="35"/>
  <c r="C3" i="35"/>
  <c r="L128" i="55"/>
  <c r="D128" i="55"/>
  <c r="M127" i="55"/>
  <c r="L127" i="55"/>
  <c r="J127" i="55"/>
  <c r="M126" i="55"/>
  <c r="L126" i="55"/>
  <c r="K126" i="55"/>
  <c r="J126" i="55"/>
  <c r="H126" i="55"/>
  <c r="I125" i="55"/>
  <c r="I124" i="55"/>
  <c r="H124" i="55"/>
  <c r="D124" i="55"/>
  <c r="F121" i="55"/>
  <c r="E121" i="55"/>
  <c r="D121" i="55"/>
  <c r="M119" i="55"/>
  <c r="M113" i="55"/>
  <c r="L113" i="55"/>
  <c r="I111" i="55"/>
  <c r="H111" i="55"/>
  <c r="F111" i="55"/>
  <c r="D110" i="55"/>
  <c r="D109" i="55"/>
  <c r="M107" i="55"/>
  <c r="L107" i="55"/>
  <c r="G107" i="55"/>
  <c r="D102" i="55"/>
  <c r="M101" i="55"/>
  <c r="D96" i="55"/>
  <c r="I95" i="55"/>
  <c r="D95" i="55"/>
  <c r="K94" i="55"/>
  <c r="J94" i="55"/>
  <c r="H94" i="55"/>
  <c r="I92" i="55"/>
  <c r="D92" i="55"/>
  <c r="J89" i="55"/>
  <c r="J80" i="55"/>
  <c r="I79" i="55"/>
  <c r="H79" i="55"/>
  <c r="G79" i="55"/>
  <c r="F79" i="55"/>
  <c r="D79" i="55"/>
  <c r="D78" i="55"/>
  <c r="I75" i="55"/>
  <c r="J74" i="55"/>
  <c r="D70" i="55"/>
  <c r="D69" i="55"/>
  <c r="M32" i="55"/>
  <c r="M128" i="55" s="1"/>
  <c r="L32" i="55"/>
  <c r="K32" i="55"/>
  <c r="K128" i="55" s="1"/>
  <c r="J32" i="55"/>
  <c r="J128" i="55" s="1"/>
  <c r="I32" i="55"/>
  <c r="H32" i="55"/>
  <c r="D32" i="55"/>
  <c r="M31" i="55"/>
  <c r="L31" i="55"/>
  <c r="K31" i="55"/>
  <c r="K127" i="55" s="1"/>
  <c r="J31" i="55"/>
  <c r="J95" i="55" s="1"/>
  <c r="I31" i="55"/>
  <c r="I127" i="55" s="1"/>
  <c r="H31" i="55"/>
  <c r="H127" i="55" s="1"/>
  <c r="D31" i="55"/>
  <c r="D127" i="55" s="1"/>
  <c r="M30" i="55"/>
  <c r="L30" i="55"/>
  <c r="K30" i="55"/>
  <c r="J30" i="55"/>
  <c r="I30" i="55"/>
  <c r="I126" i="55" s="1"/>
  <c r="H30" i="55"/>
  <c r="D30" i="55"/>
  <c r="M29" i="55"/>
  <c r="M125" i="55" s="1"/>
  <c r="L29" i="55"/>
  <c r="L125" i="55" s="1"/>
  <c r="I29" i="55"/>
  <c r="I93" i="55" s="1"/>
  <c r="D29" i="55"/>
  <c r="D93" i="55" s="1"/>
  <c r="M28" i="55"/>
  <c r="M124" i="55" s="1"/>
  <c r="L28" i="55"/>
  <c r="L124" i="55" s="1"/>
  <c r="I28" i="55"/>
  <c r="H28" i="55"/>
  <c r="H92" i="55" s="1"/>
  <c r="G28" i="55"/>
  <c r="G92" i="55" s="1"/>
  <c r="F28" i="55"/>
  <c r="F92" i="55" s="1"/>
  <c r="E28" i="55"/>
  <c r="E124" i="55" s="1"/>
  <c r="D28" i="55"/>
  <c r="M25" i="55"/>
  <c r="M121" i="55" s="1"/>
  <c r="L25" i="55"/>
  <c r="L121" i="55" s="1"/>
  <c r="K25" i="55"/>
  <c r="J25" i="55"/>
  <c r="J121" i="55" s="1"/>
  <c r="F25" i="55"/>
  <c r="F89" i="55" s="1"/>
  <c r="E25" i="55"/>
  <c r="E89" i="55" s="1"/>
  <c r="D25" i="55"/>
  <c r="D89" i="55" s="1"/>
  <c r="C25" i="55"/>
  <c r="B25" i="55"/>
  <c r="M24" i="55"/>
  <c r="M120" i="55" s="1"/>
  <c r="C24" i="55"/>
  <c r="B24" i="55"/>
  <c r="M23" i="55"/>
  <c r="D23" i="55"/>
  <c r="D119" i="55" s="1"/>
  <c r="C23" i="55"/>
  <c r="B23" i="55"/>
  <c r="M22" i="55"/>
  <c r="M118" i="55" s="1"/>
  <c r="C22" i="55"/>
  <c r="B22" i="55"/>
  <c r="M21" i="55"/>
  <c r="M117" i="55" s="1"/>
  <c r="C21" i="55"/>
  <c r="B21" i="55"/>
  <c r="M20" i="55"/>
  <c r="M116" i="55" s="1"/>
  <c r="C20" i="55"/>
  <c r="B20" i="55"/>
  <c r="M19" i="55"/>
  <c r="M115" i="55" s="1"/>
  <c r="C19" i="55"/>
  <c r="B19" i="55"/>
  <c r="M18" i="55"/>
  <c r="M114" i="55" s="1"/>
  <c r="L18" i="55"/>
  <c r="L114" i="55" s="1"/>
  <c r="K18" i="55"/>
  <c r="C18" i="55"/>
  <c r="B18" i="55"/>
  <c r="M17" i="55"/>
  <c r="L17" i="55"/>
  <c r="C17" i="55"/>
  <c r="B17" i="55"/>
  <c r="M16" i="55"/>
  <c r="M112" i="55" s="1"/>
  <c r="L16" i="55"/>
  <c r="L112" i="55" s="1"/>
  <c r="K16" i="55"/>
  <c r="K112" i="55" s="1"/>
  <c r="J16" i="55"/>
  <c r="J112" i="55" s="1"/>
  <c r="I16" i="55"/>
  <c r="I112" i="55" s="1"/>
  <c r="H16" i="55"/>
  <c r="H112" i="55" s="1"/>
  <c r="G16" i="55"/>
  <c r="G112" i="55" s="1"/>
  <c r="C16" i="55"/>
  <c r="B16" i="55"/>
  <c r="M15" i="55"/>
  <c r="M111" i="55" s="1"/>
  <c r="L15" i="55"/>
  <c r="L111" i="55" s="1"/>
  <c r="K15" i="55"/>
  <c r="J15" i="55"/>
  <c r="I15" i="55"/>
  <c r="H15" i="55"/>
  <c r="G15" i="55"/>
  <c r="G111" i="55" s="1"/>
  <c r="F15" i="55"/>
  <c r="E15" i="55"/>
  <c r="E79" i="55" s="1"/>
  <c r="D15" i="55"/>
  <c r="D111" i="55" s="1"/>
  <c r="C15" i="55"/>
  <c r="B15" i="55"/>
  <c r="M14" i="55"/>
  <c r="M110" i="55" s="1"/>
  <c r="D14" i="55"/>
  <c r="C14" i="55"/>
  <c r="B14" i="55"/>
  <c r="M13" i="55"/>
  <c r="M109" i="55" s="1"/>
  <c r="D13" i="55"/>
  <c r="D77" i="55" s="1"/>
  <c r="C13" i="55"/>
  <c r="B13" i="55"/>
  <c r="M12" i="55"/>
  <c r="M108" i="55" s="1"/>
  <c r="C12" i="55"/>
  <c r="B12" i="55"/>
  <c r="M11" i="55"/>
  <c r="L11" i="55"/>
  <c r="K11" i="55"/>
  <c r="J11" i="55"/>
  <c r="I11" i="55"/>
  <c r="I107" i="55" s="1"/>
  <c r="H11" i="55"/>
  <c r="H107" i="55" s="1"/>
  <c r="G11" i="55"/>
  <c r="G75" i="55" s="1"/>
  <c r="F11" i="55"/>
  <c r="F107" i="55" s="1"/>
  <c r="E11" i="55"/>
  <c r="E107" i="55" s="1"/>
  <c r="C11" i="55"/>
  <c r="B11" i="55"/>
  <c r="M10" i="55"/>
  <c r="M106" i="55" s="1"/>
  <c r="L10" i="55"/>
  <c r="L106" i="55" s="1"/>
  <c r="K10" i="55"/>
  <c r="K106" i="55" s="1"/>
  <c r="J10" i="55"/>
  <c r="J106" i="55" s="1"/>
  <c r="C10" i="55"/>
  <c r="B10" i="55"/>
  <c r="M9" i="55"/>
  <c r="M105" i="55" s="1"/>
  <c r="L9" i="55"/>
  <c r="L105" i="55" s="1"/>
  <c r="K9" i="55"/>
  <c r="J9" i="55"/>
  <c r="C9" i="55"/>
  <c r="B9" i="55"/>
  <c r="M8" i="55"/>
  <c r="M104" i="55" s="1"/>
  <c r="C8" i="55"/>
  <c r="B8" i="55"/>
  <c r="M7" i="55"/>
  <c r="M103" i="55" s="1"/>
  <c r="C7" i="55"/>
  <c r="B7" i="55"/>
  <c r="M6" i="55"/>
  <c r="M102" i="55" s="1"/>
  <c r="D6" i="55"/>
  <c r="C6" i="55"/>
  <c r="B6" i="55"/>
  <c r="M5" i="55"/>
  <c r="K5" i="55"/>
  <c r="E5" i="55"/>
  <c r="E101" i="55" s="1"/>
  <c r="D5" i="55"/>
  <c r="D101" i="55" s="1"/>
  <c r="C5" i="55"/>
  <c r="B5" i="55"/>
  <c r="M4" i="55"/>
  <c r="M100" i="55" s="1"/>
  <c r="C4" i="55"/>
  <c r="B4" i="55"/>
  <c r="E3" i="55"/>
  <c r="D3" i="55"/>
  <c r="C3" i="55"/>
  <c r="B3" i="55"/>
  <c r="F81" i="46"/>
  <c r="G81" i="46" s="1"/>
  <c r="E81" i="46"/>
  <c r="C81" i="46"/>
  <c r="E80" i="46"/>
  <c r="F80" i="46" s="1"/>
  <c r="G80" i="46" s="1"/>
  <c r="C80" i="46"/>
  <c r="E79" i="46"/>
  <c r="F79" i="46" s="1"/>
  <c r="G79" i="46" s="1"/>
  <c r="C79" i="46"/>
  <c r="F78" i="46"/>
  <c r="G78" i="46" s="1"/>
  <c r="E78" i="46"/>
  <c r="C78" i="46"/>
  <c r="E77" i="46"/>
  <c r="F77" i="46" s="1"/>
  <c r="G77" i="46" s="1"/>
  <c r="C77" i="46"/>
  <c r="E76" i="46"/>
  <c r="F76" i="46" s="1"/>
  <c r="G76" i="46" s="1"/>
  <c r="C76" i="46"/>
  <c r="F75" i="46"/>
  <c r="G75" i="46" s="1"/>
  <c r="E75" i="46"/>
  <c r="C75" i="46"/>
  <c r="E74" i="46"/>
  <c r="F74" i="46" s="1"/>
  <c r="G74" i="46" s="1"/>
  <c r="C74" i="46"/>
  <c r="E73" i="46"/>
  <c r="F73" i="46" s="1"/>
  <c r="G73" i="46" s="1"/>
  <c r="C73" i="46"/>
  <c r="F72" i="46"/>
  <c r="G72" i="46" s="1"/>
  <c r="E72" i="46"/>
  <c r="C72" i="46"/>
  <c r="E71" i="46"/>
  <c r="F71" i="46" s="1"/>
  <c r="G71" i="46" s="1"/>
  <c r="C71" i="46"/>
  <c r="E70" i="46"/>
  <c r="F70" i="46" s="1"/>
  <c r="G70" i="46" s="1"/>
  <c r="C70" i="46"/>
  <c r="F69" i="46"/>
  <c r="G69" i="46" s="1"/>
  <c r="E69" i="46"/>
  <c r="C69" i="46"/>
  <c r="E68" i="46"/>
  <c r="F68" i="46" s="1"/>
  <c r="G68" i="46" s="1"/>
  <c r="C68" i="46"/>
  <c r="E67" i="46"/>
  <c r="F67" i="46" s="1"/>
  <c r="G67" i="46" s="1"/>
  <c r="C67" i="46"/>
  <c r="F66" i="46"/>
  <c r="G66" i="46" s="1"/>
  <c r="E66" i="46"/>
  <c r="C66" i="46"/>
  <c r="E65" i="46"/>
  <c r="F65" i="46" s="1"/>
  <c r="G65" i="46" s="1"/>
  <c r="C65" i="46"/>
  <c r="E64" i="46"/>
  <c r="F64" i="46" s="1"/>
  <c r="G64" i="46" s="1"/>
  <c r="C64" i="46"/>
  <c r="F63" i="46"/>
  <c r="G63" i="46" s="1"/>
  <c r="E63" i="46"/>
  <c r="C63" i="46"/>
  <c r="E62" i="46"/>
  <c r="F62" i="46" s="1"/>
  <c r="G62" i="46" s="1"/>
  <c r="C62" i="46"/>
  <c r="E61" i="46"/>
  <c r="F61" i="46" s="1"/>
  <c r="G61" i="46" s="1"/>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F50" i="46"/>
  <c r="G50" i="46" s="1"/>
  <c r="E50" i="46"/>
  <c r="C50" i="46"/>
  <c r="E49" i="46"/>
  <c r="F49" i="46" s="1"/>
  <c r="G49" i="46" s="1"/>
  <c r="C49" i="46"/>
  <c r="E48" i="46"/>
  <c r="F48" i="46" s="1"/>
  <c r="G48" i="46" s="1"/>
  <c r="C48" i="46"/>
  <c r="F47" i="46"/>
  <c r="G47" i="46" s="1"/>
  <c r="E47" i="46"/>
  <c r="C47" i="46"/>
  <c r="E46" i="46"/>
  <c r="F46" i="46" s="1"/>
  <c r="G46" i="46" s="1"/>
  <c r="C46" i="46"/>
  <c r="E45" i="46"/>
  <c r="F45" i="46" s="1"/>
  <c r="G45" i="46" s="1"/>
  <c r="C45" i="46"/>
  <c r="F44" i="46"/>
  <c r="G44" i="46" s="1"/>
  <c r="E44" i="46"/>
  <c r="C44" i="46"/>
  <c r="E43" i="46"/>
  <c r="F43" i="46" s="1"/>
  <c r="G43" i="46" s="1"/>
  <c r="C43" i="46"/>
  <c r="E42" i="46"/>
  <c r="F42" i="46" s="1"/>
  <c r="G42" i="46" s="1"/>
  <c r="C42" i="46"/>
  <c r="F41" i="46"/>
  <c r="G41" i="46" s="1"/>
  <c r="E41" i="46"/>
  <c r="C41" i="46"/>
  <c r="E40" i="46"/>
  <c r="F40" i="46" s="1"/>
  <c r="G40" i="46" s="1"/>
  <c r="C40" i="46"/>
  <c r="E39" i="46"/>
  <c r="F39" i="46" s="1"/>
  <c r="G39" i="46" s="1"/>
  <c r="C39" i="46"/>
  <c r="F38" i="46"/>
  <c r="G38" i="46" s="1"/>
  <c r="E38" i="46"/>
  <c r="C38" i="46"/>
  <c r="E37" i="46"/>
  <c r="F37" i="46" s="1"/>
  <c r="G37" i="46" s="1"/>
  <c r="C37" i="46"/>
  <c r="E36" i="46"/>
  <c r="F36" i="46" s="1"/>
  <c r="G36" i="46" s="1"/>
  <c r="C36" i="46"/>
  <c r="F35" i="46"/>
  <c r="G35" i="46" s="1"/>
  <c r="E35" i="46"/>
  <c r="C35" i="46"/>
  <c r="E34" i="46"/>
  <c r="F34" i="46" s="1"/>
  <c r="G34" i="46" s="1"/>
  <c r="C34" i="46"/>
  <c r="E33" i="46"/>
  <c r="F33" i="46" s="1"/>
  <c r="G33" i="46" s="1"/>
  <c r="C33" i="46"/>
  <c r="F32" i="46"/>
  <c r="G32" i="46" s="1"/>
  <c r="E32" i="46"/>
  <c r="C32" i="46"/>
  <c r="E31" i="46"/>
  <c r="F31" i="46" s="1"/>
  <c r="G31" i="46" s="1"/>
  <c r="G30" i="46"/>
  <c r="F30" i="46"/>
  <c r="E30" i="46"/>
  <c r="G29" i="46"/>
  <c r="F29" i="46"/>
  <c r="E29" i="46"/>
  <c r="E28" i="46"/>
  <c r="F28" i="46" s="1"/>
  <c r="G28" i="46" s="1"/>
  <c r="E27" i="46"/>
  <c r="F27" i="46" s="1"/>
  <c r="G27" i="46" s="1"/>
  <c r="C27" i="46"/>
  <c r="E26" i="46"/>
  <c r="F26" i="46" s="1"/>
  <c r="G26" i="46" s="1"/>
  <c r="C26" i="46"/>
  <c r="F25" i="46"/>
  <c r="G25" i="46" s="1"/>
  <c r="E25" i="46"/>
  <c r="C25" i="46"/>
  <c r="E24" i="46"/>
  <c r="F24" i="46" s="1"/>
  <c r="G24" i="46" s="1"/>
  <c r="C24" i="46"/>
  <c r="E23" i="46"/>
  <c r="F23" i="46" s="1"/>
  <c r="G23" i="46" s="1"/>
  <c r="C23" i="46"/>
  <c r="F22" i="46"/>
  <c r="G22" i="46" s="1"/>
  <c r="E22" i="46"/>
  <c r="C22" i="46"/>
  <c r="E21" i="46"/>
  <c r="F21" i="46" s="1"/>
  <c r="G21" i="46" s="1"/>
  <c r="C21" i="46"/>
  <c r="E20" i="46"/>
  <c r="F20" i="46" s="1"/>
  <c r="G20" i="46" s="1"/>
  <c r="C20" i="46"/>
  <c r="F19" i="46"/>
  <c r="G19" i="46" s="1"/>
  <c r="E19" i="46"/>
  <c r="C19" i="46"/>
  <c r="E18" i="46"/>
  <c r="F18" i="46" s="1"/>
  <c r="G18" i="46" s="1"/>
  <c r="C18" i="46"/>
  <c r="E17" i="46"/>
  <c r="F17" i="46" s="1"/>
  <c r="G17" i="46" s="1"/>
  <c r="C17" i="46"/>
  <c r="F16" i="46"/>
  <c r="G16" i="46" s="1"/>
  <c r="E16" i="46"/>
  <c r="C16" i="46"/>
  <c r="E15" i="46"/>
  <c r="F15" i="46" s="1"/>
  <c r="G15" i="46" s="1"/>
  <c r="C15" i="46"/>
  <c r="E14" i="46"/>
  <c r="F14" i="46" s="1"/>
  <c r="G14" i="46" s="1"/>
  <c r="C14" i="46"/>
  <c r="F13" i="46"/>
  <c r="G13" i="46" s="1"/>
  <c r="E13" i="46"/>
  <c r="C13" i="46"/>
  <c r="E12" i="46"/>
  <c r="F12" i="46" s="1"/>
  <c r="G12" i="46" s="1"/>
  <c r="C12" i="46"/>
  <c r="E11" i="46"/>
  <c r="F11" i="46" s="1"/>
  <c r="G11" i="46" s="1"/>
  <c r="C11" i="46"/>
  <c r="F10" i="46"/>
  <c r="G10" i="46" s="1"/>
  <c r="E10" i="46"/>
  <c r="C10" i="46"/>
  <c r="E9" i="46"/>
  <c r="F9" i="46" s="1"/>
  <c r="G9" i="46" s="1"/>
  <c r="C9" i="46"/>
  <c r="E8" i="46"/>
  <c r="F8" i="46" s="1"/>
  <c r="G8" i="46" s="1"/>
  <c r="C8" i="46"/>
  <c r="F7" i="46"/>
  <c r="G7" i="46" s="1"/>
  <c r="E7" i="46"/>
  <c r="C7" i="46"/>
  <c r="E6" i="46"/>
  <c r="F6" i="46" s="1"/>
  <c r="G6" i="46" s="1"/>
  <c r="C6" i="46"/>
  <c r="E5" i="46"/>
  <c r="F5" i="46" s="1"/>
  <c r="G5" i="46" s="1"/>
  <c r="C5" i="46"/>
  <c r="F4" i="46"/>
  <c r="G4" i="46" s="1"/>
  <c r="E4" i="46"/>
  <c r="C4" i="46"/>
  <c r="E3" i="46"/>
  <c r="F3" i="46" s="1"/>
  <c r="G3" i="46" s="1"/>
  <c r="C3" i="46"/>
  <c r="C2" i="46"/>
  <c r="S23" i="74"/>
  <c r="U23" i="25"/>
  <c r="R23" i="74"/>
  <c r="T23" i="25"/>
  <c r="Q23" i="74"/>
  <c r="S23" i="25"/>
  <c r="P23" i="74"/>
  <c r="O23" i="74"/>
  <c r="Q23" i="25"/>
  <c r="N23" i="74"/>
  <c r="P23" i="25"/>
  <c r="M23" i="74"/>
  <c r="O23" i="25"/>
  <c r="N23" i="25"/>
  <c r="M23" i="25"/>
  <c r="U23" i="74"/>
  <c r="T23" i="74"/>
  <c r="R23" i="25"/>
  <c r="Z12" i="70" l="1"/>
  <c r="Z23" i="70" s="1"/>
  <c r="C2" i="71" s="1"/>
  <c r="Z89" i="80"/>
  <c r="X94" i="80"/>
  <c r="O93" i="80"/>
  <c r="Z14" i="70"/>
  <c r="Z24" i="70" s="1"/>
  <c r="C3" i="71" s="1"/>
  <c r="E29" i="55"/>
  <c r="E93" i="55" s="1"/>
  <c r="E92" i="55"/>
  <c r="F124" i="55"/>
  <c r="AA48" i="70"/>
  <c r="G124" i="55"/>
  <c r="Z49" i="70"/>
  <c r="E30" i="55" s="1"/>
  <c r="E126" i="55" s="1"/>
  <c r="AB49" i="70"/>
  <c r="O144" i="48"/>
  <c r="J9" i="48"/>
  <c r="J26" i="48" s="1"/>
  <c r="M143" i="48"/>
  <c r="Q144" i="48"/>
  <c r="J27" i="48"/>
  <c r="V27" i="48"/>
  <c r="N19" i="48"/>
  <c r="K119" i="48"/>
  <c r="K112" i="48" s="1"/>
  <c r="O9" i="48"/>
  <c r="F87" i="48"/>
  <c r="F95" i="48" s="1"/>
  <c r="X119" i="48"/>
  <c r="AE25" i="48"/>
  <c r="I22" i="35" s="1"/>
  <c r="J24" i="55" s="1"/>
  <c r="I9" i="48"/>
  <c r="J115" i="48"/>
  <c r="V115" i="48"/>
  <c r="N116" i="48"/>
  <c r="I96" i="48" s="1"/>
  <c r="J96" i="48" s="1"/>
  <c r="K96" i="48" s="1"/>
  <c r="L96" i="48" s="1"/>
  <c r="J130" i="48"/>
  <c r="V130" i="48"/>
  <c r="N131" i="48"/>
  <c r="O114" i="48"/>
  <c r="G139" i="48"/>
  <c r="S139" i="48"/>
  <c r="K140" i="48"/>
  <c r="O141" i="48"/>
  <c r="W115" i="48"/>
  <c r="O116" i="48"/>
  <c r="W130" i="48"/>
  <c r="O131" i="48"/>
  <c r="T27" i="48"/>
  <c r="H119" i="48"/>
  <c r="U9" i="48"/>
  <c r="U26" i="48" s="1"/>
  <c r="L115" i="48"/>
  <c r="X115" i="48"/>
  <c r="P116" i="48"/>
  <c r="H19" i="48"/>
  <c r="T19" i="48"/>
  <c r="L130" i="48"/>
  <c r="X130" i="48"/>
  <c r="P131" i="48"/>
  <c r="T119" i="48"/>
  <c r="T112" i="48" s="1"/>
  <c r="I139" i="48"/>
  <c r="M140" i="48"/>
  <c r="Q141" i="48"/>
  <c r="F27" i="48"/>
  <c r="M115" i="48"/>
  <c r="Y115" i="48"/>
  <c r="Z115" i="48" s="1"/>
  <c r="AA115" i="48" s="1"/>
  <c r="AB115" i="48" s="1"/>
  <c r="AC115" i="48" s="1"/>
  <c r="AD115" i="48" s="1"/>
  <c r="AE115" i="48" s="1"/>
  <c r="AF115" i="48" s="1"/>
  <c r="AG115" i="48" s="1"/>
  <c r="I19" i="48"/>
  <c r="M130" i="48"/>
  <c r="Y130" i="48"/>
  <c r="Z130" i="48" s="1"/>
  <c r="AA130" i="48" s="1"/>
  <c r="AB130" i="48" s="1"/>
  <c r="AC130" i="48" s="1"/>
  <c r="L120" i="55"/>
  <c r="L88" i="55"/>
  <c r="P114" i="48"/>
  <c r="J129" i="48"/>
  <c r="O139" i="48"/>
  <c r="G140" i="48"/>
  <c r="S140" i="48"/>
  <c r="K141" i="48"/>
  <c r="G143" i="48"/>
  <c r="S143" i="48"/>
  <c r="S27" i="48"/>
  <c r="M142" i="48"/>
  <c r="M144" i="48"/>
  <c r="H128" i="48"/>
  <c r="F93" i="48"/>
  <c r="M129" i="48"/>
  <c r="Y129" i="48"/>
  <c r="Z129" i="48" s="1"/>
  <c r="Q130" i="48"/>
  <c r="I131" i="48"/>
  <c r="P28" i="48"/>
  <c r="E87" i="48"/>
  <c r="E95" i="48" s="1"/>
  <c r="G119" i="48"/>
  <c r="N138" i="48"/>
  <c r="R139" i="48"/>
  <c r="J140" i="48"/>
  <c r="J143" i="48"/>
  <c r="F130" i="48"/>
  <c r="R130" i="48"/>
  <c r="J131" i="48"/>
  <c r="V131" i="48"/>
  <c r="I34" i="48"/>
  <c r="I66" i="48" s="1"/>
  <c r="I73" i="48" s="1"/>
  <c r="M19" i="48"/>
  <c r="P141" i="48"/>
  <c r="V114" i="48"/>
  <c r="L19" i="48"/>
  <c r="X19" i="48"/>
  <c r="P129" i="48"/>
  <c r="I32" i="48"/>
  <c r="E94" i="48"/>
  <c r="E96" i="48"/>
  <c r="Q142" i="48"/>
  <c r="H112" i="48"/>
  <c r="F96" i="48"/>
  <c r="V119" i="48"/>
  <c r="V128" i="48" s="1"/>
  <c r="N140" i="48"/>
  <c r="R141" i="48"/>
  <c r="R144" i="48"/>
  <c r="I26" i="48"/>
  <c r="D87" i="55"/>
  <c r="F28" i="48"/>
  <c r="R28" i="48"/>
  <c r="AB25" i="48"/>
  <c r="F22" i="35" s="1"/>
  <c r="G24" i="55" s="1"/>
  <c r="Q115" i="48"/>
  <c r="G34" i="48"/>
  <c r="G66" i="48" s="1"/>
  <c r="G73" i="48" s="1"/>
  <c r="G96" i="48" s="1"/>
  <c r="U116" i="48"/>
  <c r="G129" i="48"/>
  <c r="K130" i="48"/>
  <c r="E93" i="48"/>
  <c r="H142" i="48"/>
  <c r="H141" i="48"/>
  <c r="G102" i="55"/>
  <c r="G70" i="55"/>
  <c r="E4" i="35"/>
  <c r="F6" i="55" s="1"/>
  <c r="K107" i="55"/>
  <c r="F112" i="55"/>
  <c r="F80" i="55"/>
  <c r="G89" i="55"/>
  <c r="G121" i="55"/>
  <c r="I15" i="21"/>
  <c r="S38" i="26"/>
  <c r="G73" i="55"/>
  <c r="H89" i="55"/>
  <c r="H121" i="55"/>
  <c r="E20" i="25"/>
  <c r="E19" i="25"/>
  <c r="Q20" i="25"/>
  <c r="Q19" i="25"/>
  <c r="V20" i="74"/>
  <c r="W20" i="74" s="1"/>
  <c r="X20" i="74" s="1"/>
  <c r="Y20" i="74" s="1"/>
  <c r="Z20" i="74" s="1"/>
  <c r="AA20" i="74" s="1"/>
  <c r="AB20" i="74" s="1"/>
  <c r="AC20" i="74" s="1"/>
  <c r="S14" i="59"/>
  <c r="S63" i="59" s="1"/>
  <c r="D126" i="55"/>
  <c r="D94" i="55"/>
  <c r="I89" i="55"/>
  <c r="I121" i="55"/>
  <c r="J111" i="55"/>
  <c r="J79" i="55"/>
  <c r="K111" i="55"/>
  <c r="I105" i="55"/>
  <c r="I73" i="55"/>
  <c r="D88" i="55"/>
  <c r="D120" i="55"/>
  <c r="Z27" i="20"/>
  <c r="C5" i="35"/>
  <c r="D7" i="55" s="1"/>
  <c r="J105" i="55"/>
  <c r="J73" i="55"/>
  <c r="P48" i="20"/>
  <c r="I9" i="50"/>
  <c r="K101" i="55"/>
  <c r="I101" i="55"/>
  <c r="I69" i="55"/>
  <c r="Z20" i="26"/>
  <c r="Y80" i="26"/>
  <c r="M30" i="26"/>
  <c r="K105" i="55"/>
  <c r="K121" i="55"/>
  <c r="H105" i="55"/>
  <c r="D112" i="55"/>
  <c r="D80" i="55"/>
  <c r="K114" i="55"/>
  <c r="H96" i="55"/>
  <c r="H128" i="55"/>
  <c r="J107" i="55"/>
  <c r="J75" i="55"/>
  <c r="J120" i="55"/>
  <c r="J88" i="55"/>
  <c r="I128" i="55"/>
  <c r="I96" i="55"/>
  <c r="E112" i="55"/>
  <c r="E80" i="55"/>
  <c r="Z14" i="25"/>
  <c r="AA12" i="25"/>
  <c r="R20" i="25"/>
  <c r="R19" i="25"/>
  <c r="N19" i="74"/>
  <c r="N20" i="74"/>
  <c r="S19" i="25"/>
  <c r="S14" i="75" s="1"/>
  <c r="E69" i="55"/>
  <c r="E75" i="55"/>
  <c r="E102" i="55"/>
  <c r="H14" i="75"/>
  <c r="H14" i="59"/>
  <c r="T20" i="25"/>
  <c r="P20" i="74"/>
  <c r="V12" i="74"/>
  <c r="V15" i="74"/>
  <c r="W15" i="74" s="1"/>
  <c r="X15" i="74" s="1"/>
  <c r="Y15" i="74" s="1"/>
  <c r="Z15" i="74" s="1"/>
  <c r="AA15" i="74" s="1"/>
  <c r="AB15" i="74" s="1"/>
  <c r="AC15" i="74" s="1"/>
  <c r="AB79" i="26"/>
  <c r="AH40" i="20"/>
  <c r="S13" i="30"/>
  <c r="S12" i="30" s="1"/>
  <c r="AA17" i="30"/>
  <c r="F20" i="25"/>
  <c r="F19" i="25"/>
  <c r="F75" i="55"/>
  <c r="J96" i="55"/>
  <c r="I20" i="25"/>
  <c r="I19" i="25"/>
  <c r="U20" i="25"/>
  <c r="U19" i="25" s="1"/>
  <c r="Z15" i="25"/>
  <c r="AA15" i="25" s="1"/>
  <c r="AB15" i="25" s="1"/>
  <c r="AC15" i="25" s="1"/>
  <c r="AD15" i="25" s="1"/>
  <c r="Z16" i="25"/>
  <c r="AA16" i="25" s="1"/>
  <c r="AB16" i="25" s="1"/>
  <c r="AC16" i="25" s="1"/>
  <c r="AD16" i="25" s="1"/>
  <c r="Z17" i="25"/>
  <c r="AA17" i="25" s="1"/>
  <c r="AB17" i="25" s="1"/>
  <c r="AC17" i="25" s="1"/>
  <c r="AD17" i="25" s="1"/>
  <c r="H19" i="25"/>
  <c r="J20" i="26"/>
  <c r="J80" i="26" s="1"/>
  <c r="AH14" i="26"/>
  <c r="J77" i="26"/>
  <c r="D48" i="26"/>
  <c r="E48" i="26" s="1"/>
  <c r="Q34" i="26"/>
  <c r="Q16" i="26" s="1"/>
  <c r="Q79" i="26" s="1"/>
  <c r="P34" i="26"/>
  <c r="P16" i="26" s="1"/>
  <c r="P79" i="26" s="1"/>
  <c r="O34" i="26"/>
  <c r="O16" i="26" s="1"/>
  <c r="O79" i="26" s="1"/>
  <c r="N34" i="26"/>
  <c r="N16" i="26" s="1"/>
  <c r="N79" i="26" s="1"/>
  <c r="M34" i="26"/>
  <c r="X34" i="26"/>
  <c r="X16" i="26" s="1"/>
  <c r="X79" i="26" s="1"/>
  <c r="W34" i="26"/>
  <c r="W16" i="26" s="1"/>
  <c r="W79" i="26" s="1"/>
  <c r="V34" i="26"/>
  <c r="V16" i="26" s="1"/>
  <c r="V79" i="26" s="1"/>
  <c r="U34" i="26"/>
  <c r="U16" i="26" s="1"/>
  <c r="U79" i="26" s="1"/>
  <c r="S34" i="26"/>
  <c r="S16" i="26" s="1"/>
  <c r="S79" i="26" s="1"/>
  <c r="K96" i="55"/>
  <c r="J20" i="25"/>
  <c r="Y13" i="25"/>
  <c r="F20" i="74"/>
  <c r="F19" i="74"/>
  <c r="R20" i="74"/>
  <c r="R19" i="74" s="1"/>
  <c r="Z11" i="26"/>
  <c r="AD79" i="26"/>
  <c r="Q36" i="26"/>
  <c r="C64" i="26"/>
  <c r="I13" i="30"/>
  <c r="I12" i="30" s="1"/>
  <c r="I15" i="30"/>
  <c r="AD53" i="30"/>
  <c r="M17" i="75"/>
  <c r="M17" i="59"/>
  <c r="M15" i="33"/>
  <c r="Y17" i="75"/>
  <c r="Y15" i="33"/>
  <c r="Y17" i="59"/>
  <c r="Z10" i="33"/>
  <c r="H75" i="55"/>
  <c r="D86" i="55"/>
  <c r="H95" i="55"/>
  <c r="U92" i="80"/>
  <c r="R93" i="80" s="1"/>
  <c r="S20" i="74"/>
  <c r="L75" i="26"/>
  <c r="L20" i="25"/>
  <c r="H20" i="74"/>
  <c r="H19" i="74"/>
  <c r="T20" i="74"/>
  <c r="T19" i="74"/>
  <c r="V17" i="74"/>
  <c r="W17" i="74" s="1"/>
  <c r="X17" i="74" s="1"/>
  <c r="Y17" i="74" s="1"/>
  <c r="Z17" i="74" s="1"/>
  <c r="AA17" i="74" s="1"/>
  <c r="AB17" i="74" s="1"/>
  <c r="AC17" i="74" s="1"/>
  <c r="S35" i="26"/>
  <c r="E46" i="26"/>
  <c r="L27" i="49"/>
  <c r="X45" i="75"/>
  <c r="X37" i="59"/>
  <c r="E47" i="26"/>
  <c r="D125" i="55"/>
  <c r="M19" i="25"/>
  <c r="M14" i="75" s="1"/>
  <c r="U19" i="74"/>
  <c r="C51" i="26"/>
  <c r="C45" i="26" s="1"/>
  <c r="M12" i="30"/>
  <c r="AH36" i="26"/>
  <c r="AI19" i="26" s="1"/>
  <c r="N143" i="48"/>
  <c r="N115" i="48"/>
  <c r="H95" i="48" s="1"/>
  <c r="G80" i="55"/>
  <c r="K95" i="55"/>
  <c r="E111" i="55"/>
  <c r="E125" i="55"/>
  <c r="N20" i="25"/>
  <c r="O13" i="74"/>
  <c r="O20" i="74" s="1"/>
  <c r="O19" i="74" s="1"/>
  <c r="J26" i="26"/>
  <c r="AH33" i="26"/>
  <c r="R34" i="26"/>
  <c r="R16" i="26" s="1"/>
  <c r="R79" i="26" s="1"/>
  <c r="U35" i="26"/>
  <c r="U13" i="26"/>
  <c r="U83" i="26" s="1"/>
  <c r="N29" i="49"/>
  <c r="H80" i="55"/>
  <c r="O20" i="25"/>
  <c r="O19" i="25"/>
  <c r="G20" i="25"/>
  <c r="G19" i="25" s="1"/>
  <c r="K20" i="26"/>
  <c r="K80" i="26" s="1"/>
  <c r="K75" i="26" s="1"/>
  <c r="J83" i="26"/>
  <c r="D47" i="26"/>
  <c r="AJ13" i="26"/>
  <c r="I45" i="75"/>
  <c r="I37" i="59"/>
  <c r="I30" i="49"/>
  <c r="I80" i="55"/>
  <c r="I94" i="55"/>
  <c r="D20" i="25"/>
  <c r="D19" i="25"/>
  <c r="P20" i="25"/>
  <c r="P19" i="25"/>
  <c r="K20" i="25"/>
  <c r="L20" i="74"/>
  <c r="L19" i="74" s="1"/>
  <c r="M13" i="74"/>
  <c r="M20" i="74" s="1"/>
  <c r="M19" i="74" s="1"/>
  <c r="V16" i="74"/>
  <c r="W16" i="74" s="1"/>
  <c r="X16" i="74" s="1"/>
  <c r="Y16" i="74" s="1"/>
  <c r="Z16" i="74" s="1"/>
  <c r="AA16" i="74" s="1"/>
  <c r="AB16" i="74" s="1"/>
  <c r="AC16" i="74" s="1"/>
  <c r="W35" i="26"/>
  <c r="W13" i="26"/>
  <c r="W83" i="26" s="1"/>
  <c r="AC11" i="20"/>
  <c r="D19" i="74"/>
  <c r="P19" i="74"/>
  <c r="M29" i="49"/>
  <c r="M27" i="49"/>
  <c r="Y45" i="75"/>
  <c r="Y37" i="59"/>
  <c r="L30" i="59"/>
  <c r="E5" i="50" s="1"/>
  <c r="H50" i="20"/>
  <c r="H12" i="20" s="1"/>
  <c r="J13" i="30"/>
  <c r="J12" i="30" s="1"/>
  <c r="J15" i="30"/>
  <c r="O45" i="75"/>
  <c r="O37" i="59"/>
  <c r="O30" i="49"/>
  <c r="P29" i="49"/>
  <c r="P30" i="49" s="1"/>
  <c r="K45" i="75"/>
  <c r="K37" i="59"/>
  <c r="K38" i="59" s="1"/>
  <c r="G19" i="74"/>
  <c r="S19" i="74"/>
  <c r="X13" i="26"/>
  <c r="X83" i="26" s="1"/>
  <c r="X32" i="26"/>
  <c r="R96" i="26"/>
  <c r="V96" i="26"/>
  <c r="K48" i="20"/>
  <c r="D45" i="75"/>
  <c r="D46" i="75" s="1"/>
  <c r="D37" i="59"/>
  <c r="D30" i="49"/>
  <c r="P45" i="75"/>
  <c r="P46" i="75" s="1"/>
  <c r="P37" i="59"/>
  <c r="M32" i="26"/>
  <c r="AH32" i="26" s="1"/>
  <c r="O26" i="20"/>
  <c r="O30" i="30"/>
  <c r="O29" i="30" s="1"/>
  <c r="E45" i="75"/>
  <c r="E46" i="75" s="1"/>
  <c r="E48" i="75" s="1"/>
  <c r="E37" i="59"/>
  <c r="E30" i="49"/>
  <c r="Q45" i="75"/>
  <c r="Q46" i="75" s="1"/>
  <c r="Q37" i="59"/>
  <c r="Q30" i="49"/>
  <c r="U45" i="75"/>
  <c r="U37" i="59"/>
  <c r="U29" i="49"/>
  <c r="U30" i="49" s="1"/>
  <c r="AA13" i="33"/>
  <c r="Z13" i="33"/>
  <c r="Y13" i="33"/>
  <c r="X13" i="33"/>
  <c r="X96" i="26"/>
  <c r="AG96" i="26"/>
  <c r="P26" i="20"/>
  <c r="L15" i="30"/>
  <c r="M13" i="30"/>
  <c r="M15" i="30"/>
  <c r="F37" i="59"/>
  <c r="F38" i="59" s="1"/>
  <c r="F45" i="75"/>
  <c r="F46" i="75" s="1"/>
  <c r="F48" i="75" s="1"/>
  <c r="R45" i="75"/>
  <c r="R46" i="75" s="1"/>
  <c r="R48" i="75" s="1"/>
  <c r="R37" i="59"/>
  <c r="R38" i="59" s="1"/>
  <c r="C18" i="49"/>
  <c r="C19" i="49" s="1"/>
  <c r="F18" i="49"/>
  <c r="F19" i="49" s="1"/>
  <c r="W45" i="75"/>
  <c r="W37" i="59"/>
  <c r="W29" i="49"/>
  <c r="W30" i="49" s="1"/>
  <c r="I26" i="33"/>
  <c r="N52" i="59"/>
  <c r="N50" i="59"/>
  <c r="N26" i="59" s="1"/>
  <c r="J19" i="74"/>
  <c r="O32" i="26"/>
  <c r="C58" i="26"/>
  <c r="C53" i="26" s="1"/>
  <c r="I50" i="20"/>
  <c r="I12" i="20" s="1"/>
  <c r="W96" i="26"/>
  <c r="Q26" i="20"/>
  <c r="AM37" i="20"/>
  <c r="G37" i="59"/>
  <c r="G45" i="75"/>
  <c r="G46" i="75" s="1"/>
  <c r="G48" i="75" s="1"/>
  <c r="G30" i="49"/>
  <c r="S45" i="75"/>
  <c r="S46" i="75" s="1"/>
  <c r="S37" i="59"/>
  <c r="S29" i="49"/>
  <c r="S30" i="49" s="1"/>
  <c r="F99" i="59"/>
  <c r="AI13" i="33"/>
  <c r="AF13" i="33"/>
  <c r="K46" i="30"/>
  <c r="K12" i="30"/>
  <c r="H45" i="75"/>
  <c r="H46" i="75" s="1"/>
  <c r="H48" i="75" s="1"/>
  <c r="H30" i="49"/>
  <c r="H37" i="59"/>
  <c r="H38" i="59" s="1"/>
  <c r="H40" i="59" s="1"/>
  <c r="T45" i="75"/>
  <c r="T37" i="59"/>
  <c r="T38" i="59" s="1"/>
  <c r="T29" i="49"/>
  <c r="T30" i="49" s="1"/>
  <c r="K85" i="75"/>
  <c r="K87" i="75"/>
  <c r="AC13" i="26"/>
  <c r="AC96" i="26"/>
  <c r="AA96" i="26"/>
  <c r="AO37" i="20"/>
  <c r="J17" i="59"/>
  <c r="J17" i="75"/>
  <c r="J15" i="33"/>
  <c r="V17" i="59"/>
  <c r="V15" i="33"/>
  <c r="V17" i="75"/>
  <c r="AB96" i="26"/>
  <c r="R27" i="20"/>
  <c r="M46" i="30"/>
  <c r="Y46" i="30"/>
  <c r="C6" i="35" s="1"/>
  <c r="D8" i="55" s="1"/>
  <c r="AD51" i="30"/>
  <c r="N13" i="30"/>
  <c r="N15" i="30"/>
  <c r="J29" i="49"/>
  <c r="J27" i="49"/>
  <c r="V45" i="75"/>
  <c r="V37" i="59"/>
  <c r="V29" i="49"/>
  <c r="V30" i="49"/>
  <c r="L12" i="49"/>
  <c r="D18" i="49" s="1"/>
  <c r="D19" i="49" s="1"/>
  <c r="X12" i="49"/>
  <c r="X29" i="49" s="1"/>
  <c r="X30" i="49" s="1"/>
  <c r="AE96" i="26"/>
  <c r="I27" i="20"/>
  <c r="U27" i="20"/>
  <c r="U26" i="20"/>
  <c r="AE38" i="20"/>
  <c r="N46" i="30"/>
  <c r="N12" i="30"/>
  <c r="K29" i="49"/>
  <c r="K30" i="49" s="1"/>
  <c r="M12" i="49"/>
  <c r="D134" i="75"/>
  <c r="D131" i="75"/>
  <c r="D132" i="75" s="1"/>
  <c r="D99" i="59"/>
  <c r="D96" i="59"/>
  <c r="D97" i="59" s="1"/>
  <c r="L17" i="75"/>
  <c r="E25" i="33"/>
  <c r="L15" i="33"/>
  <c r="L17" i="59"/>
  <c r="X15" i="33"/>
  <c r="X17" i="75"/>
  <c r="X17" i="59"/>
  <c r="E22" i="33"/>
  <c r="H12" i="30"/>
  <c r="K17" i="59"/>
  <c r="K17" i="75"/>
  <c r="W17" i="59"/>
  <c r="W17" i="75"/>
  <c r="O17" i="59"/>
  <c r="I38" i="59"/>
  <c r="O50" i="59"/>
  <c r="O26" i="59" s="1"/>
  <c r="O52" i="59"/>
  <c r="F12" i="49"/>
  <c r="F29" i="49" s="1"/>
  <c r="F30" i="49" s="1"/>
  <c r="R12" i="49"/>
  <c r="R29" i="49" s="1"/>
  <c r="R30" i="49" s="1"/>
  <c r="G29" i="49"/>
  <c r="N17" i="75"/>
  <c r="N15" i="33"/>
  <c r="T15" i="33"/>
  <c r="C25" i="33"/>
  <c r="R50" i="59"/>
  <c r="R26" i="59" s="1"/>
  <c r="F96" i="59"/>
  <c r="F97" i="59" s="1"/>
  <c r="AD130" i="48"/>
  <c r="AE130" i="48" s="1"/>
  <c r="AC24" i="48"/>
  <c r="S26" i="20"/>
  <c r="L12" i="30"/>
  <c r="N27" i="49"/>
  <c r="H29" i="49"/>
  <c r="E15" i="33"/>
  <c r="U15" i="33"/>
  <c r="G22" i="33"/>
  <c r="D25" i="33"/>
  <c r="S52" i="59"/>
  <c r="AA70" i="59"/>
  <c r="V76" i="59" s="1"/>
  <c r="AA69" i="59"/>
  <c r="AA71" i="59" s="1"/>
  <c r="I119" i="48"/>
  <c r="I137" i="48" s="1"/>
  <c r="I124" i="48"/>
  <c r="J142" i="48" s="1"/>
  <c r="I138" i="48"/>
  <c r="U119" i="48"/>
  <c r="U128" i="48" s="1"/>
  <c r="U124" i="48"/>
  <c r="U114" i="48" s="1"/>
  <c r="M139" i="48"/>
  <c r="M119" i="48"/>
  <c r="M128" i="48" s="1"/>
  <c r="R140" i="48"/>
  <c r="Q140" i="48"/>
  <c r="Q119" i="48"/>
  <c r="E134" i="75"/>
  <c r="E131" i="75"/>
  <c r="E132" i="75" s="1"/>
  <c r="P17" i="75"/>
  <c r="E99" i="59"/>
  <c r="E96" i="59"/>
  <c r="E97" i="59" s="1"/>
  <c r="P15" i="33"/>
  <c r="F26" i="33"/>
  <c r="P52" i="59"/>
  <c r="W50" i="59"/>
  <c r="W26" i="59" s="1"/>
  <c r="K50" i="59"/>
  <c r="K26" i="59" s="1"/>
  <c r="K64" i="59" s="1"/>
  <c r="X52" i="59"/>
  <c r="L52" i="59"/>
  <c r="J50" i="59"/>
  <c r="J26" i="59" s="1"/>
  <c r="J64" i="59" s="1"/>
  <c r="V52" i="59"/>
  <c r="J52" i="59"/>
  <c r="T52" i="59"/>
  <c r="Q17" i="75"/>
  <c r="Q17" i="59"/>
  <c r="W15" i="33"/>
  <c r="D64" i="59"/>
  <c r="O38" i="59"/>
  <c r="S50" i="59"/>
  <c r="S26" i="59" s="1"/>
  <c r="V26" i="20"/>
  <c r="H27" i="20"/>
  <c r="F17" i="59"/>
  <c r="F17" i="75"/>
  <c r="R17" i="75"/>
  <c r="R17" i="59"/>
  <c r="D98" i="59"/>
  <c r="D102" i="59" s="1"/>
  <c r="D17" i="59"/>
  <c r="D38" i="59"/>
  <c r="P38" i="59"/>
  <c r="T50" i="59"/>
  <c r="T26" i="59" s="1"/>
  <c r="G64" i="59"/>
  <c r="J28" i="75"/>
  <c r="I46" i="75"/>
  <c r="G15" i="33"/>
  <c r="S15" i="33"/>
  <c r="S17" i="75"/>
  <c r="G17" i="59"/>
  <c r="E38" i="59"/>
  <c r="E40" i="59" s="1"/>
  <c r="Q38" i="59"/>
  <c r="U50" i="59"/>
  <c r="U26" i="59" s="1"/>
  <c r="X26" i="20"/>
  <c r="H17" i="59"/>
  <c r="H17" i="75"/>
  <c r="F134" i="75"/>
  <c r="F131" i="75"/>
  <c r="F132" i="75" s="1"/>
  <c r="T17" i="75"/>
  <c r="T17" i="59"/>
  <c r="K15" i="33"/>
  <c r="I64" i="59"/>
  <c r="I17" i="75"/>
  <c r="I17" i="59"/>
  <c r="U17" i="75"/>
  <c r="U17" i="59"/>
  <c r="G38" i="59"/>
  <c r="G40" i="59" s="1"/>
  <c r="S38" i="59"/>
  <c r="S40" i="59" s="1"/>
  <c r="M50" i="59"/>
  <c r="M26" i="59" s="1"/>
  <c r="M52" i="59"/>
  <c r="Y50" i="59"/>
  <c r="Y52" i="59"/>
  <c r="X104" i="75"/>
  <c r="X106" i="75" s="1"/>
  <c r="X105" i="75"/>
  <c r="J32" i="48"/>
  <c r="J64" i="48" s="1"/>
  <c r="J71" i="48" s="1"/>
  <c r="I64" i="48"/>
  <c r="I71" i="48" s="1"/>
  <c r="T46" i="75"/>
  <c r="O143" i="48"/>
  <c r="V50" i="59"/>
  <c r="V26" i="59" s="1"/>
  <c r="R116" i="48"/>
  <c r="Q17" i="40"/>
  <c r="Q15" i="40"/>
  <c r="K46" i="75"/>
  <c r="L50" i="59"/>
  <c r="L26" i="59" s="1"/>
  <c r="L64" i="59" s="1"/>
  <c r="H99" i="75"/>
  <c r="Q45" i="38"/>
  <c r="I99" i="75"/>
  <c r="G38" i="75"/>
  <c r="G99" i="75"/>
  <c r="T34" i="75"/>
  <c r="T24" i="75"/>
  <c r="I31" i="48"/>
  <c r="Y128" i="48"/>
  <c r="Z128" i="48" s="1"/>
  <c r="AA128" i="48" s="1"/>
  <c r="AB128" i="48" s="1"/>
  <c r="AC128" i="48" s="1"/>
  <c r="AD128" i="48" s="1"/>
  <c r="AE128" i="48" s="1"/>
  <c r="AF128" i="48" s="1"/>
  <c r="AG128" i="48" s="1"/>
  <c r="AG21" i="48" s="1"/>
  <c r="O28" i="48"/>
  <c r="O129" i="48"/>
  <c r="Q27" i="48"/>
  <c r="Q9" i="48"/>
  <c r="D30" i="59"/>
  <c r="Q52" i="59"/>
  <c r="O46" i="75"/>
  <c r="S114" i="48"/>
  <c r="R52" i="59"/>
  <c r="L99" i="75"/>
  <c r="L24" i="75"/>
  <c r="L28" i="75" s="1"/>
  <c r="L116" i="48"/>
  <c r="H34" i="48"/>
  <c r="P19" i="48"/>
  <c r="P26" i="48" s="1"/>
  <c r="E133" i="75"/>
  <c r="E137" i="75" s="1"/>
  <c r="I34" i="75"/>
  <c r="I24" i="75"/>
  <c r="I28" i="75" s="1"/>
  <c r="U34" i="75"/>
  <c r="U24" i="75"/>
  <c r="S21" i="78"/>
  <c r="S14" i="78"/>
  <c r="L10" i="50" s="1"/>
  <c r="AB23" i="78"/>
  <c r="AC23" i="78" s="1"/>
  <c r="AD23" i="78" s="1"/>
  <c r="AE23" i="78" s="1"/>
  <c r="AF23" i="78" s="1"/>
  <c r="AG23" i="78" s="1"/>
  <c r="Y116" i="48"/>
  <c r="Z116" i="48" s="1"/>
  <c r="AA116" i="48" s="1"/>
  <c r="AB116" i="48" s="1"/>
  <c r="AC116" i="48" s="1"/>
  <c r="AD116" i="48" s="1"/>
  <c r="AE116" i="48" s="1"/>
  <c r="AF116" i="48" s="1"/>
  <c r="AG116" i="48" s="1"/>
  <c r="Q19" i="48"/>
  <c r="N24" i="75"/>
  <c r="O34" i="75"/>
  <c r="O24" i="75"/>
  <c r="J34" i="75"/>
  <c r="J99" i="75" s="1"/>
  <c r="J24" i="75"/>
  <c r="W85" i="75"/>
  <c r="V34" i="75"/>
  <c r="V24" i="75"/>
  <c r="R27" i="48"/>
  <c r="Q114" i="48"/>
  <c r="Q28" i="48"/>
  <c r="I33" i="48"/>
  <c r="P115" i="48"/>
  <c r="F19" i="48"/>
  <c r="R19" i="48"/>
  <c r="L16" i="38"/>
  <c r="S17" i="38"/>
  <c r="J27" i="76"/>
  <c r="I27" i="76"/>
  <c r="R9" i="48"/>
  <c r="V28" i="48"/>
  <c r="K138" i="48"/>
  <c r="K124" i="48"/>
  <c r="K142" i="48" s="1"/>
  <c r="Z25" i="48"/>
  <c r="D22" i="35" s="1"/>
  <c r="E24" i="55" s="1"/>
  <c r="AF25" i="48"/>
  <c r="J22" i="35" s="1"/>
  <c r="K24" i="55" s="1"/>
  <c r="K88" i="55" s="1"/>
  <c r="AD25" i="48"/>
  <c r="H22" i="35" s="1"/>
  <c r="I24" i="55" s="1"/>
  <c r="AC25" i="48"/>
  <c r="G22" i="35" s="1"/>
  <c r="H24" i="55" s="1"/>
  <c r="AD52" i="70"/>
  <c r="AD20" i="70" s="1"/>
  <c r="AD27" i="70" s="1"/>
  <c r="G6" i="71" s="1"/>
  <c r="AD18" i="70"/>
  <c r="AD26" i="70" s="1"/>
  <c r="G5" i="71" s="1"/>
  <c r="AF46" i="70"/>
  <c r="AE46" i="70"/>
  <c r="AC48" i="70"/>
  <c r="AB48" i="70"/>
  <c r="Z51" i="70"/>
  <c r="Z16" i="70"/>
  <c r="Z25" i="70" s="1"/>
  <c r="C4" i="71" s="1"/>
  <c r="S85" i="75"/>
  <c r="L87" i="75"/>
  <c r="S26" i="48"/>
  <c r="S129" i="48"/>
  <c r="Y28" i="48"/>
  <c r="H33" i="48"/>
  <c r="J114" i="48"/>
  <c r="Q116" i="48"/>
  <c r="N119" i="48"/>
  <c r="N137" i="48" s="1"/>
  <c r="P139" i="48"/>
  <c r="R143" i="48"/>
  <c r="H114" i="48"/>
  <c r="H28" i="48"/>
  <c r="G32" i="48"/>
  <c r="G64" i="48" s="1"/>
  <c r="G71" i="48" s="1"/>
  <c r="G94" i="48" s="1"/>
  <c r="T114" i="48"/>
  <c r="T28" i="48"/>
  <c r="H129" i="48"/>
  <c r="T129" i="48"/>
  <c r="G27" i="48"/>
  <c r="M114" i="48"/>
  <c r="N87" i="75"/>
  <c r="V9" i="48"/>
  <c r="V26" i="48" s="1"/>
  <c r="G33" i="48"/>
  <c r="G65" i="48" s="1"/>
  <c r="G72" i="48" s="1"/>
  <c r="I95" i="48" s="1"/>
  <c r="U131" i="48"/>
  <c r="S119" i="48"/>
  <c r="P34" i="38"/>
  <c r="T14" i="78"/>
  <c r="M10" i="50" s="1"/>
  <c r="F9" i="48"/>
  <c r="Y9" i="48"/>
  <c r="K9" i="48"/>
  <c r="W9" i="48"/>
  <c r="G19" i="48"/>
  <c r="G26" i="48" s="1"/>
  <c r="W19" i="48"/>
  <c r="K128" i="48"/>
  <c r="V129" i="48"/>
  <c r="K27" i="48"/>
  <c r="O138" i="48"/>
  <c r="O119" i="48"/>
  <c r="O137" i="48" s="1"/>
  <c r="P138" i="48"/>
  <c r="J144" i="48"/>
  <c r="L9" i="48"/>
  <c r="H31" i="48"/>
  <c r="L27" i="48"/>
  <c r="X9" i="48"/>
  <c r="X26" i="48" s="1"/>
  <c r="X27" i="48"/>
  <c r="K28" i="48"/>
  <c r="W28" i="48"/>
  <c r="W114" i="48"/>
  <c r="W119" i="48"/>
  <c r="W128" i="48" s="1"/>
  <c r="M112" i="48"/>
  <c r="Y112" i="48"/>
  <c r="Z112" i="48" s="1"/>
  <c r="AA112" i="48" s="1"/>
  <c r="AB112" i="48" s="1"/>
  <c r="AC112" i="48" s="1"/>
  <c r="AD112" i="48" s="1"/>
  <c r="AE112" i="48" s="1"/>
  <c r="AF112" i="48" s="1"/>
  <c r="AG112" i="48" s="1"/>
  <c r="G31" i="48"/>
  <c r="G63" i="48" s="1"/>
  <c r="G70" i="48" s="1"/>
  <c r="G93" i="48" s="1"/>
  <c r="L143" i="48"/>
  <c r="K143" i="48"/>
  <c r="H139" i="48"/>
  <c r="P28" i="38"/>
  <c r="R37" i="38"/>
  <c r="N9" i="48"/>
  <c r="N26" i="48" s="1"/>
  <c r="W112" i="48"/>
  <c r="Y114" i="48"/>
  <c r="Z114" i="48" s="1"/>
  <c r="AA114" i="48" s="1"/>
  <c r="AB114" i="48" s="1"/>
  <c r="AC114" i="48" s="1"/>
  <c r="AD114" i="48" s="1"/>
  <c r="AE114" i="48" s="1"/>
  <c r="AF114" i="48" s="1"/>
  <c r="AG114" i="48" s="1"/>
  <c r="F124" i="48"/>
  <c r="G142" i="48" s="1"/>
  <c r="F119" i="48"/>
  <c r="F128" i="48" s="1"/>
  <c r="R138" i="48"/>
  <c r="R124" i="48"/>
  <c r="R142" i="48" s="1"/>
  <c r="R119" i="48"/>
  <c r="R112" i="48" s="1"/>
  <c r="J119" i="48"/>
  <c r="J139" i="48"/>
  <c r="M22" i="38"/>
  <c r="N22" i="38" s="1"/>
  <c r="S29" i="38"/>
  <c r="O28" i="38"/>
  <c r="Y14" i="78"/>
  <c r="M9" i="48"/>
  <c r="AA10" i="48"/>
  <c r="N28" i="48"/>
  <c r="K19" i="48"/>
  <c r="O19" i="48"/>
  <c r="N130" i="48"/>
  <c r="Z24" i="48"/>
  <c r="AA25" i="48"/>
  <c r="E22" i="35" s="1"/>
  <c r="F24" i="55" s="1"/>
  <c r="X112" i="48"/>
  <c r="G138" i="48"/>
  <c r="S138" i="48"/>
  <c r="P142" i="48"/>
  <c r="AB24" i="48"/>
  <c r="AA24" i="48"/>
  <c r="O23" i="38"/>
  <c r="N23" i="38"/>
  <c r="K56" i="38"/>
  <c r="M48" i="38"/>
  <c r="T15" i="40"/>
  <c r="T17" i="40"/>
  <c r="Q131" i="48"/>
  <c r="K139" i="48"/>
  <c r="G141" i="48"/>
  <c r="S141" i="48"/>
  <c r="G144" i="48"/>
  <c r="S144" i="48"/>
  <c r="AC18" i="70"/>
  <c r="AC26" i="70" s="1"/>
  <c r="F5" i="71" s="1"/>
  <c r="M23" i="38"/>
  <c r="Q39" i="38"/>
  <c r="R39" i="38" s="1"/>
  <c r="J16" i="40"/>
  <c r="K14" i="40"/>
  <c r="K15" i="40" s="1"/>
  <c r="I32" i="76"/>
  <c r="J32" i="76" s="1"/>
  <c r="L32" i="76" s="1"/>
  <c r="F131" i="48"/>
  <c r="R131" i="48"/>
  <c r="H32" i="48"/>
  <c r="L114" i="48"/>
  <c r="P119" i="48"/>
  <c r="P112" i="48" s="1"/>
  <c r="L139" i="48"/>
  <c r="P140" i="48"/>
  <c r="X124" i="48"/>
  <c r="X114" i="48" s="1"/>
  <c r="H144" i="48"/>
  <c r="X128" i="48"/>
  <c r="P39" i="38"/>
  <c r="J67" i="38"/>
  <c r="N56" i="38"/>
  <c r="P48" i="38"/>
  <c r="J15" i="40"/>
  <c r="J14" i="40"/>
  <c r="K16" i="40"/>
  <c r="L14" i="40"/>
  <c r="L17" i="40"/>
  <c r="J28" i="76"/>
  <c r="I28" i="76"/>
  <c r="M24" i="38"/>
  <c r="S25" i="38"/>
  <c r="J56" i="38"/>
  <c r="K69" i="38"/>
  <c r="K66" i="38"/>
  <c r="L16" i="40"/>
  <c r="M17" i="40"/>
  <c r="L38" i="76"/>
  <c r="K38" i="76"/>
  <c r="M38" i="76" s="1"/>
  <c r="H9" i="48"/>
  <c r="H26" i="48" s="1"/>
  <c r="T9" i="48"/>
  <c r="T26" i="48" s="1"/>
  <c r="J138" i="48"/>
  <c r="N139" i="48"/>
  <c r="J141" i="48"/>
  <c r="N124" i="48"/>
  <c r="N142" i="48" s="1"/>
  <c r="AA49" i="70"/>
  <c r="P30" i="38"/>
  <c r="P36" i="38"/>
  <c r="L15" i="40"/>
  <c r="M16" i="40"/>
  <c r="N17" i="40"/>
  <c r="K21" i="21"/>
  <c r="C14" i="76"/>
  <c r="D13" i="76"/>
  <c r="Q41" i="38"/>
  <c r="L56" i="38"/>
  <c r="I69" i="38"/>
  <c r="I66" i="38"/>
  <c r="I30" i="76"/>
  <c r="J30" i="76" s="1"/>
  <c r="I21" i="21"/>
  <c r="L138" i="48"/>
  <c r="H140" i="48"/>
  <c r="L141" i="48"/>
  <c r="H143" i="48"/>
  <c r="L144" i="48"/>
  <c r="AF16" i="70"/>
  <c r="AF25" i="70" s="1"/>
  <c r="I4" i="71" s="1"/>
  <c r="AF51" i="70"/>
  <c r="N15" i="40"/>
  <c r="O14" i="40"/>
  <c r="O16" i="40"/>
  <c r="P14" i="40"/>
  <c r="P16" i="40" s="1"/>
  <c r="M138" i="48"/>
  <c r="Q139" i="48"/>
  <c r="I143" i="48"/>
  <c r="J70" i="38"/>
  <c r="S17" i="40"/>
  <c r="P27" i="48"/>
  <c r="H138" i="48"/>
  <c r="M15" i="38"/>
  <c r="P32" i="38"/>
  <c r="Q43" i="38"/>
  <c r="K70" i="38"/>
  <c r="P15" i="40"/>
  <c r="Q16" i="40"/>
  <c r="J31" i="76"/>
  <c r="J36" i="76"/>
  <c r="L37" i="76" s="1"/>
  <c r="Q27" i="38"/>
  <c r="G29" i="76"/>
  <c r="H29" i="76" s="1"/>
  <c r="L119" i="48"/>
  <c r="L137" i="48" s="1"/>
  <c r="L140" i="48"/>
  <c r="P144" i="48"/>
  <c r="AB51" i="70"/>
  <c r="J55" i="38"/>
  <c r="N14" i="40"/>
  <c r="N16" i="40" s="1"/>
  <c r="J39" i="76"/>
  <c r="M16" i="5"/>
  <c r="O3" i="21"/>
  <c r="E5" i="21"/>
  <c r="E12" i="21"/>
  <c r="E9" i="21"/>
  <c r="E7" i="21"/>
  <c r="E3" i="21"/>
  <c r="W3" i="21" s="1"/>
  <c r="E10" i="21"/>
  <c r="O39" i="26" s="1"/>
  <c r="E11" i="21"/>
  <c r="W11" i="21" s="1"/>
  <c r="O48" i="38"/>
  <c r="Q17" i="6"/>
  <c r="V16" i="6"/>
  <c r="T40" i="38"/>
  <c r="G42" i="76"/>
  <c r="H41" i="76"/>
  <c r="D46" i="76"/>
  <c r="G33" i="76" s="1"/>
  <c r="H33" i="76" s="1"/>
  <c r="B47" i="76"/>
  <c r="V3" i="21"/>
  <c r="F10" i="5"/>
  <c r="V5" i="21" s="1"/>
  <c r="AF24" i="59" s="1"/>
  <c r="N36" i="21"/>
  <c r="M36" i="21"/>
  <c r="L36" i="21"/>
  <c r="K36" i="21"/>
  <c r="V36" i="21"/>
  <c r="U36" i="21"/>
  <c r="T36" i="21"/>
  <c r="S36" i="21"/>
  <c r="R36" i="21"/>
  <c r="P36" i="21"/>
  <c r="J18" i="21"/>
  <c r="N19" i="21"/>
  <c r="T3" i="21"/>
  <c r="S3" i="21"/>
  <c r="R3" i="21"/>
  <c r="F9" i="5"/>
  <c r="F77" i="21"/>
  <c r="W10" i="21"/>
  <c r="I19" i="21"/>
  <c r="S37" i="30" s="1"/>
  <c r="Q3" i="21"/>
  <c r="F8" i="5"/>
  <c r="Q38" i="21"/>
  <c r="P38" i="21"/>
  <c r="O38" i="21"/>
  <c r="N38" i="21"/>
  <c r="M38" i="21"/>
  <c r="V38" i="21"/>
  <c r="U38" i="21"/>
  <c r="S38" i="21"/>
  <c r="P29" i="21"/>
  <c r="D29" i="21"/>
  <c r="D28" i="21" s="1"/>
  <c r="K19" i="21"/>
  <c r="U37" i="30" s="1"/>
  <c r="T38" i="21"/>
  <c r="O56" i="38"/>
  <c r="T16" i="40"/>
  <c r="K48" i="21"/>
  <c r="V48" i="21"/>
  <c r="J48" i="21"/>
  <c r="U48" i="21"/>
  <c r="I48" i="21"/>
  <c r="T48" i="21"/>
  <c r="H48" i="21"/>
  <c r="S48" i="21"/>
  <c r="G48" i="21"/>
  <c r="G47" i="21" s="1"/>
  <c r="R48" i="21"/>
  <c r="F48" i="21"/>
  <c r="F47" i="21" s="1"/>
  <c r="P85" i="26" s="1"/>
  <c r="Q48" i="21"/>
  <c r="E48" i="21"/>
  <c r="E47" i="21" s="1"/>
  <c r="O85" i="26" s="1"/>
  <c r="P48" i="21"/>
  <c r="D48" i="21"/>
  <c r="D47" i="21" s="1"/>
  <c r="N85" i="26" s="1"/>
  <c r="O48" i="21"/>
  <c r="M48" i="21"/>
  <c r="K3" i="21"/>
  <c r="J3" i="21"/>
  <c r="F7" i="5"/>
  <c r="M3" i="21"/>
  <c r="U4" i="21"/>
  <c r="AE25" i="59" s="1"/>
  <c r="AE30" i="59" s="1"/>
  <c r="I16" i="35" s="1"/>
  <c r="J18" i="55" s="1"/>
  <c r="T4" i="21"/>
  <c r="AD25" i="59" s="1"/>
  <c r="AD30" i="59" s="1"/>
  <c r="H16" i="35" s="1"/>
  <c r="I18" i="55" s="1"/>
  <c r="R4" i="21"/>
  <c r="C78" i="21"/>
  <c r="I20" i="21"/>
  <c r="S38" i="30" s="1"/>
  <c r="U39" i="21"/>
  <c r="N48" i="21"/>
  <c r="M16" i="38"/>
  <c r="N16" i="38" s="1"/>
  <c r="M21" i="38"/>
  <c r="N21" i="38" s="1"/>
  <c r="N24" i="38"/>
  <c r="O24" i="38" s="1"/>
  <c r="P37" i="38"/>
  <c r="H3" i="21"/>
  <c r="G3" i="21"/>
  <c r="F3" i="21"/>
  <c r="F6" i="5"/>
  <c r="N4" i="21"/>
  <c r="P4" i="21"/>
  <c r="I3" i="21"/>
  <c r="U3" i="21"/>
  <c r="H8" i="21"/>
  <c r="C82" i="21"/>
  <c r="K20" i="21"/>
  <c r="U38" i="30" s="1"/>
  <c r="AD75" i="30" s="1"/>
  <c r="AC16" i="70"/>
  <c r="AC25" i="70" s="1"/>
  <c r="F4" i="71" s="1"/>
  <c r="L11" i="38"/>
  <c r="N11" i="38" s="1"/>
  <c r="K17" i="40"/>
  <c r="M4" i="21"/>
  <c r="L4" i="21"/>
  <c r="K4" i="21"/>
  <c r="J4" i="21"/>
  <c r="Q6" i="21"/>
  <c r="AA45" i="30" s="1"/>
  <c r="E7" i="35" s="1"/>
  <c r="F9" i="55" s="1"/>
  <c r="P6" i="21"/>
  <c r="Z45" i="30" s="1"/>
  <c r="D7" i="35" s="1"/>
  <c r="E9" i="55" s="1"/>
  <c r="P24" i="21"/>
  <c r="O6" i="21"/>
  <c r="Y45" i="30" s="1"/>
  <c r="O24" i="21"/>
  <c r="N6" i="21"/>
  <c r="N24" i="21"/>
  <c r="N23" i="21"/>
  <c r="X41" i="30" s="1"/>
  <c r="X24" i="30" s="1"/>
  <c r="C16" i="5"/>
  <c r="C79" i="21"/>
  <c r="Q41" i="21"/>
  <c r="R41" i="21"/>
  <c r="D5" i="21"/>
  <c r="C5" i="21"/>
  <c r="F16" i="5"/>
  <c r="I4" i="21"/>
  <c r="H4" i="21"/>
  <c r="F4" i="21"/>
  <c r="L23" i="21"/>
  <c r="V41" i="30" s="1"/>
  <c r="V24" i="30" s="1"/>
  <c r="K23" i="21"/>
  <c r="U41" i="30" s="1"/>
  <c r="L18" i="21"/>
  <c r="M6" i="21"/>
  <c r="M19" i="21" s="1"/>
  <c r="W37" i="30" s="1"/>
  <c r="W20" i="30" s="1"/>
  <c r="L20" i="21"/>
  <c r="V38" i="30" s="1"/>
  <c r="K18" i="21"/>
  <c r="L6" i="21"/>
  <c r="L24" i="21" s="1"/>
  <c r="K24" i="21"/>
  <c r="J20" i="21"/>
  <c r="T38" i="30" s="1"/>
  <c r="J6" i="21"/>
  <c r="J23" i="21" s="1"/>
  <c r="T41" i="30" s="1"/>
  <c r="T24" i="30" s="1"/>
  <c r="O4" i="21"/>
  <c r="G76" i="21"/>
  <c r="K29" i="21"/>
  <c r="T41" i="21"/>
  <c r="T49" i="21"/>
  <c r="I40" i="76"/>
  <c r="J40" i="76" s="1"/>
  <c r="I24" i="21"/>
  <c r="H6" i="21"/>
  <c r="H19" i="21" s="1"/>
  <c r="R37" i="30" s="1"/>
  <c r="G19" i="21"/>
  <c r="Q37" i="30" s="1"/>
  <c r="F18" i="21"/>
  <c r="G6" i="21"/>
  <c r="G24" i="21"/>
  <c r="F19" i="21"/>
  <c r="P37" i="30" s="1"/>
  <c r="F6" i="21"/>
  <c r="F20" i="21" s="1"/>
  <c r="P38" i="30" s="1"/>
  <c r="F24" i="21"/>
  <c r="I23" i="21"/>
  <c r="S41" i="30" s="1"/>
  <c r="S24" i="30" s="1"/>
  <c r="S15" i="30" s="1"/>
  <c r="F23" i="21"/>
  <c r="P41" i="30" s="1"/>
  <c r="P24" i="30" s="1"/>
  <c r="P13" i="30" s="1"/>
  <c r="P12" i="30" s="1"/>
  <c r="I18" i="21"/>
  <c r="E6" i="21"/>
  <c r="Q4" i="21"/>
  <c r="G82" i="21"/>
  <c r="H16" i="5"/>
  <c r="D7" i="21"/>
  <c r="C7" i="21"/>
  <c r="S4" i="21"/>
  <c r="O36" i="21"/>
  <c r="E5" i="5"/>
  <c r="E4" i="21" s="1"/>
  <c r="M7" i="21"/>
  <c r="L13" i="21"/>
  <c r="L14" i="21" s="1"/>
  <c r="C14" i="21"/>
  <c r="J19" i="21"/>
  <c r="T37" i="30" s="1"/>
  <c r="M29" i="21"/>
  <c r="N31" i="21"/>
  <c r="J32" i="21"/>
  <c r="V32" i="21"/>
  <c r="S33" i="21"/>
  <c r="Q34" i="21"/>
  <c r="P35" i="21"/>
  <c r="Q37" i="21"/>
  <c r="V39" i="21"/>
  <c r="S41" i="21"/>
  <c r="T43" i="21"/>
  <c r="V51" i="21"/>
  <c r="C80" i="21"/>
  <c r="O7" i="21"/>
  <c r="W12" i="21"/>
  <c r="N13" i="21"/>
  <c r="L19" i="21"/>
  <c r="V37" i="30" s="1"/>
  <c r="V20" i="30" s="1"/>
  <c r="V13" i="30" s="1"/>
  <c r="V12" i="30" s="1"/>
  <c r="D23" i="21"/>
  <c r="N41" i="30" s="1"/>
  <c r="O29" i="21"/>
  <c r="P31" i="21"/>
  <c r="L32" i="21"/>
  <c r="I33" i="21"/>
  <c r="U33" i="21"/>
  <c r="S34" i="21"/>
  <c r="R35" i="21"/>
  <c r="S37" i="21"/>
  <c r="P40" i="21"/>
  <c r="U41" i="21"/>
  <c r="V43" i="21"/>
  <c r="Q40" i="21"/>
  <c r="D13" i="21"/>
  <c r="P13" i="21"/>
  <c r="P14" i="21" s="1"/>
  <c r="C21" i="21"/>
  <c r="M39" i="30" s="1"/>
  <c r="C24" i="21"/>
  <c r="M42" i="30" s="1"/>
  <c r="E29" i="21"/>
  <c r="Q29" i="21"/>
  <c r="F31" i="21"/>
  <c r="R31" i="21"/>
  <c r="N32" i="21"/>
  <c r="K33" i="21"/>
  <c r="I34" i="21"/>
  <c r="U34" i="21"/>
  <c r="T35" i="21"/>
  <c r="U37" i="21"/>
  <c r="N39" i="21"/>
  <c r="R40" i="21"/>
  <c r="Q42" i="21"/>
  <c r="T44" i="21"/>
  <c r="C76" i="21"/>
  <c r="F7" i="21"/>
  <c r="R7" i="21"/>
  <c r="G77" i="21" s="1"/>
  <c r="Q13" i="21"/>
  <c r="Q14" i="21" s="1"/>
  <c r="C19" i="21"/>
  <c r="M37" i="30" s="1"/>
  <c r="C20" i="21"/>
  <c r="M38" i="30" s="1"/>
  <c r="D21" i="21"/>
  <c r="D24" i="21"/>
  <c r="N42" i="30" s="1"/>
  <c r="F29" i="21"/>
  <c r="R29" i="21"/>
  <c r="G31" i="21"/>
  <c r="S31" i="21"/>
  <c r="O32" i="21"/>
  <c r="L33" i="21"/>
  <c r="J34" i="21"/>
  <c r="V34" i="21"/>
  <c r="U35" i="21"/>
  <c r="V37" i="21"/>
  <c r="O39" i="21"/>
  <c r="S40" i="21"/>
  <c r="R42" i="21"/>
  <c r="U44" i="21"/>
  <c r="G7" i="21"/>
  <c r="S7" i="21"/>
  <c r="F13" i="21"/>
  <c r="R13" i="21"/>
  <c r="D19" i="21"/>
  <c r="N37" i="30" s="1"/>
  <c r="D20" i="21"/>
  <c r="N38" i="30" s="1"/>
  <c r="G29" i="21"/>
  <c r="S29" i="21"/>
  <c r="H31" i="21"/>
  <c r="T31" i="21"/>
  <c r="P32" i="21"/>
  <c r="M33" i="21"/>
  <c r="K34" i="21"/>
  <c r="J35" i="21"/>
  <c r="V35" i="21"/>
  <c r="P39" i="21"/>
  <c r="T40" i="21"/>
  <c r="S42" i="21"/>
  <c r="H7" i="21"/>
  <c r="T7" i="21"/>
  <c r="G13" i="21"/>
  <c r="G14" i="21" s="1"/>
  <c r="S13" i="21"/>
  <c r="S14" i="21" s="1"/>
  <c r="D18" i="21"/>
  <c r="H29" i="21"/>
  <c r="T29" i="21"/>
  <c r="I31" i="21"/>
  <c r="U31" i="21"/>
  <c r="Q32" i="21"/>
  <c r="N33" i="21"/>
  <c r="L34" i="21"/>
  <c r="K35" i="21"/>
  <c r="L37" i="21"/>
  <c r="Q39" i="21"/>
  <c r="U40" i="21"/>
  <c r="T42" i="21"/>
  <c r="H13" i="21"/>
  <c r="H14" i="21" s="1"/>
  <c r="T13" i="21"/>
  <c r="T14" i="21" s="1"/>
  <c r="I29" i="21"/>
  <c r="U29" i="21"/>
  <c r="J31" i="21"/>
  <c r="V31" i="21"/>
  <c r="R32" i="21"/>
  <c r="O33" i="21"/>
  <c r="M34" i="21"/>
  <c r="L35" i="21"/>
  <c r="M37" i="21"/>
  <c r="R39" i="21"/>
  <c r="U42" i="21"/>
  <c r="D79" i="21"/>
  <c r="J7" i="21"/>
  <c r="E77" i="21" s="1"/>
  <c r="U13" i="21"/>
  <c r="U14" i="21" s="1"/>
  <c r="U15" i="21" s="1"/>
  <c r="J29" i="21"/>
  <c r="V29" i="21"/>
  <c r="K31" i="21"/>
  <c r="G32" i="21"/>
  <c r="S32" i="21"/>
  <c r="P33" i="21"/>
  <c r="N34" i="21"/>
  <c r="M35" i="21"/>
  <c r="N37" i="21"/>
  <c r="S39" i="21"/>
  <c r="P41" i="21"/>
  <c r="E79" i="21"/>
  <c r="J13" i="21"/>
  <c r="H32" i="21"/>
  <c r="T39" i="21"/>
  <c r="E94" i="55" l="1"/>
  <c r="AB16" i="70"/>
  <c r="AB25" i="70" s="1"/>
  <c r="E4" i="71" s="1"/>
  <c r="G30" i="55"/>
  <c r="AA14" i="70"/>
  <c r="AA24" i="70" s="1"/>
  <c r="D3" i="71" s="1"/>
  <c r="F29" i="55"/>
  <c r="N128" i="48"/>
  <c r="N112" i="48"/>
  <c r="H93" i="48" s="1"/>
  <c r="I93" i="48" s="1"/>
  <c r="J93" i="48" s="1"/>
  <c r="K93" i="48" s="1"/>
  <c r="L93" i="48" s="1"/>
  <c r="O26" i="48"/>
  <c r="N114" i="48"/>
  <c r="H94" i="48" s="1"/>
  <c r="I94" i="48" s="1"/>
  <c r="J94" i="48" s="1"/>
  <c r="K94" i="48" s="1"/>
  <c r="L94" i="48" s="1"/>
  <c r="L26" i="48"/>
  <c r="G137" i="48"/>
  <c r="G128" i="48"/>
  <c r="T128" i="48"/>
  <c r="AD24" i="48"/>
  <c r="H137" i="48"/>
  <c r="M26" i="48"/>
  <c r="V112" i="48"/>
  <c r="Q137" i="48"/>
  <c r="Z23" i="48"/>
  <c r="AA129" i="48"/>
  <c r="G95" i="48"/>
  <c r="Z21" i="48"/>
  <c r="Z27" i="48" s="1"/>
  <c r="J95" i="48"/>
  <c r="K95" i="48" s="1"/>
  <c r="L95" i="48" s="1"/>
  <c r="W26" i="48"/>
  <c r="L128" i="48"/>
  <c r="R114" i="48"/>
  <c r="G120" i="55"/>
  <c r="G88" i="55"/>
  <c r="R129" i="48"/>
  <c r="K129" i="48"/>
  <c r="I112" i="48"/>
  <c r="R26" i="48"/>
  <c r="R128" i="48"/>
  <c r="N129" i="48"/>
  <c r="O142" i="48"/>
  <c r="F129" i="48"/>
  <c r="J34" i="48"/>
  <c r="J66" i="48" s="1"/>
  <c r="J73" i="48" s="1"/>
  <c r="F102" i="55"/>
  <c r="F70" i="55"/>
  <c r="S98" i="75"/>
  <c r="S27" i="75"/>
  <c r="K30" i="76"/>
  <c r="T13" i="30"/>
  <c r="T12" i="30" s="1"/>
  <c r="T15" i="30"/>
  <c r="K49" i="20"/>
  <c r="K50" i="20" s="1"/>
  <c r="D2" i="50"/>
  <c r="M98" i="75"/>
  <c r="M27" i="75"/>
  <c r="K40" i="76"/>
  <c r="L40" i="76"/>
  <c r="O33" i="75"/>
  <c r="O38" i="75" s="1"/>
  <c r="O23" i="75"/>
  <c r="O28" i="75" s="1"/>
  <c r="O25" i="59"/>
  <c r="O30" i="59" s="1"/>
  <c r="H5" i="50" s="1"/>
  <c r="D72" i="55"/>
  <c r="D104" i="55"/>
  <c r="L45" i="75"/>
  <c r="L46" i="75" s="1"/>
  <c r="L48" i="75" s="1"/>
  <c r="L37" i="59"/>
  <c r="L38" i="59" s="1"/>
  <c r="L40" i="59" s="1"/>
  <c r="J14" i="59"/>
  <c r="J63" i="59" s="1"/>
  <c r="J62" i="59" s="1"/>
  <c r="J65" i="59" s="1"/>
  <c r="H98" i="75"/>
  <c r="H97" i="75" s="1"/>
  <c r="H100" i="75" s="1"/>
  <c r="H27" i="75"/>
  <c r="H26" i="75" s="1"/>
  <c r="H29" i="75" s="1"/>
  <c r="D83" i="21"/>
  <c r="F14" i="21"/>
  <c r="D77" i="21"/>
  <c r="M24" i="21"/>
  <c r="C75" i="21"/>
  <c r="M32" i="75"/>
  <c r="M24" i="59"/>
  <c r="C7" i="35"/>
  <c r="D9" i="55" s="1"/>
  <c r="R6" i="50"/>
  <c r="J114" i="55"/>
  <c r="J82" i="55"/>
  <c r="C25" i="21"/>
  <c r="M43" i="30" s="1"/>
  <c r="J15" i="35"/>
  <c r="K17" i="55" s="1"/>
  <c r="AH39" i="26"/>
  <c r="O17" i="26"/>
  <c r="AH17" i="26" s="1"/>
  <c r="N15" i="38"/>
  <c r="O15" i="40"/>
  <c r="O17" i="40"/>
  <c r="M25" i="38"/>
  <c r="O25" i="38" s="1"/>
  <c r="S26" i="38"/>
  <c r="M26" i="38" s="1"/>
  <c r="O26" i="38" s="1"/>
  <c r="J69" i="38"/>
  <c r="J66" i="38"/>
  <c r="H37" i="48"/>
  <c r="H64" i="48"/>
  <c r="H71" i="48" s="1"/>
  <c r="O128" i="48"/>
  <c r="X129" i="48"/>
  <c r="AB14" i="70"/>
  <c r="AB24" i="70" s="1"/>
  <c r="E3" i="71" s="1"/>
  <c r="G29" i="55"/>
  <c r="I37" i="48"/>
  <c r="M137" i="48"/>
  <c r="W48" i="20"/>
  <c r="P9" i="50"/>
  <c r="AD11" i="20"/>
  <c r="G4" i="35"/>
  <c r="H6" i="55" s="1"/>
  <c r="J25" i="26"/>
  <c r="AH25" i="26" s="1"/>
  <c r="AH26" i="26"/>
  <c r="AI12" i="26" s="1"/>
  <c r="L29" i="49"/>
  <c r="L30" i="49" s="1"/>
  <c r="L14" i="59"/>
  <c r="L63" i="59" s="1"/>
  <c r="L62" i="59" s="1"/>
  <c r="L65" i="59" s="1"/>
  <c r="Z13" i="25"/>
  <c r="Z11" i="25" s="1"/>
  <c r="Z19" i="25" s="1"/>
  <c r="J14" i="21"/>
  <c r="E83" i="21"/>
  <c r="H35" i="48"/>
  <c r="H63" i="48"/>
  <c r="H70" i="48" s="1"/>
  <c r="T15" i="21"/>
  <c r="AD38" i="26"/>
  <c r="AD35" i="26" s="1"/>
  <c r="T28" i="21"/>
  <c r="AD83" i="26" s="1"/>
  <c r="Q28" i="21"/>
  <c r="AA83" i="26" s="1"/>
  <c r="AA33" i="75"/>
  <c r="AA38" i="75" s="1"/>
  <c r="AA23" i="75"/>
  <c r="AA25" i="59"/>
  <c r="AA30" i="59" s="1"/>
  <c r="E73" i="55"/>
  <c r="E105" i="55"/>
  <c r="AF52" i="70"/>
  <c r="AF20" i="70" s="1"/>
  <c r="AF27" i="70" s="1"/>
  <c r="I6" i="71" s="1"/>
  <c r="AF18" i="70"/>
  <c r="AF26" i="70" s="1"/>
  <c r="I5" i="71" s="1"/>
  <c r="S137" i="48"/>
  <c r="S128" i="48"/>
  <c r="AE45" i="70"/>
  <c r="J29" i="55"/>
  <c r="J37" i="48"/>
  <c r="K32" i="48"/>
  <c r="K64" i="48" s="1"/>
  <c r="K71" i="48" s="1"/>
  <c r="Q40" i="59"/>
  <c r="K34" i="75"/>
  <c r="K99" i="75" s="1"/>
  <c r="K24" i="75"/>
  <c r="K28" i="75" s="1"/>
  <c r="E18" i="49"/>
  <c r="E19" i="49" s="1"/>
  <c r="E20" i="49" s="1"/>
  <c r="P14" i="59"/>
  <c r="P63" i="59" s="1"/>
  <c r="P14" i="75"/>
  <c r="N14" i="59"/>
  <c r="N63" i="59" s="1"/>
  <c r="N19" i="25"/>
  <c r="N14" i="75" s="1"/>
  <c r="H101" i="75"/>
  <c r="N25" i="21"/>
  <c r="X43" i="30" s="1"/>
  <c r="X37" i="30"/>
  <c r="X20" i="30" s="1"/>
  <c r="Z18" i="70"/>
  <c r="Z26" i="70" s="1"/>
  <c r="C5" i="71" s="1"/>
  <c r="Z52" i="70"/>
  <c r="E31" i="55"/>
  <c r="Q5" i="21"/>
  <c r="P5" i="21"/>
  <c r="O5" i="21"/>
  <c r="N5" i="21"/>
  <c r="I73" i="38"/>
  <c r="I71" i="38"/>
  <c r="F20" i="49"/>
  <c r="U14" i="59"/>
  <c r="U63" i="59" s="1"/>
  <c r="U14" i="75"/>
  <c r="V20" i="25"/>
  <c r="G21" i="21"/>
  <c r="Q45" i="30"/>
  <c r="V36" i="30"/>
  <c r="Q52" i="21"/>
  <c r="P52" i="21"/>
  <c r="O52" i="21"/>
  <c r="O47" i="21" s="1"/>
  <c r="Y85" i="26" s="1"/>
  <c r="Y75" i="26" s="1"/>
  <c r="N52" i="21"/>
  <c r="M52" i="21"/>
  <c r="L52" i="21"/>
  <c r="L47" i="21" s="1"/>
  <c r="V85" i="26" s="1"/>
  <c r="K52" i="21"/>
  <c r="D78" i="21"/>
  <c r="V52" i="21"/>
  <c r="J52" i="21"/>
  <c r="J47" i="21" s="1"/>
  <c r="T85" i="26" s="1"/>
  <c r="U52" i="21"/>
  <c r="U47" i="21" s="1"/>
  <c r="AE85" i="26" s="1"/>
  <c r="I52" i="21"/>
  <c r="I47" i="21" s="1"/>
  <c r="S85" i="26" s="1"/>
  <c r="S52" i="21"/>
  <c r="S47" i="21" s="1"/>
  <c r="AC85" i="26" s="1"/>
  <c r="T52" i="21"/>
  <c r="R52" i="21"/>
  <c r="R47" i="21" s="1"/>
  <c r="AB85" i="26" s="1"/>
  <c r="H52" i="21"/>
  <c r="M5" i="21"/>
  <c r="L5" i="21"/>
  <c r="K5" i="21"/>
  <c r="J5" i="21"/>
  <c r="E75" i="21" s="1"/>
  <c r="D47" i="76"/>
  <c r="B48" i="76"/>
  <c r="L31" i="76"/>
  <c r="H15" i="21"/>
  <c r="R38" i="26"/>
  <c r="R35" i="26" s="1"/>
  <c r="R28" i="21"/>
  <c r="AB83" i="26" s="1"/>
  <c r="C15" i="21"/>
  <c r="E18" i="21"/>
  <c r="E20" i="21"/>
  <c r="O38" i="30" s="1"/>
  <c r="E19" i="21"/>
  <c r="O37" i="30" s="1"/>
  <c r="E24" i="21"/>
  <c r="O42" i="30" s="1"/>
  <c r="E21" i="21"/>
  <c r="E23" i="21"/>
  <c r="O41" i="30" s="1"/>
  <c r="W6" i="21"/>
  <c r="O45" i="30"/>
  <c r="P36" i="30"/>
  <c r="M20" i="21"/>
  <c r="W38" i="30" s="1"/>
  <c r="Q24" i="21"/>
  <c r="H47" i="21"/>
  <c r="R85" i="26" s="1"/>
  <c r="P28" i="21"/>
  <c r="Z83" i="26" s="1"/>
  <c r="I33" i="76"/>
  <c r="J33" i="76" s="1"/>
  <c r="L33" i="76" s="1"/>
  <c r="Q30" i="21"/>
  <c r="E30" i="21"/>
  <c r="E28" i="21" s="1"/>
  <c r="P30" i="21"/>
  <c r="O30" i="21"/>
  <c r="N30" i="21"/>
  <c r="N28" i="21" s="1"/>
  <c r="M30" i="21"/>
  <c r="L30" i="21"/>
  <c r="L28" i="21" s="1"/>
  <c r="K30" i="21"/>
  <c r="K28" i="21" s="1"/>
  <c r="V30" i="21"/>
  <c r="V28" i="21" s="1"/>
  <c r="AF83" i="26" s="1"/>
  <c r="AG83" i="26" s="1"/>
  <c r="J30" i="21"/>
  <c r="U30" i="21"/>
  <c r="U28" i="21" s="1"/>
  <c r="AE83" i="26" s="1"/>
  <c r="I30" i="21"/>
  <c r="S30" i="21"/>
  <c r="G30" i="21"/>
  <c r="T30" i="21"/>
  <c r="R30" i="21"/>
  <c r="H30" i="21"/>
  <c r="H28" i="21" s="1"/>
  <c r="W9" i="21"/>
  <c r="F30" i="21"/>
  <c r="O37" i="26"/>
  <c r="O23" i="21"/>
  <c r="AF45" i="70"/>
  <c r="K29" i="55"/>
  <c r="S112" i="48"/>
  <c r="X85" i="75"/>
  <c r="W34" i="75"/>
  <c r="W24" i="75"/>
  <c r="Q128" i="48"/>
  <c r="Y104" i="75"/>
  <c r="Y106" i="75" s="1"/>
  <c r="Y105" i="75"/>
  <c r="AF130" i="48"/>
  <c r="AE24" i="48"/>
  <c r="I40" i="59"/>
  <c r="J45" i="75"/>
  <c r="J46" i="75" s="1"/>
  <c r="J48" i="75" s="1"/>
  <c r="J37" i="59"/>
  <c r="J38" i="59" s="1"/>
  <c r="J40" i="59" s="1"/>
  <c r="J30" i="49"/>
  <c r="H28" i="20"/>
  <c r="AG48" i="20"/>
  <c r="K3" i="35"/>
  <c r="L5" i="55" s="1"/>
  <c r="L101" i="55" s="1"/>
  <c r="V48" i="20"/>
  <c r="O9" i="50"/>
  <c r="O14" i="59"/>
  <c r="O63" i="59" s="1"/>
  <c r="O14" i="75"/>
  <c r="Z17" i="75"/>
  <c r="Z15" i="33"/>
  <c r="Z17" i="59"/>
  <c r="AA10" i="33"/>
  <c r="D12" i="35"/>
  <c r="E14" i="55" s="1"/>
  <c r="Z31" i="80"/>
  <c r="I14" i="59"/>
  <c r="I14" i="75"/>
  <c r="M78" i="26"/>
  <c r="M29" i="26"/>
  <c r="M15" i="26"/>
  <c r="N30" i="26"/>
  <c r="J28" i="21"/>
  <c r="I28" i="21"/>
  <c r="M28" i="21"/>
  <c r="Q85" i="26"/>
  <c r="M45" i="75"/>
  <c r="M46" i="75" s="1"/>
  <c r="M48" i="75" s="1"/>
  <c r="M37" i="59"/>
  <c r="M38" i="59" s="1"/>
  <c r="M40" i="59" s="1"/>
  <c r="M30" i="49"/>
  <c r="L15" i="21"/>
  <c r="V38" i="26"/>
  <c r="V35" i="26" s="1"/>
  <c r="J128" i="48"/>
  <c r="J137" i="48"/>
  <c r="H38" i="48"/>
  <c r="H65" i="48"/>
  <c r="H72" i="48" s="1"/>
  <c r="I65" i="48"/>
  <c r="I72" i="48" s="1"/>
  <c r="I38" i="48"/>
  <c r="J33" i="48"/>
  <c r="J65" i="48" s="1"/>
  <c r="J72" i="48" s="1"/>
  <c r="Q26" i="48"/>
  <c r="AC21" i="48"/>
  <c r="U129" i="48"/>
  <c r="I28" i="20"/>
  <c r="S48" i="75"/>
  <c r="R40" i="59"/>
  <c r="X48" i="20"/>
  <c r="Q9" i="50"/>
  <c r="Q48" i="75"/>
  <c r="R48" i="20"/>
  <c r="K9" i="50"/>
  <c r="D14" i="59"/>
  <c r="D14" i="75"/>
  <c r="J75" i="26"/>
  <c r="G83" i="21"/>
  <c r="R14" i="21"/>
  <c r="AD74" i="30"/>
  <c r="U20" i="30"/>
  <c r="AC14" i="70"/>
  <c r="AC24" i="70" s="1"/>
  <c r="F3" i="71" s="1"/>
  <c r="H29" i="55"/>
  <c r="F105" i="55"/>
  <c r="F73" i="55"/>
  <c r="G20" i="21"/>
  <c r="Q38" i="30" s="1"/>
  <c r="Y33" i="75"/>
  <c r="Y38" i="75" s="1"/>
  <c r="Y25" i="59"/>
  <c r="Y30" i="59" s="1"/>
  <c r="Y23" i="75"/>
  <c r="E74" i="21"/>
  <c r="T25" i="59"/>
  <c r="T23" i="75"/>
  <c r="T28" i="75" s="1"/>
  <c r="T33" i="75"/>
  <c r="M47" i="21"/>
  <c r="W85" i="26" s="1"/>
  <c r="G43" i="76"/>
  <c r="H42" i="76"/>
  <c r="O32" i="75"/>
  <c r="O99" i="75" s="1"/>
  <c r="O24" i="59"/>
  <c r="AB52" i="70"/>
  <c r="AB18" i="70"/>
  <c r="AB26" i="70" s="1"/>
  <c r="E5" i="71" s="1"/>
  <c r="G31" i="55"/>
  <c r="R137" i="48"/>
  <c r="Q112" i="48"/>
  <c r="I35" i="48"/>
  <c r="J31" i="48"/>
  <c r="I63" i="48"/>
  <c r="I70" i="48" s="1"/>
  <c r="AE21" i="48"/>
  <c r="I142" i="48"/>
  <c r="I114" i="48"/>
  <c r="I129" i="48"/>
  <c r="AB48" i="20"/>
  <c r="F3" i="35"/>
  <c r="G5" i="55" s="1"/>
  <c r="L112" i="48"/>
  <c r="P48" i="75"/>
  <c r="H39" i="48"/>
  <c r="H66" i="48"/>
  <c r="H73" i="48" s="1"/>
  <c r="N32" i="75"/>
  <c r="N24" i="59"/>
  <c r="G14" i="75"/>
  <c r="G14" i="59"/>
  <c r="I25" i="21"/>
  <c r="S36" i="30"/>
  <c r="I41" i="76"/>
  <c r="J41" i="76" s="1"/>
  <c r="L28" i="76"/>
  <c r="K28" i="76"/>
  <c r="M28" i="76" s="1"/>
  <c r="S15" i="21"/>
  <c r="AC38" i="26"/>
  <c r="AC35" i="26" s="1"/>
  <c r="G15" i="21"/>
  <c r="Q38" i="26"/>
  <c r="D22" i="21"/>
  <c r="N40" i="30" s="1"/>
  <c r="N39" i="30"/>
  <c r="P15" i="21"/>
  <c r="Z38" i="26"/>
  <c r="Z35" i="26" s="1"/>
  <c r="D4" i="21"/>
  <c r="E16" i="5"/>
  <c r="C4" i="21"/>
  <c r="G23" i="21"/>
  <c r="Q41" i="30" s="1"/>
  <c r="Q24" i="30" s="1"/>
  <c r="H24" i="21"/>
  <c r="E76" i="21"/>
  <c r="J21" i="21"/>
  <c r="J24" i="21"/>
  <c r="T45" i="30"/>
  <c r="U24" i="30"/>
  <c r="AD61" i="30" s="1"/>
  <c r="AD78" i="30"/>
  <c r="U33" i="75"/>
  <c r="U38" i="75" s="1"/>
  <c r="U23" i="75"/>
  <c r="U28" i="75" s="1"/>
  <c r="U25" i="59"/>
  <c r="U30" i="59" s="1"/>
  <c r="N5" i="50" s="1"/>
  <c r="Z33" i="75"/>
  <c r="Z38" i="75" s="1"/>
  <c r="Z25" i="59"/>
  <c r="Z30" i="59" s="1"/>
  <c r="Z23" i="75"/>
  <c r="P40" i="38"/>
  <c r="R40" i="38" s="1"/>
  <c r="T41" i="38"/>
  <c r="AB10" i="48"/>
  <c r="Q28" i="38"/>
  <c r="K26" i="48"/>
  <c r="J112" i="48"/>
  <c r="H120" i="55"/>
  <c r="H88" i="55"/>
  <c r="K27" i="76"/>
  <c r="Q13" i="33"/>
  <c r="P13" i="33"/>
  <c r="S13" i="33"/>
  <c r="R13" i="33"/>
  <c r="F47" i="49"/>
  <c r="G47" i="49" s="1"/>
  <c r="H47" i="49" s="1"/>
  <c r="I47" i="49" s="1"/>
  <c r="AE48" i="20"/>
  <c r="I3" i="35"/>
  <c r="J5" i="55" s="1"/>
  <c r="P15" i="30"/>
  <c r="L49" i="20"/>
  <c r="L50" i="20" s="1"/>
  <c r="E2" i="50"/>
  <c r="M14" i="59"/>
  <c r="M63" i="59" s="1"/>
  <c r="AA20" i="26"/>
  <c r="Z80" i="26"/>
  <c r="Q14" i="59"/>
  <c r="Q63" i="59" s="1"/>
  <c r="Q14" i="75"/>
  <c r="K36" i="76"/>
  <c r="D14" i="21"/>
  <c r="W13" i="21"/>
  <c r="V33" i="75"/>
  <c r="V38" i="75" s="1"/>
  <c r="V23" i="75"/>
  <c r="V28" i="75" s="1"/>
  <c r="V25" i="59"/>
  <c r="V30" i="59" s="1"/>
  <c r="O5" i="50" s="1"/>
  <c r="W8" i="21"/>
  <c r="U5" i="21"/>
  <c r="AE24" i="59" s="1"/>
  <c r="S5" i="21"/>
  <c r="T5" i="21"/>
  <c r="AD24" i="59" s="1"/>
  <c r="R5" i="21"/>
  <c r="C83" i="21"/>
  <c r="D14" i="76"/>
  <c r="E13" i="76"/>
  <c r="AA16" i="70"/>
  <c r="AA25" i="70" s="1"/>
  <c r="D4" i="71" s="1"/>
  <c r="AA51" i="70"/>
  <c r="F30" i="55"/>
  <c r="Y26" i="48"/>
  <c r="C19" i="35"/>
  <c r="D21" i="55" s="1"/>
  <c r="I120" i="55"/>
  <c r="I88" i="55"/>
  <c r="P40" i="59"/>
  <c r="AA21" i="48"/>
  <c r="AA48" i="20"/>
  <c r="E3" i="35"/>
  <c r="F5" i="55" s="1"/>
  <c r="F14" i="75"/>
  <c r="F14" i="59"/>
  <c r="W12" i="74"/>
  <c r="V14" i="74"/>
  <c r="V13" i="74" s="1"/>
  <c r="V11" i="74" s="1"/>
  <c r="V19" i="74" s="1"/>
  <c r="D71" i="55"/>
  <c r="D103" i="55"/>
  <c r="C81" i="21"/>
  <c r="G18" i="21"/>
  <c r="D74" i="21"/>
  <c r="P33" i="75"/>
  <c r="P38" i="75" s="1"/>
  <c r="P23" i="75"/>
  <c r="P28" i="75" s="1"/>
  <c r="P25" i="59"/>
  <c r="P30" i="59" s="1"/>
  <c r="I5" i="50" s="1"/>
  <c r="Q23" i="21"/>
  <c r="W33" i="75"/>
  <c r="W38" i="75" s="1"/>
  <c r="W23" i="75"/>
  <c r="W28" i="75" s="1"/>
  <c r="W26" i="75" s="1"/>
  <c r="W25" i="59"/>
  <c r="W30" i="59" s="1"/>
  <c r="P5" i="50" s="1"/>
  <c r="I5" i="21"/>
  <c r="G5" i="21"/>
  <c r="H5" i="21"/>
  <c r="F5" i="21"/>
  <c r="P47" i="21"/>
  <c r="Z85" i="26" s="1"/>
  <c r="V47" i="21"/>
  <c r="AF85" i="26" s="1"/>
  <c r="AG85" i="26" s="1"/>
  <c r="V14" i="40"/>
  <c r="J17" i="40"/>
  <c r="F120" i="55"/>
  <c r="F88" i="55"/>
  <c r="C24" i="35"/>
  <c r="R10" i="50"/>
  <c r="K114" i="48"/>
  <c r="F26" i="48"/>
  <c r="K120" i="55"/>
  <c r="L17" i="38"/>
  <c r="N17" i="38" s="1"/>
  <c r="S18" i="38"/>
  <c r="I39" i="48"/>
  <c r="AB21" i="48"/>
  <c r="AC48" i="20"/>
  <c r="G3" i="35"/>
  <c r="H5" i="55" s="1"/>
  <c r="AD13" i="33"/>
  <c r="AC13" i="33"/>
  <c r="AB13" i="33"/>
  <c r="AE13" i="33"/>
  <c r="F40" i="59"/>
  <c r="U38" i="59" s="1"/>
  <c r="V38" i="59" s="1"/>
  <c r="W38" i="59" s="1"/>
  <c r="X38" i="59" s="1"/>
  <c r="Y38" i="59" s="1"/>
  <c r="V15" i="30"/>
  <c r="AB17" i="30"/>
  <c r="R14" i="75"/>
  <c r="R14" i="59"/>
  <c r="R63" i="59" s="1"/>
  <c r="L19" i="25"/>
  <c r="L14" i="75" s="1"/>
  <c r="E14" i="75"/>
  <c r="E14" i="59"/>
  <c r="M21" i="21"/>
  <c r="M23" i="21"/>
  <c r="W41" i="30" s="1"/>
  <c r="W24" i="30" s="1"/>
  <c r="W15" i="30" s="1"/>
  <c r="W45" i="30"/>
  <c r="T36" i="30"/>
  <c r="D25" i="21"/>
  <c r="N36" i="30"/>
  <c r="F28" i="21"/>
  <c r="M18" i="21"/>
  <c r="N47" i="21"/>
  <c r="X85" i="26" s="1"/>
  <c r="O28" i="21"/>
  <c r="H23" i="21"/>
  <c r="R41" i="30" s="1"/>
  <c r="R24" i="30" s="1"/>
  <c r="P23" i="21"/>
  <c r="F74" i="21"/>
  <c r="X33" i="75"/>
  <c r="X38" i="75" s="1"/>
  <c r="X23" i="75"/>
  <c r="X25" i="59"/>
  <c r="X30" i="59" s="1"/>
  <c r="Q5" i="50" s="1"/>
  <c r="G28" i="21"/>
  <c r="AC33" i="75"/>
  <c r="AC38" i="75" s="1"/>
  <c r="AC23" i="75"/>
  <c r="AC25" i="59"/>
  <c r="AC30" i="59" s="1"/>
  <c r="L21" i="21"/>
  <c r="V45" i="30"/>
  <c r="R25" i="59"/>
  <c r="R30" i="59" s="1"/>
  <c r="K5" i="50" s="1"/>
  <c r="R23" i="75"/>
  <c r="R28" i="75" s="1"/>
  <c r="R33" i="75"/>
  <c r="R38" i="75" s="1"/>
  <c r="K47" i="21"/>
  <c r="U85" i="26" s="1"/>
  <c r="T51" i="21"/>
  <c r="V17" i="6"/>
  <c r="T50" i="21"/>
  <c r="T47" i="21" s="1"/>
  <c r="AD85" i="26" s="1"/>
  <c r="K39" i="76"/>
  <c r="M39" i="76" s="1"/>
  <c r="L39" i="76"/>
  <c r="J29" i="76"/>
  <c r="I29" i="76"/>
  <c r="P17" i="40"/>
  <c r="K22" i="21"/>
  <c r="U40" i="30" s="1"/>
  <c r="AD77" i="30" s="1"/>
  <c r="U39" i="30"/>
  <c r="AD76" i="30" s="1"/>
  <c r="K73" i="38"/>
  <c r="K71" i="38"/>
  <c r="P137" i="48"/>
  <c r="O112" i="48"/>
  <c r="L142" i="48"/>
  <c r="S34" i="75"/>
  <c r="S24" i="75"/>
  <c r="E88" i="55"/>
  <c r="E120" i="55"/>
  <c r="P128" i="48"/>
  <c r="Y26" i="59"/>
  <c r="Z50" i="59"/>
  <c r="I128" i="48"/>
  <c r="AD21" i="48"/>
  <c r="G134" i="75"/>
  <c r="S142" i="48"/>
  <c r="M16" i="26"/>
  <c r="AH34" i="26"/>
  <c r="T14" i="75"/>
  <c r="T14" i="59"/>
  <c r="T63" i="59" s="1"/>
  <c r="T19" i="25"/>
  <c r="AA27" i="20"/>
  <c r="D5" i="35"/>
  <c r="E7" i="55" s="1"/>
  <c r="I114" i="55"/>
  <c r="I82" i="55"/>
  <c r="S28" i="21"/>
  <c r="AC83" i="26" s="1"/>
  <c r="H21" i="21"/>
  <c r="H18" i="21"/>
  <c r="R45" i="30"/>
  <c r="Q15" i="21"/>
  <c r="AA38" i="26"/>
  <c r="AA35" i="26" s="1"/>
  <c r="F83" i="21"/>
  <c r="N14" i="21"/>
  <c r="W7" i="21"/>
  <c r="C77" i="21"/>
  <c r="F21" i="21"/>
  <c r="D76" i="21"/>
  <c r="P45" i="30"/>
  <c r="H20" i="21"/>
  <c r="R38" i="30" s="1"/>
  <c r="U36" i="30"/>
  <c r="AD73" i="30" s="1"/>
  <c r="S25" i="59"/>
  <c r="S30" i="59" s="1"/>
  <c r="L5" i="50" s="1"/>
  <c r="S23" i="75"/>
  <c r="S28" i="75" s="1"/>
  <c r="S33" i="75"/>
  <c r="S38" i="75" s="1"/>
  <c r="F76" i="21"/>
  <c r="X45" i="30"/>
  <c r="G74" i="21"/>
  <c r="AB33" i="75"/>
  <c r="AB38" i="75" s="1"/>
  <c r="AB23" i="75"/>
  <c r="AB25" i="59"/>
  <c r="AB30" i="59" s="1"/>
  <c r="Q47" i="21"/>
  <c r="AA85" i="26" s="1"/>
  <c r="I22" i="21"/>
  <c r="S40" i="30" s="1"/>
  <c r="S39" i="30"/>
  <c r="O29" i="38"/>
  <c r="Q29" i="38" s="1"/>
  <c r="S30" i="38"/>
  <c r="U112" i="48"/>
  <c r="K137" i="48"/>
  <c r="O48" i="75"/>
  <c r="I48" i="75"/>
  <c r="U46" i="75" s="1"/>
  <c r="V46" i="75" s="1"/>
  <c r="W46" i="75" s="1"/>
  <c r="X46" i="75" s="1"/>
  <c r="Y46" i="75" s="1"/>
  <c r="Z46" i="75" s="1"/>
  <c r="AA46" i="75" s="1"/>
  <c r="AB46" i="75" s="1"/>
  <c r="AC46" i="75" s="1"/>
  <c r="AF21" i="48"/>
  <c r="AB69" i="59"/>
  <c r="AB71" i="59" s="1"/>
  <c r="AB70" i="59" s="1"/>
  <c r="N45" i="75"/>
  <c r="N46" i="75" s="1"/>
  <c r="N37" i="59"/>
  <c r="N38" i="59" s="1"/>
  <c r="N40" i="59" s="1"/>
  <c r="N30" i="49"/>
  <c r="D20" i="49"/>
  <c r="Y29" i="49"/>
  <c r="AH13" i="26"/>
  <c r="K19" i="25"/>
  <c r="K14" i="75" s="1"/>
  <c r="Q35" i="26"/>
  <c r="J19" i="25"/>
  <c r="J14" i="75" s="1"/>
  <c r="H66" i="59"/>
  <c r="H63" i="59"/>
  <c r="H62" i="59" s="1"/>
  <c r="H65" i="59" s="1"/>
  <c r="AA14" i="25"/>
  <c r="AA13" i="25" s="1"/>
  <c r="AB12" i="25"/>
  <c r="AA11" i="25"/>
  <c r="AA19" i="25" s="1"/>
  <c r="Z38" i="80" l="1"/>
  <c r="F125" i="55"/>
  <c r="F93" i="55"/>
  <c r="G126" i="55"/>
  <c r="G94" i="55"/>
  <c r="Z19" i="48"/>
  <c r="D20" i="35" s="1"/>
  <c r="E22" i="55" s="1"/>
  <c r="E118" i="55" s="1"/>
  <c r="AB129" i="48"/>
  <c r="AA23" i="48"/>
  <c r="AA19" i="48" s="1"/>
  <c r="E20" i="35" s="1"/>
  <c r="F22" i="55" s="1"/>
  <c r="J39" i="48"/>
  <c r="X50" i="48" s="1"/>
  <c r="K34" i="48"/>
  <c r="K66" i="48" s="1"/>
  <c r="K73" i="48" s="1"/>
  <c r="L98" i="75"/>
  <c r="L97" i="75" s="1"/>
  <c r="L100" i="75" s="1"/>
  <c r="L27" i="75"/>
  <c r="L26" i="75" s="1"/>
  <c r="L29" i="75" s="1"/>
  <c r="AC69" i="59"/>
  <c r="AC71" i="59" s="1"/>
  <c r="AC70" i="59"/>
  <c r="N98" i="75"/>
  <c r="N97" i="75" s="1"/>
  <c r="N100" i="75" s="1"/>
  <c r="N27" i="75"/>
  <c r="K28" i="20"/>
  <c r="K12" i="20"/>
  <c r="Z38" i="59"/>
  <c r="C18" i="35"/>
  <c r="D20" i="55" s="1"/>
  <c r="L41" i="76"/>
  <c r="K41" i="76"/>
  <c r="M41" i="76" s="1"/>
  <c r="J98" i="75"/>
  <c r="J97" i="75" s="1"/>
  <c r="J100" i="75" s="1"/>
  <c r="J27" i="75"/>
  <c r="J26" i="75" s="1"/>
  <c r="J29" i="75" s="1"/>
  <c r="Y49" i="20"/>
  <c r="Y50" i="20" s="1"/>
  <c r="R2" i="50"/>
  <c r="C2" i="35"/>
  <c r="D4" i="55" s="1"/>
  <c r="F25" i="21"/>
  <c r="K27" i="75"/>
  <c r="K26" i="75" s="1"/>
  <c r="K29" i="75" s="1"/>
  <c r="K98" i="75"/>
  <c r="K97" i="75" s="1"/>
  <c r="K100" i="75" s="1"/>
  <c r="Z26" i="59"/>
  <c r="AA50" i="59"/>
  <c r="AD57" i="30"/>
  <c r="U13" i="30"/>
  <c r="U15" i="30"/>
  <c r="AD52" i="30" s="1"/>
  <c r="K93" i="55"/>
  <c r="K125" i="55"/>
  <c r="E22" i="21"/>
  <c r="O40" i="30" s="1"/>
  <c r="O39" i="30"/>
  <c r="F75" i="21"/>
  <c r="X32" i="75"/>
  <c r="X24" i="59"/>
  <c r="E16" i="35"/>
  <c r="F18" i="55" s="1"/>
  <c r="P46" i="30"/>
  <c r="I6" i="50"/>
  <c r="H25" i="21"/>
  <c r="R36" i="30"/>
  <c r="P25" i="21"/>
  <c r="Z43" i="30" s="1"/>
  <c r="Z41" i="30"/>
  <c r="Z24" i="30" s="1"/>
  <c r="M22" i="21"/>
  <c r="W40" i="30" s="1"/>
  <c r="W39" i="30"/>
  <c r="S19" i="38"/>
  <c r="L18" i="38"/>
  <c r="N18" i="38" s="1"/>
  <c r="L28" i="20"/>
  <c r="L12" i="20"/>
  <c r="D16" i="35"/>
  <c r="E18" i="55" s="1"/>
  <c r="M50" i="48"/>
  <c r="P50" i="48"/>
  <c r="O50" i="48"/>
  <c r="N50" i="48"/>
  <c r="AF12" i="70"/>
  <c r="AF23" i="70" s="1"/>
  <c r="I2" i="71" s="1"/>
  <c r="K28" i="55"/>
  <c r="Y32" i="75"/>
  <c r="Y24" i="59"/>
  <c r="W48" i="48"/>
  <c r="V48" i="48"/>
  <c r="U48" i="48"/>
  <c r="X48" i="48"/>
  <c r="S48" i="48"/>
  <c r="Q48" i="48"/>
  <c r="T48" i="48"/>
  <c r="R48" i="48"/>
  <c r="F4" i="50"/>
  <c r="R46" i="30"/>
  <c r="K6" i="50"/>
  <c r="AA52" i="70"/>
  <c r="AA18" i="70"/>
  <c r="AA26" i="70" s="1"/>
  <c r="D5" i="71" s="1"/>
  <c r="F31" i="55"/>
  <c r="T38" i="75"/>
  <c r="T99" i="75"/>
  <c r="M79" i="26"/>
  <c r="AH16" i="26"/>
  <c r="E14" i="76"/>
  <c r="F13" i="76"/>
  <c r="H22" i="21"/>
  <c r="R40" i="30" s="1"/>
  <c r="R39" i="30"/>
  <c r="L22" i="21"/>
  <c r="V40" i="30" s="1"/>
  <c r="V39" i="30"/>
  <c r="D75" i="21"/>
  <c r="P32" i="75"/>
  <c r="P99" i="75" s="1"/>
  <c r="P24" i="59"/>
  <c r="Q36" i="30"/>
  <c r="D15" i="21"/>
  <c r="N38" i="26"/>
  <c r="J101" i="55"/>
  <c r="J69" i="55"/>
  <c r="W4" i="21"/>
  <c r="C74" i="21"/>
  <c r="M33" i="75"/>
  <c r="M38" i="75" s="1"/>
  <c r="M23" i="75"/>
  <c r="M28" i="75" s="1"/>
  <c r="M26" i="75" s="1"/>
  <c r="M29" i="75" s="1"/>
  <c r="M25" i="59"/>
  <c r="M30" i="59" s="1"/>
  <c r="F5" i="50" s="1"/>
  <c r="G127" i="55"/>
  <c r="G95" i="55"/>
  <c r="D49" i="26"/>
  <c r="M20" i="26"/>
  <c r="M80" i="26" s="1"/>
  <c r="O98" i="75"/>
  <c r="O97" i="75" s="1"/>
  <c r="O100" i="75" s="1"/>
  <c r="O27" i="75"/>
  <c r="O26" i="75" s="1"/>
  <c r="O29" i="75" s="1"/>
  <c r="AG130" i="48"/>
  <c r="AG24" i="48" s="1"/>
  <c r="AF24" i="48"/>
  <c r="AH37" i="26"/>
  <c r="AI13" i="26" s="1"/>
  <c r="O35" i="26"/>
  <c r="AA32" i="75"/>
  <c r="AA24" i="59"/>
  <c r="J125" i="55"/>
  <c r="J93" i="55"/>
  <c r="M46" i="38"/>
  <c r="M47" i="38" s="1"/>
  <c r="G101" i="55"/>
  <c r="G69" i="55"/>
  <c r="O62" i="59"/>
  <c r="O65" i="59" s="1"/>
  <c r="Z104" i="75"/>
  <c r="Z106" i="75" s="1"/>
  <c r="Z105" i="75"/>
  <c r="O36" i="30"/>
  <c r="G22" i="21"/>
  <c r="Q40" i="30" s="1"/>
  <c r="Q39" i="30"/>
  <c r="E127" i="55"/>
  <c r="E95" i="55"/>
  <c r="P98" i="75"/>
  <c r="P27" i="75"/>
  <c r="P26" i="75" s="1"/>
  <c r="P29" i="75" s="1"/>
  <c r="AE12" i="70"/>
  <c r="AE23" i="70" s="1"/>
  <c r="H2" i="71" s="1"/>
  <c r="J28" i="55"/>
  <c r="AI16" i="26"/>
  <c r="W5" i="21"/>
  <c r="Q6" i="50"/>
  <c r="X46" i="30"/>
  <c r="G16" i="35"/>
  <c r="H18" i="55" s="1"/>
  <c r="M25" i="21"/>
  <c r="W36" i="30"/>
  <c r="E63" i="59"/>
  <c r="E62" i="59" s="1"/>
  <c r="E65" i="59" s="1"/>
  <c r="E74" i="59" s="1"/>
  <c r="E29" i="59" s="1"/>
  <c r="E66" i="59"/>
  <c r="E31" i="59" s="1"/>
  <c r="Q32" i="75"/>
  <c r="Q99" i="75" s="1"/>
  <c r="Q24" i="59"/>
  <c r="G75" i="21"/>
  <c r="AB32" i="75"/>
  <c r="AB24" i="59"/>
  <c r="N33" i="75"/>
  <c r="N38" i="75" s="1"/>
  <c r="N23" i="75"/>
  <c r="N28" i="75" s="1"/>
  <c r="N25" i="59"/>
  <c r="N30" i="59" s="1"/>
  <c r="G5" i="50" s="1"/>
  <c r="AB20" i="70"/>
  <c r="AB27" i="70" s="1"/>
  <c r="E6" i="71" s="1"/>
  <c r="G32" i="55"/>
  <c r="C16" i="35"/>
  <c r="D18" i="55" s="1"/>
  <c r="R5" i="50"/>
  <c r="J49" i="20"/>
  <c r="J50" i="20" s="1"/>
  <c r="C2" i="50"/>
  <c r="W14" i="21"/>
  <c r="U32" i="75"/>
  <c r="U99" i="75" s="1"/>
  <c r="U24" i="59"/>
  <c r="V16" i="75"/>
  <c r="V14" i="75" s="1"/>
  <c r="V16" i="59"/>
  <c r="V14" i="59" s="1"/>
  <c r="V63" i="59" s="1"/>
  <c r="W20" i="25"/>
  <c r="Z20" i="70"/>
  <c r="Z27" i="70" s="1"/>
  <c r="C6" i="71" s="1"/>
  <c r="E32" i="55"/>
  <c r="K14" i="59"/>
  <c r="K63" i="59" s="1"/>
  <c r="K62" i="59" s="1"/>
  <c r="K65" i="59" s="1"/>
  <c r="K113" i="55"/>
  <c r="K40" i="59"/>
  <c r="F101" i="55"/>
  <c r="F69" i="55"/>
  <c r="M37" i="76"/>
  <c r="C10" i="35"/>
  <c r="D12" i="55" s="1"/>
  <c r="Y30" i="49"/>
  <c r="E98" i="75"/>
  <c r="E97" i="75" s="1"/>
  <c r="E100" i="75" s="1"/>
  <c r="E27" i="75"/>
  <c r="E26" i="75" s="1"/>
  <c r="E29" i="75" s="1"/>
  <c r="E101" i="75"/>
  <c r="E39" i="75" s="1"/>
  <c r="S32" i="75"/>
  <c r="S99" i="75" s="1"/>
  <c r="S24" i="59"/>
  <c r="H15" i="35"/>
  <c r="I17" i="55" s="1"/>
  <c r="O40" i="59"/>
  <c r="AB27" i="48"/>
  <c r="H4" i="50"/>
  <c r="O64" i="59"/>
  <c r="D27" i="75"/>
  <c r="D26" i="75" s="1"/>
  <c r="D29" i="75" s="1"/>
  <c r="D98" i="75"/>
  <c r="D97" i="75" s="1"/>
  <c r="D100" i="75" s="1"/>
  <c r="D109" i="75" s="1"/>
  <c r="D37" i="75" s="1"/>
  <c r="D101" i="75"/>
  <c r="D39" i="75" s="1"/>
  <c r="M75" i="26"/>
  <c r="K48" i="75"/>
  <c r="C84" i="21"/>
  <c r="C87" i="21" s="1"/>
  <c r="V32" i="75"/>
  <c r="V99" i="75" s="1"/>
  <c r="V24" i="59"/>
  <c r="U98" i="75"/>
  <c r="U27" i="75"/>
  <c r="U26" i="75" s="1"/>
  <c r="U29" i="75" s="1"/>
  <c r="M40" i="76"/>
  <c r="M31" i="76"/>
  <c r="S50" i="48"/>
  <c r="Q50" i="48"/>
  <c r="T50" i="48"/>
  <c r="R50" i="48"/>
  <c r="K37" i="48"/>
  <c r="L32" i="48"/>
  <c r="L64" i="48" s="1"/>
  <c r="L71" i="48" s="1"/>
  <c r="N78" i="26"/>
  <c r="N29" i="26"/>
  <c r="O30" i="26"/>
  <c r="N15" i="26"/>
  <c r="N20" i="26" s="1"/>
  <c r="N80" i="26" s="1"/>
  <c r="Z32" i="75"/>
  <c r="Z24" i="59"/>
  <c r="M99" i="75"/>
  <c r="M97" i="75" s="1"/>
  <c r="M100" i="75" s="1"/>
  <c r="L29" i="76"/>
  <c r="K29" i="76"/>
  <c r="M29" i="76" s="1"/>
  <c r="R32" i="75"/>
  <c r="R99" i="75" s="1"/>
  <c r="R24" i="59"/>
  <c r="S31" i="38"/>
  <c r="O30" i="38"/>
  <c r="Q30" i="38" s="1"/>
  <c r="N15" i="21"/>
  <c r="F85" i="21" s="1"/>
  <c r="F84" i="21"/>
  <c r="X38" i="26"/>
  <c r="X35" i="26" s="1"/>
  <c r="E71" i="55"/>
  <c r="E103" i="55"/>
  <c r="AC32" i="75"/>
  <c r="AC24" i="59"/>
  <c r="Q98" i="75"/>
  <c r="Q27" i="75"/>
  <c r="Q26" i="75" s="1"/>
  <c r="Q29" i="75" s="1"/>
  <c r="AA27" i="48"/>
  <c r="S43" i="30"/>
  <c r="I26" i="21"/>
  <c r="D63" i="59"/>
  <c r="D62" i="59" s="1"/>
  <c r="D65" i="59" s="1"/>
  <c r="D66" i="59"/>
  <c r="D31" i="59" s="1"/>
  <c r="J38" i="48"/>
  <c r="K33" i="48"/>
  <c r="K65" i="48" s="1"/>
  <c r="K72" i="48" s="1"/>
  <c r="I98" i="75"/>
  <c r="I97" i="75" s="1"/>
  <c r="I100" i="75" s="1"/>
  <c r="I27" i="75"/>
  <c r="I26" i="75" s="1"/>
  <c r="I29" i="75" s="1"/>
  <c r="I101" i="75"/>
  <c r="C85" i="21"/>
  <c r="W32" i="75"/>
  <c r="W99" i="75" s="1"/>
  <c r="W24" i="59"/>
  <c r="H70" i="55"/>
  <c r="H102" i="55"/>
  <c r="P48" i="48"/>
  <c r="M48" i="48"/>
  <c r="O48" i="48"/>
  <c r="N48" i="48"/>
  <c r="D84" i="21"/>
  <c r="F15" i="21"/>
  <c r="D85" i="21" s="1"/>
  <c r="D87" i="21" s="1"/>
  <c r="P38" i="26"/>
  <c r="P35" i="26" s="1"/>
  <c r="W13" i="30"/>
  <c r="W12" i="30" s="1"/>
  <c r="L30" i="76"/>
  <c r="V68" i="59"/>
  <c r="V67" i="59" s="1"/>
  <c r="U68" i="59"/>
  <c r="U67" i="59" s="1"/>
  <c r="H31" i="59"/>
  <c r="W68" i="59"/>
  <c r="S46" i="48"/>
  <c r="Q46" i="48"/>
  <c r="T46" i="48"/>
  <c r="R46" i="48"/>
  <c r="I63" i="59"/>
  <c r="I62" i="59" s="1"/>
  <c r="I65" i="59" s="1"/>
  <c r="I74" i="59" s="1"/>
  <c r="I29" i="59" s="1"/>
  <c r="I66" i="59"/>
  <c r="H6" i="50"/>
  <c r="O46" i="30"/>
  <c r="X15" i="30"/>
  <c r="X13" i="30"/>
  <c r="X12" i="30" s="1"/>
  <c r="M46" i="48"/>
  <c r="P46" i="48"/>
  <c r="N46" i="48"/>
  <c r="O46" i="48"/>
  <c r="AE11" i="20"/>
  <c r="H4" i="35"/>
  <c r="I6" i="55" s="1"/>
  <c r="J73" i="38"/>
  <c r="J71" i="38"/>
  <c r="T98" i="75"/>
  <c r="T97" i="75" s="1"/>
  <c r="T100" i="75" s="1"/>
  <c r="T27" i="75"/>
  <c r="T26" i="75" s="1"/>
  <c r="T29" i="75" s="1"/>
  <c r="T30" i="59"/>
  <c r="M5" i="50" s="1"/>
  <c r="T64" i="59"/>
  <c r="T62" i="59" s="1"/>
  <c r="T65" i="59" s="1"/>
  <c r="B49" i="76"/>
  <c r="D48" i="76"/>
  <c r="G125" i="55"/>
  <c r="G93" i="55"/>
  <c r="I15" i="35"/>
  <c r="J17" i="55" s="1"/>
  <c r="W50" i="48"/>
  <c r="V50" i="48"/>
  <c r="D85" i="55"/>
  <c r="D117" i="55"/>
  <c r="G98" i="75"/>
  <c r="G97" i="75" s="1"/>
  <c r="G100" i="75" s="1"/>
  <c r="G27" i="75"/>
  <c r="G26" i="75" s="1"/>
  <c r="G29" i="75" s="1"/>
  <c r="G101" i="75"/>
  <c r="G39" i="75" s="1"/>
  <c r="H43" i="76"/>
  <c r="G44" i="76"/>
  <c r="E87" i="21"/>
  <c r="V103" i="75"/>
  <c r="U103" i="75"/>
  <c r="U102" i="75" s="1"/>
  <c r="H39" i="75"/>
  <c r="H41" i="75" s="1"/>
  <c r="R13" i="30"/>
  <c r="R12" i="30" s="1"/>
  <c r="R15" i="30"/>
  <c r="Q13" i="30"/>
  <c r="Q12" i="30" s="1"/>
  <c r="Q15" i="30"/>
  <c r="G84" i="21"/>
  <c r="G87" i="21" s="1"/>
  <c r="R15" i="21"/>
  <c r="G85" i="21" s="1"/>
  <c r="AB38" i="26"/>
  <c r="AB35" i="26" s="1"/>
  <c r="J6" i="50"/>
  <c r="Q46" i="30"/>
  <c r="AA14" i="75"/>
  <c r="AA14" i="59"/>
  <c r="E8" i="35"/>
  <c r="F10" i="55" s="1"/>
  <c r="AB27" i="20"/>
  <c r="E5" i="35"/>
  <c r="F7" i="55" s="1"/>
  <c r="N43" i="30"/>
  <c r="D26" i="21"/>
  <c r="G63" i="59"/>
  <c r="G62" i="59" s="1"/>
  <c r="G65" i="59" s="1"/>
  <c r="G74" i="59" s="1"/>
  <c r="G29" i="59" s="1"/>
  <c r="G66" i="59"/>
  <c r="G31" i="59" s="1"/>
  <c r="AB14" i="25"/>
  <c r="AB13" i="25" s="1"/>
  <c r="AB11" i="25" s="1"/>
  <c r="AB19" i="25" s="1"/>
  <c r="AC12" i="25"/>
  <c r="N48" i="75"/>
  <c r="R98" i="75"/>
  <c r="R97" i="75" s="1"/>
  <c r="R100" i="75" s="1"/>
  <c r="R27" i="75"/>
  <c r="R26" i="75" s="1"/>
  <c r="R29" i="75" s="1"/>
  <c r="W14" i="74"/>
  <c r="W13" i="74" s="1"/>
  <c r="W11" i="74" s="1"/>
  <c r="W19" i="74" s="1"/>
  <c r="X12" i="74"/>
  <c r="Z75" i="26"/>
  <c r="AB13" i="30"/>
  <c r="AB15" i="30"/>
  <c r="AC17" i="30"/>
  <c r="Q25" i="21"/>
  <c r="AA43" i="30" s="1"/>
  <c r="AA41" i="30"/>
  <c r="AA24" i="30" s="1"/>
  <c r="F63" i="59"/>
  <c r="F62" i="59" s="1"/>
  <c r="F65" i="59" s="1"/>
  <c r="F74" i="59" s="1"/>
  <c r="F29" i="59" s="1"/>
  <c r="F66" i="59"/>
  <c r="F31" i="59" s="1"/>
  <c r="AA80" i="26"/>
  <c r="AA75" i="26" s="1"/>
  <c r="AB20" i="26"/>
  <c r="AA11" i="26"/>
  <c r="J22" i="21"/>
  <c r="T39" i="30"/>
  <c r="G4" i="50"/>
  <c r="N64" i="59"/>
  <c r="H93" i="55"/>
  <c r="H125" i="55"/>
  <c r="W47" i="21"/>
  <c r="E110" i="55"/>
  <c r="E78" i="55"/>
  <c r="Y85" i="75"/>
  <c r="X34" i="75"/>
  <c r="X24" i="75"/>
  <c r="X28" i="75" s="1"/>
  <c r="X26" i="75" s="1"/>
  <c r="E84" i="21"/>
  <c r="J15" i="21"/>
  <c r="E85" i="21" s="1"/>
  <c r="T38" i="26"/>
  <c r="T35" i="26" s="1"/>
  <c r="S26" i="75"/>
  <c r="S29" i="75" s="1"/>
  <c r="F16" i="35"/>
  <c r="G18" i="55" s="1"/>
  <c r="D73" i="55"/>
  <c r="D105" i="55"/>
  <c r="V46" i="30"/>
  <c r="O6" i="50"/>
  <c r="AA12" i="49"/>
  <c r="O25" i="21"/>
  <c r="Y43" i="30" s="1"/>
  <c r="Y41" i="30"/>
  <c r="Y24" i="30" s="1"/>
  <c r="N62" i="59"/>
  <c r="N65" i="59" s="1"/>
  <c r="F22" i="21"/>
  <c r="P40" i="30" s="1"/>
  <c r="P39" i="30"/>
  <c r="F87" i="21"/>
  <c r="P41" i="38"/>
  <c r="T42" i="38"/>
  <c r="M6" i="50"/>
  <c r="T46" i="30"/>
  <c r="I42" i="76"/>
  <c r="J42" i="76" s="1"/>
  <c r="T49" i="48"/>
  <c r="S49" i="48"/>
  <c r="R49" i="48"/>
  <c r="Q49" i="48"/>
  <c r="H101" i="55"/>
  <c r="H69" i="55"/>
  <c r="H74" i="59"/>
  <c r="H29" i="59" s="1"/>
  <c r="K25" i="21"/>
  <c r="L34" i="48"/>
  <c r="L66" i="48" s="1"/>
  <c r="L73" i="48" s="1"/>
  <c r="P6" i="50"/>
  <c r="W46" i="30"/>
  <c r="F98" i="75"/>
  <c r="F97" i="75" s="1"/>
  <c r="F100" i="75" s="1"/>
  <c r="F27" i="75"/>
  <c r="F26" i="75" s="1"/>
  <c r="F29" i="75" s="1"/>
  <c r="F101" i="75"/>
  <c r="F39" i="75" s="1"/>
  <c r="F126" i="55"/>
  <c r="F94" i="55"/>
  <c r="N99" i="75"/>
  <c r="K31" i="48"/>
  <c r="K63" i="48" s="1"/>
  <c r="K70" i="48" s="1"/>
  <c r="J63" i="48"/>
  <c r="J70" i="48" s="1"/>
  <c r="J35" i="48"/>
  <c r="P49" i="48"/>
  <c r="N49" i="48"/>
  <c r="M49" i="48"/>
  <c r="O49" i="48"/>
  <c r="AA17" i="75"/>
  <c r="AA15" i="33"/>
  <c r="AA17" i="59"/>
  <c r="AB10" i="33"/>
  <c r="E12" i="35"/>
  <c r="F14" i="55" s="1"/>
  <c r="G131" i="75"/>
  <c r="G132" i="75" s="1"/>
  <c r="G99" i="59"/>
  <c r="G96" i="59"/>
  <c r="G97" i="59" s="1"/>
  <c r="H22" i="33"/>
  <c r="O24" i="30"/>
  <c r="Z14" i="75"/>
  <c r="Z14" i="59"/>
  <c r="D8" i="35"/>
  <c r="H109" i="75"/>
  <c r="H37" i="75" s="1"/>
  <c r="S97" i="75"/>
  <c r="S100" i="75" s="1"/>
  <c r="E86" i="55" l="1"/>
  <c r="F86" i="55"/>
  <c r="F118" i="55"/>
  <c r="U50" i="48"/>
  <c r="AC129" i="48"/>
  <c r="AB23" i="48"/>
  <c r="AB19" i="48" s="1"/>
  <c r="F20" i="35" s="1"/>
  <c r="G22" i="55" s="1"/>
  <c r="G86" i="55" s="1"/>
  <c r="AB14" i="75"/>
  <c r="AB14" i="59"/>
  <c r="F8" i="35"/>
  <c r="G10" i="55" s="1"/>
  <c r="G34" i="76"/>
  <c r="H34" i="76" s="1"/>
  <c r="K42" i="76"/>
  <c r="M42" i="76" s="1"/>
  <c r="L42" i="76"/>
  <c r="Z13" i="30"/>
  <c r="Z15" i="30"/>
  <c r="G45" i="76"/>
  <c r="H44" i="76"/>
  <c r="P43" i="30"/>
  <c r="F26" i="21"/>
  <c r="F33" i="59"/>
  <c r="J43" i="76"/>
  <c r="I43" i="76"/>
  <c r="H33" i="59"/>
  <c r="D82" i="55"/>
  <c r="D114" i="55"/>
  <c r="E33" i="59"/>
  <c r="F127" i="55"/>
  <c r="F95" i="55"/>
  <c r="N26" i="75"/>
  <c r="N29" i="75" s="1"/>
  <c r="I4" i="50"/>
  <c r="P64" i="59"/>
  <c r="P62" i="59" s="1"/>
  <c r="P65" i="59" s="1"/>
  <c r="AA49" i="20"/>
  <c r="AA50" i="20" s="1"/>
  <c r="E2" i="35"/>
  <c r="F4" i="55" s="1"/>
  <c r="D74" i="59"/>
  <c r="D29" i="59" s="1"/>
  <c r="D33" i="59" s="1"/>
  <c r="D15" i="35"/>
  <c r="E17" i="55" s="1"/>
  <c r="Z64" i="59"/>
  <c r="M49" i="20"/>
  <c r="M50" i="20" s="1"/>
  <c r="F2" i="50"/>
  <c r="V62" i="59"/>
  <c r="V65" i="59" s="1"/>
  <c r="AA20" i="70"/>
  <c r="AA27" i="70" s="1"/>
  <c r="D6" i="71" s="1"/>
  <c r="F32" i="55"/>
  <c r="AD69" i="59"/>
  <c r="AD71" i="59" s="1"/>
  <c r="AD70" i="59" s="1"/>
  <c r="E10" i="55"/>
  <c r="Z33" i="80"/>
  <c r="Z49" i="20"/>
  <c r="Z50" i="20" s="1"/>
  <c r="D2" i="35"/>
  <c r="E4" i="55" s="1"/>
  <c r="D76" i="55"/>
  <c r="D108" i="55"/>
  <c r="J92" i="55"/>
  <c r="J124" i="55"/>
  <c r="R41" i="38"/>
  <c r="J113" i="55"/>
  <c r="J81" i="55"/>
  <c r="E96" i="55"/>
  <c r="E128" i="55"/>
  <c r="O15" i="30"/>
  <c r="O13" i="30"/>
  <c r="O12" i="30" s="1"/>
  <c r="F71" i="55"/>
  <c r="F103" i="55"/>
  <c r="I113" i="55"/>
  <c r="I81" i="55"/>
  <c r="E82" i="55"/>
  <c r="E114" i="55"/>
  <c r="AA15" i="30"/>
  <c r="AA13" i="30"/>
  <c r="AC27" i="20"/>
  <c r="F5" i="35"/>
  <c r="G7" i="55" s="1"/>
  <c r="W46" i="48"/>
  <c r="V46" i="48"/>
  <c r="X46" i="48"/>
  <c r="U46" i="48"/>
  <c r="P4" i="50"/>
  <c r="W64" i="59"/>
  <c r="D41" i="75"/>
  <c r="L4" i="50"/>
  <c r="S64" i="59"/>
  <c r="S62" i="59" s="1"/>
  <c r="S65" i="59" s="1"/>
  <c r="V98" i="75"/>
  <c r="V97" i="75" s="1"/>
  <c r="V100" i="75" s="1"/>
  <c r="V27" i="75"/>
  <c r="V26" i="75" s="1"/>
  <c r="V29" i="75" s="1"/>
  <c r="V42" i="75"/>
  <c r="W43" i="30"/>
  <c r="M26" i="21"/>
  <c r="AD50" i="30"/>
  <c r="U12" i="30"/>
  <c r="AD49" i="30" s="1"/>
  <c r="Y12" i="20"/>
  <c r="Y28" i="20"/>
  <c r="U43" i="30"/>
  <c r="AD80" i="30" s="1"/>
  <c r="K26" i="21"/>
  <c r="K38" i="48"/>
  <c r="L33" i="48"/>
  <c r="L65" i="48" s="1"/>
  <c r="L72" i="48" s="1"/>
  <c r="D100" i="55"/>
  <c r="D68" i="55"/>
  <c r="G109" i="75"/>
  <c r="G37" i="75" s="1"/>
  <c r="G41" i="75" s="1"/>
  <c r="N4" i="50"/>
  <c r="U64" i="59"/>
  <c r="U62" i="59" s="1"/>
  <c r="U65" i="59" s="1"/>
  <c r="H82" i="55"/>
  <c r="H114" i="55"/>
  <c r="AB48" i="48"/>
  <c r="Y48" i="48"/>
  <c r="AA48" i="48"/>
  <c r="Z48" i="48"/>
  <c r="Z12" i="48"/>
  <c r="W14" i="75"/>
  <c r="W16" i="59"/>
  <c r="W14" i="59" s="1"/>
  <c r="W63" i="59" s="1"/>
  <c r="W62" i="59" s="1"/>
  <c r="W65" i="59" s="1"/>
  <c r="X20" i="25"/>
  <c r="G96" i="55"/>
  <c r="G128" i="55"/>
  <c r="P97" i="75"/>
  <c r="P100" i="75" s="1"/>
  <c r="R43" i="30"/>
  <c r="H26" i="21"/>
  <c r="F106" i="55"/>
  <c r="F74" i="55"/>
  <c r="K35" i="48"/>
  <c r="L31" i="48"/>
  <c r="L63" i="48" s="1"/>
  <c r="L70" i="48" s="1"/>
  <c r="Y13" i="30"/>
  <c r="Y12" i="30" s="1"/>
  <c r="Z12" i="30" s="1"/>
  <c r="Y15" i="30"/>
  <c r="AC15" i="30"/>
  <c r="AD17" i="30"/>
  <c r="AC13" i="30"/>
  <c r="J66" i="59"/>
  <c r="I31" i="59"/>
  <c r="I33" i="59" s="1"/>
  <c r="O78" i="26"/>
  <c r="O75" i="26" s="1"/>
  <c r="O29" i="26"/>
  <c r="P30" i="26"/>
  <c r="O15" i="26"/>
  <c r="O20" i="26" s="1"/>
  <c r="O80" i="26" s="1"/>
  <c r="M30" i="76"/>
  <c r="E41" i="75"/>
  <c r="E49" i="26"/>
  <c r="E45" i="26" s="1"/>
  <c r="D45" i="26"/>
  <c r="AH38" i="26"/>
  <c r="AI14" i="26" s="1"/>
  <c r="N35" i="26"/>
  <c r="AH35" i="26" s="1"/>
  <c r="F14" i="76"/>
  <c r="G13" i="76"/>
  <c r="R4" i="50"/>
  <c r="C15" i="35"/>
  <c r="D17" i="55" s="1"/>
  <c r="Y64" i="59"/>
  <c r="F114" i="55"/>
  <c r="F82" i="55"/>
  <c r="AA26" i="59"/>
  <c r="AA64" i="59" s="1"/>
  <c r="AB50" i="59"/>
  <c r="P42" i="38"/>
  <c r="R42" i="38" s="1"/>
  <c r="T43" i="38"/>
  <c r="AB80" i="26"/>
  <c r="AB75" i="26" s="1"/>
  <c r="AC20" i="26"/>
  <c r="AB11" i="26"/>
  <c r="Q64" i="59"/>
  <c r="Q62" i="59" s="1"/>
  <c r="Q65" i="59" s="1"/>
  <c r="J4" i="50"/>
  <c r="Y12" i="74"/>
  <c r="X14" i="74"/>
  <c r="X13" i="74" s="1"/>
  <c r="X11" i="74"/>
  <c r="X19" i="74" s="1"/>
  <c r="M64" i="59"/>
  <c r="M62" i="59" s="1"/>
  <c r="M65" i="59" s="1"/>
  <c r="G18" i="49"/>
  <c r="G19" i="49" s="1"/>
  <c r="Z85" i="75"/>
  <c r="Y34" i="75"/>
  <c r="Y99" i="75" s="1"/>
  <c r="Y24" i="75"/>
  <c r="Y28" i="75" s="1"/>
  <c r="Y26" i="75" s="1"/>
  <c r="J12" i="20"/>
  <c r="J28" i="20"/>
  <c r="V49" i="48"/>
  <c r="X49" i="48"/>
  <c r="W49" i="48"/>
  <c r="U49" i="48"/>
  <c r="F109" i="75"/>
  <c r="F37" i="75" s="1"/>
  <c r="F41" i="75" s="1"/>
  <c r="F78" i="55"/>
  <c r="F110" i="55"/>
  <c r="Q97" i="75"/>
  <c r="Q100" i="75" s="1"/>
  <c r="K4" i="50"/>
  <c r="R64" i="59"/>
  <c r="R62" i="59" s="1"/>
  <c r="R65" i="59" s="1"/>
  <c r="N75" i="26"/>
  <c r="E109" i="75"/>
  <c r="E37" i="75" s="1"/>
  <c r="F15" i="35"/>
  <c r="G17" i="55" s="1"/>
  <c r="E25" i="21"/>
  <c r="E15" i="35"/>
  <c r="F17" i="55" s="1"/>
  <c r="K92" i="55"/>
  <c r="K124" i="55"/>
  <c r="S20" i="38"/>
  <c r="L20" i="38" s="1"/>
  <c r="N20" i="38" s="1"/>
  <c r="L19" i="38"/>
  <c r="X64" i="59"/>
  <c r="Q4" i="50"/>
  <c r="W67" i="59"/>
  <c r="X68" i="59"/>
  <c r="G114" i="55"/>
  <c r="G82" i="55"/>
  <c r="AC14" i="25"/>
  <c r="AC13" i="25" s="1"/>
  <c r="AC11" i="25" s="1"/>
  <c r="AC19" i="25" s="1"/>
  <c r="AD12" i="25"/>
  <c r="I102" i="55"/>
  <c r="I70" i="55"/>
  <c r="W15" i="21"/>
  <c r="O31" i="38"/>
  <c r="Q31" i="38" s="1"/>
  <c r="S32" i="38"/>
  <c r="AF11" i="20"/>
  <c r="I4" i="35"/>
  <c r="J6" i="55" s="1"/>
  <c r="J101" i="75"/>
  <c r="J109" i="75" s="1"/>
  <c r="J37" i="75" s="1"/>
  <c r="I39" i="75"/>
  <c r="I41" i="75" s="1"/>
  <c r="M34" i="48"/>
  <c r="AB12" i="49"/>
  <c r="G15" i="35"/>
  <c r="H17" i="55" s="1"/>
  <c r="U97" i="75"/>
  <c r="U100" i="75" s="1"/>
  <c r="AA105" i="75"/>
  <c r="AA104" i="75"/>
  <c r="AA106" i="75" s="1"/>
  <c r="X99" i="75"/>
  <c r="D116" i="55"/>
  <c r="D84" i="55"/>
  <c r="AB17" i="75"/>
  <c r="AB15" i="33"/>
  <c r="AB17" i="59"/>
  <c r="AC10" i="33"/>
  <c r="F12" i="35"/>
  <c r="G14" i="55" s="1"/>
  <c r="Y50" i="48"/>
  <c r="AB50" i="48"/>
  <c r="AA50" i="48"/>
  <c r="Z50" i="48"/>
  <c r="Z16" i="48"/>
  <c r="T40" i="30"/>
  <c r="J25" i="21"/>
  <c r="B50" i="76"/>
  <c r="D50" i="76" s="1"/>
  <c r="G35" i="76" s="1"/>
  <c r="H35" i="76" s="1"/>
  <c r="D49" i="76"/>
  <c r="W103" i="75"/>
  <c r="V102" i="75"/>
  <c r="G33" i="59"/>
  <c r="I109" i="75"/>
  <c r="I37" i="75" s="1"/>
  <c r="L37" i="48"/>
  <c r="M32" i="48"/>
  <c r="O4" i="50"/>
  <c r="V64" i="59"/>
  <c r="G25" i="21"/>
  <c r="AA38" i="59"/>
  <c r="D18" i="35"/>
  <c r="E20" i="55" s="1"/>
  <c r="L25" i="21"/>
  <c r="G118" i="55" l="1"/>
  <c r="M37" i="48"/>
  <c r="M64" i="48"/>
  <c r="M71" i="48" s="1"/>
  <c r="M39" i="48"/>
  <c r="M66" i="48"/>
  <c r="M73" i="48" s="1"/>
  <c r="AD129" i="48"/>
  <c r="AC23" i="48"/>
  <c r="AC19" i="48" s="1"/>
  <c r="G20" i="35" s="1"/>
  <c r="H22" i="55" s="1"/>
  <c r="G20" i="49"/>
  <c r="Z27" i="49" s="1"/>
  <c r="AC14" i="75"/>
  <c r="AC14" i="59"/>
  <c r="G8" i="35"/>
  <c r="H10" i="55" s="1"/>
  <c r="AE69" i="59"/>
  <c r="AE71" i="59" s="1"/>
  <c r="AE70" i="59"/>
  <c r="Z76" i="59" s="1"/>
  <c r="AC77" i="59" s="1"/>
  <c r="AA16" i="48"/>
  <c r="D21" i="35"/>
  <c r="E23" i="55" s="1"/>
  <c r="G14" i="76"/>
  <c r="H13" i="76"/>
  <c r="K66" i="59"/>
  <c r="J31" i="59"/>
  <c r="J74" i="59"/>
  <c r="J29" i="59" s="1"/>
  <c r="J44" i="76"/>
  <c r="I44" i="76"/>
  <c r="V43" i="30"/>
  <c r="L26" i="21"/>
  <c r="P43" i="38"/>
  <c r="R43" i="38" s="1"/>
  <c r="T44" i="38"/>
  <c r="L38" i="48"/>
  <c r="M33" i="48"/>
  <c r="M28" i="20"/>
  <c r="M12" i="20"/>
  <c r="G46" i="76"/>
  <c r="H46" i="76" s="1"/>
  <c r="H45" i="76"/>
  <c r="O49" i="20"/>
  <c r="O50" i="20" s="1"/>
  <c r="H2" i="50"/>
  <c r="AC12" i="49"/>
  <c r="AD12" i="49" s="1"/>
  <c r="AE12" i="49" s="1"/>
  <c r="AF12" i="49" s="1"/>
  <c r="AG12" i="49" s="1"/>
  <c r="N19" i="38"/>
  <c r="N46" i="38" s="1"/>
  <c r="N47" i="38" s="1"/>
  <c r="L46" i="38"/>
  <c r="L47" i="38" s="1"/>
  <c r="AC80" i="26"/>
  <c r="AC75" i="26" s="1"/>
  <c r="AD20" i="26"/>
  <c r="AC11" i="26"/>
  <c r="E116" i="55"/>
  <c r="E84" i="55"/>
  <c r="AD15" i="30"/>
  <c r="AD13" i="30"/>
  <c r="AE17" i="30"/>
  <c r="AB49" i="48"/>
  <c r="Z49" i="48"/>
  <c r="Y49" i="48"/>
  <c r="AA49" i="48"/>
  <c r="Z14" i="48"/>
  <c r="AA14" i="48" s="1"/>
  <c r="G106" i="55"/>
  <c r="G74" i="55"/>
  <c r="Z34" i="75"/>
  <c r="Z99" i="75" s="1"/>
  <c r="Z24" i="75"/>
  <c r="AA85" i="75"/>
  <c r="AB49" i="20"/>
  <c r="AB50" i="20" s="1"/>
  <c r="F2" i="35"/>
  <c r="G4" i="55" s="1"/>
  <c r="AB38" i="59"/>
  <c r="E18" i="35"/>
  <c r="F20" i="55" s="1"/>
  <c r="G110" i="55"/>
  <c r="G78" i="55"/>
  <c r="AE50" i="48"/>
  <c r="AC50" i="48"/>
  <c r="AG50" i="48"/>
  <c r="AF50" i="48"/>
  <c r="AD50" i="48"/>
  <c r="AD14" i="25"/>
  <c r="AD13" i="25" s="1"/>
  <c r="AD11" i="25"/>
  <c r="AD19" i="25" s="1"/>
  <c r="H8" i="35" s="1"/>
  <c r="I10" i="55" s="1"/>
  <c r="E100" i="55"/>
  <c r="E68" i="55"/>
  <c r="E113" i="55"/>
  <c r="E81" i="55"/>
  <c r="I34" i="76"/>
  <c r="J34" i="76" s="1"/>
  <c r="X103" i="75"/>
  <c r="W102" i="75"/>
  <c r="AC17" i="59"/>
  <c r="AC17" i="75"/>
  <c r="AC15" i="33"/>
  <c r="AD10" i="33"/>
  <c r="G12" i="35"/>
  <c r="H14" i="55" s="1"/>
  <c r="AB104" i="75"/>
  <c r="AB106" i="75" s="1"/>
  <c r="AB105" i="75" s="1"/>
  <c r="F113" i="55"/>
  <c r="F81" i="55"/>
  <c r="AC50" i="59"/>
  <c r="AB26" i="59"/>
  <c r="AB64" i="59" s="1"/>
  <c r="G71" i="55"/>
  <c r="G103" i="55"/>
  <c r="Z12" i="20"/>
  <c r="Z28" i="20"/>
  <c r="H18" i="49"/>
  <c r="H19" i="49" s="1"/>
  <c r="Z28" i="48"/>
  <c r="AA12" i="48"/>
  <c r="Z37" i="80"/>
  <c r="Q43" i="30"/>
  <c r="G26" i="21"/>
  <c r="J102" i="55"/>
  <c r="J70" i="55"/>
  <c r="L35" i="48"/>
  <c r="M31" i="48"/>
  <c r="X14" i="75"/>
  <c r="X16" i="59"/>
  <c r="Y20" i="25"/>
  <c r="X19" i="25"/>
  <c r="X15" i="59" s="1"/>
  <c r="AD27" i="20"/>
  <c r="G5" i="35"/>
  <c r="H7" i="55" s="1"/>
  <c r="E106" i="55"/>
  <c r="E74" i="55"/>
  <c r="AE48" i="48"/>
  <c r="AC48" i="48"/>
  <c r="AG48" i="48"/>
  <c r="AF48" i="48"/>
  <c r="AD48" i="48"/>
  <c r="AA12" i="30"/>
  <c r="Z11" i="30"/>
  <c r="Z46" i="30" s="1"/>
  <c r="D6" i="35" s="1"/>
  <c r="E8" i="55" s="1"/>
  <c r="I35" i="76"/>
  <c r="J35" i="76" s="1"/>
  <c r="H113" i="55"/>
  <c r="H81" i="55"/>
  <c r="J4" i="35"/>
  <c r="K6" i="55" s="1"/>
  <c r="K70" i="55" s="1"/>
  <c r="AG11" i="20"/>
  <c r="K4" i="35" s="1"/>
  <c r="L6" i="55" s="1"/>
  <c r="X67" i="59"/>
  <c r="Y68" i="59"/>
  <c r="G113" i="55"/>
  <c r="G81" i="55"/>
  <c r="Z12" i="74"/>
  <c r="Y11" i="74"/>
  <c r="Y19" i="74" s="1"/>
  <c r="Y14" i="74"/>
  <c r="Y13" i="74" s="1"/>
  <c r="Y46" i="48"/>
  <c r="AB46" i="48"/>
  <c r="AA46" i="48"/>
  <c r="Z46" i="48"/>
  <c r="F100" i="55"/>
  <c r="F68" i="55"/>
  <c r="K101" i="75"/>
  <c r="J39" i="75"/>
  <c r="J41" i="75" s="1"/>
  <c r="O43" i="30"/>
  <c r="E26" i="21"/>
  <c r="T43" i="30"/>
  <c r="J26" i="21"/>
  <c r="P29" i="26"/>
  <c r="Q30" i="26"/>
  <c r="P15" i="26"/>
  <c r="P78" i="26"/>
  <c r="AA12" i="20"/>
  <c r="AA28" i="20"/>
  <c r="K43" i="76"/>
  <c r="M43" i="76" s="1"/>
  <c r="L43" i="76"/>
  <c r="S33" i="38"/>
  <c r="O32" i="38"/>
  <c r="Q32" i="38" s="1"/>
  <c r="N49" i="20"/>
  <c r="N50" i="20" s="1"/>
  <c r="G2" i="50"/>
  <c r="D81" i="55"/>
  <c r="D113" i="55"/>
  <c r="F128" i="55"/>
  <c r="F96" i="55"/>
  <c r="H86" i="55" l="1"/>
  <c r="H118" i="55"/>
  <c r="M38" i="48"/>
  <c r="M65" i="48"/>
  <c r="M72" i="48" s="1"/>
  <c r="AE129" i="48"/>
  <c r="AD23" i="48"/>
  <c r="AD19" i="48" s="1"/>
  <c r="H20" i="35" s="1"/>
  <c r="I22" i="55" s="1"/>
  <c r="M35" i="48"/>
  <c r="M63" i="48"/>
  <c r="M70" i="48" s="1"/>
  <c r="Z9" i="48"/>
  <c r="Z26" i="48" s="1"/>
  <c r="J18" i="49"/>
  <c r="J19" i="49" s="1"/>
  <c r="D11" i="35"/>
  <c r="E13" i="55" s="1"/>
  <c r="Z45" i="75"/>
  <c r="Z29" i="49"/>
  <c r="Z30" i="49" s="1"/>
  <c r="Z37" i="59"/>
  <c r="AA27" i="49"/>
  <c r="AA45" i="75" s="1"/>
  <c r="L102" i="55"/>
  <c r="L70" i="55"/>
  <c r="L35" i="76"/>
  <c r="K35" i="76"/>
  <c r="L36" i="76"/>
  <c r="AC104" i="75"/>
  <c r="AC106" i="75" s="1"/>
  <c r="AC105" i="75" s="1"/>
  <c r="L34" i="76"/>
  <c r="K34" i="76"/>
  <c r="P20" i="26"/>
  <c r="P80" i="26" s="1"/>
  <c r="P75" i="26" s="1"/>
  <c r="L101" i="75"/>
  <c r="K39" i="75"/>
  <c r="K41" i="75" s="1"/>
  <c r="K109" i="75"/>
  <c r="K37" i="75" s="1"/>
  <c r="AB12" i="30"/>
  <c r="AA11" i="30"/>
  <c r="AA46" i="30" s="1"/>
  <c r="E6" i="35" s="1"/>
  <c r="F8" i="55" s="1"/>
  <c r="X14" i="59"/>
  <c r="X63" i="59" s="1"/>
  <c r="X62" i="59" s="1"/>
  <c r="X65" i="59" s="1"/>
  <c r="O12" i="20"/>
  <c r="O28" i="20"/>
  <c r="Z68" i="59"/>
  <c r="Y67" i="59"/>
  <c r="Y14" i="75"/>
  <c r="Y16" i="59"/>
  <c r="C9" i="35"/>
  <c r="D11" i="55" s="1"/>
  <c r="Y19" i="25"/>
  <c r="AB12" i="48"/>
  <c r="AA28" i="48"/>
  <c r="AA9" i="48"/>
  <c r="J45" i="76"/>
  <c r="J47" i="76" s="1"/>
  <c r="L47" i="76" s="1"/>
  <c r="I45" i="76"/>
  <c r="N12" i="20"/>
  <c r="N28" i="20"/>
  <c r="Q29" i="26"/>
  <c r="R30" i="26"/>
  <c r="Q15" i="26"/>
  <c r="Q20" i="26" s="1"/>
  <c r="Q80" i="26" s="1"/>
  <c r="Q78" i="26"/>
  <c r="Q75" i="26" s="1"/>
  <c r="H78" i="55"/>
  <c r="H110" i="55"/>
  <c r="AB14" i="48"/>
  <c r="AC14" i="48" s="1"/>
  <c r="AD14" i="48" s="1"/>
  <c r="AE14" i="48" s="1"/>
  <c r="AF14" i="48" s="1"/>
  <c r="AG14" i="48" s="1"/>
  <c r="E119" i="55"/>
  <c r="E87" i="55"/>
  <c r="K102" i="55"/>
  <c r="AE10" i="33"/>
  <c r="AD15" i="33"/>
  <c r="H12" i="35"/>
  <c r="I14" i="55" s="1"/>
  <c r="AE20" i="26"/>
  <c r="AD80" i="26"/>
  <c r="AD75" i="26" s="1"/>
  <c r="AD11" i="26"/>
  <c r="AD9" i="26" s="1"/>
  <c r="AB16" i="48"/>
  <c r="E21" i="35"/>
  <c r="F23" i="55" s="1"/>
  <c r="O33" i="38"/>
  <c r="Q33" i="38" s="1"/>
  <c r="S34" i="38"/>
  <c r="AE46" i="48"/>
  <c r="AC46" i="48"/>
  <c r="AG46" i="48"/>
  <c r="AF46" i="48"/>
  <c r="AD46" i="48"/>
  <c r="AC10" i="48"/>
  <c r="F84" i="55"/>
  <c r="F116" i="55"/>
  <c r="AC49" i="20"/>
  <c r="AC50" i="20" s="1"/>
  <c r="G2" i="35"/>
  <c r="H4" i="55" s="1"/>
  <c r="AC38" i="59"/>
  <c r="F18" i="35"/>
  <c r="G20" i="55" s="1"/>
  <c r="AF49" i="48"/>
  <c r="AE49" i="48"/>
  <c r="AG49" i="48"/>
  <c r="AD49" i="48"/>
  <c r="AC49" i="48"/>
  <c r="K44" i="76"/>
  <c r="M44" i="76" s="1"/>
  <c r="L44" i="76"/>
  <c r="AF69" i="59"/>
  <c r="AF71" i="59" s="1"/>
  <c r="AF70" i="59" s="1"/>
  <c r="H71" i="55"/>
  <c r="H103" i="55"/>
  <c r="G100" i="55"/>
  <c r="G68" i="55"/>
  <c r="P44" i="38"/>
  <c r="R44" i="38" s="1"/>
  <c r="T45" i="38"/>
  <c r="P45" i="38" s="1"/>
  <c r="I46" i="76"/>
  <c r="J46" i="76" s="1"/>
  <c r="AE27" i="20"/>
  <c r="H5" i="35"/>
  <c r="I7" i="55" s="1"/>
  <c r="I106" i="55"/>
  <c r="I74" i="55"/>
  <c r="AB12" i="20"/>
  <c r="AB28" i="20"/>
  <c r="AE15" i="30"/>
  <c r="AF17" i="30"/>
  <c r="AE13" i="30"/>
  <c r="I18" i="49"/>
  <c r="I19" i="49" s="1"/>
  <c r="I20" i="49" s="1"/>
  <c r="J33" i="59"/>
  <c r="C3" i="50" s="1"/>
  <c r="H106" i="55"/>
  <c r="H74" i="55"/>
  <c r="Y103" i="75"/>
  <c r="X102" i="75"/>
  <c r="AA34" i="75"/>
  <c r="AA99" i="75" s="1"/>
  <c r="AA24" i="75"/>
  <c r="AB85" i="75"/>
  <c r="L66" i="59"/>
  <c r="K31" i="59"/>
  <c r="K74" i="59"/>
  <c r="K29" i="59" s="1"/>
  <c r="AA12" i="74"/>
  <c r="Z14" i="74"/>
  <c r="Z13" i="74" s="1"/>
  <c r="Z11" i="74"/>
  <c r="Z19" i="74" s="1"/>
  <c r="E104" i="55"/>
  <c r="E72" i="55"/>
  <c r="AD50" i="59"/>
  <c r="AC26" i="59"/>
  <c r="AC64" i="59" s="1"/>
  <c r="Z28" i="75"/>
  <c r="Z26" i="75" s="1"/>
  <c r="I13" i="76"/>
  <c r="H14" i="76"/>
  <c r="Z32" i="80" l="1"/>
  <c r="AE23" i="48"/>
  <c r="AE19" i="48" s="1"/>
  <c r="I20" i="35" s="1"/>
  <c r="J22" i="55" s="1"/>
  <c r="AF129" i="48"/>
  <c r="I118" i="55"/>
  <c r="I86" i="55"/>
  <c r="D19" i="35"/>
  <c r="E21" i="55" s="1"/>
  <c r="E85" i="55" s="1"/>
  <c r="AA37" i="59"/>
  <c r="AA29" i="49"/>
  <c r="AA30" i="49" s="1"/>
  <c r="E11" i="35"/>
  <c r="F13" i="55" s="1"/>
  <c r="F77" i="55" s="1"/>
  <c r="D10" i="35"/>
  <c r="E12" i="55" s="1"/>
  <c r="E76" i="55" s="1"/>
  <c r="Z10" i="26"/>
  <c r="Z9" i="26" s="1"/>
  <c r="J20" i="49"/>
  <c r="AB27" i="49"/>
  <c r="F11" i="35" s="1"/>
  <c r="G13" i="55" s="1"/>
  <c r="P49" i="20"/>
  <c r="P50" i="20" s="1"/>
  <c r="I2" i="50"/>
  <c r="AG69" i="59"/>
  <c r="AG71" i="59" s="1"/>
  <c r="AD76" i="59"/>
  <c r="AG70" i="59"/>
  <c r="AD104" i="75"/>
  <c r="AD106" i="75" s="1"/>
  <c r="AD105" i="75" s="1"/>
  <c r="L46" i="76"/>
  <c r="K46" i="76"/>
  <c r="M46" i="76" s="1"/>
  <c r="L31" i="59"/>
  <c r="M66" i="59"/>
  <c r="L74" i="59"/>
  <c r="L29" i="59" s="1"/>
  <c r="R46" i="38"/>
  <c r="R47" i="38" s="1"/>
  <c r="I78" i="55"/>
  <c r="I110" i="55"/>
  <c r="J2" i="50"/>
  <c r="Q49" i="20"/>
  <c r="Q50" i="20" s="1"/>
  <c r="AA68" i="59"/>
  <c r="Z67" i="59"/>
  <c r="AD49" i="20"/>
  <c r="AD50" i="20" s="1"/>
  <c r="H2" i="35"/>
  <c r="I4" i="55" s="1"/>
  <c r="K33" i="59"/>
  <c r="D3" i="50" s="1"/>
  <c r="R45" i="38"/>
  <c r="P46" i="38"/>
  <c r="P47" i="38" s="1"/>
  <c r="AC27" i="48"/>
  <c r="AD10" i="48"/>
  <c r="AF15" i="30"/>
  <c r="AG17" i="30"/>
  <c r="AF13" i="30"/>
  <c r="E77" i="55"/>
  <c r="E109" i="55"/>
  <c r="AE15" i="33"/>
  <c r="AF10" i="33"/>
  <c r="I12" i="35"/>
  <c r="J14" i="55" s="1"/>
  <c r="I22" i="33"/>
  <c r="R29" i="26"/>
  <c r="S30" i="26"/>
  <c r="R15" i="26"/>
  <c r="R78" i="26"/>
  <c r="M34" i="76"/>
  <c r="AE50" i="59"/>
  <c r="AD26" i="59"/>
  <c r="AD64" i="59" s="1"/>
  <c r="AF20" i="26"/>
  <c r="AE80" i="26"/>
  <c r="AE75" i="26" s="1"/>
  <c r="AB24" i="75"/>
  <c r="AC85" i="75"/>
  <c r="AB34" i="75"/>
  <c r="AB99" i="75" s="1"/>
  <c r="G84" i="55"/>
  <c r="G116" i="55"/>
  <c r="L45" i="76"/>
  <c r="K45" i="76"/>
  <c r="M45" i="76" s="1"/>
  <c r="I14" i="76"/>
  <c r="J13" i="76"/>
  <c r="AA26" i="48"/>
  <c r="E19" i="35"/>
  <c r="F21" i="55" s="1"/>
  <c r="AA28" i="75"/>
  <c r="AA26" i="75" s="1"/>
  <c r="F72" i="55"/>
  <c r="F104" i="55"/>
  <c r="S35" i="38"/>
  <c r="O34" i="38"/>
  <c r="Q34" i="38" s="1"/>
  <c r="AC12" i="30"/>
  <c r="AB11" i="30"/>
  <c r="AB46" i="30" s="1"/>
  <c r="F6" i="35" s="1"/>
  <c r="G8" i="55" s="1"/>
  <c r="AD38" i="59"/>
  <c r="G18" i="35"/>
  <c r="H20" i="55" s="1"/>
  <c r="AA14" i="74"/>
  <c r="AA13" i="74" s="1"/>
  <c r="AA11" i="74" s="1"/>
  <c r="AA19" i="74" s="1"/>
  <c r="AB12" i="74"/>
  <c r="AB28" i="48"/>
  <c r="AC12" i="48"/>
  <c r="AB9" i="48"/>
  <c r="Z103" i="75"/>
  <c r="Y102" i="75"/>
  <c r="H100" i="55"/>
  <c r="H68" i="55"/>
  <c r="I71" i="55"/>
  <c r="I103" i="55"/>
  <c r="F119" i="55"/>
  <c r="F87" i="55"/>
  <c r="Y15" i="59"/>
  <c r="Y14" i="59" s="1"/>
  <c r="Y63" i="59" s="1"/>
  <c r="Y62" i="59" s="1"/>
  <c r="Y65" i="59" s="1"/>
  <c r="C8" i="35"/>
  <c r="D10" i="55" s="1"/>
  <c r="M35" i="76"/>
  <c r="M36" i="76"/>
  <c r="AF27" i="20"/>
  <c r="I5" i="35"/>
  <c r="J7" i="55" s="1"/>
  <c r="AC12" i="20"/>
  <c r="AC28" i="20"/>
  <c r="AC16" i="48"/>
  <c r="F21" i="35"/>
  <c r="G23" i="55" s="1"/>
  <c r="D75" i="55"/>
  <c r="D107" i="55"/>
  <c r="M101" i="75"/>
  <c r="L39" i="75"/>
  <c r="L109" i="75"/>
  <c r="L37" i="75" s="1"/>
  <c r="F109" i="55" l="1"/>
  <c r="E10" i="35"/>
  <c r="F12" i="55" s="1"/>
  <c r="J86" i="55"/>
  <c r="J118" i="55"/>
  <c r="AG129" i="48"/>
  <c r="AG23" i="48" s="1"/>
  <c r="AG19" i="48" s="1"/>
  <c r="K20" i="35" s="1"/>
  <c r="L22" i="55" s="1"/>
  <c r="AF23" i="48"/>
  <c r="AF19" i="48" s="1"/>
  <c r="J20" i="35" s="1"/>
  <c r="K22" i="55" s="1"/>
  <c r="E117" i="55"/>
  <c r="AA10" i="26"/>
  <c r="AA9" i="26" s="1"/>
  <c r="AB29" i="49"/>
  <c r="AB30" i="49" s="1"/>
  <c r="AB45" i="75"/>
  <c r="AC27" i="49"/>
  <c r="AD27" i="49" s="1"/>
  <c r="AB37" i="59"/>
  <c r="E108" i="55"/>
  <c r="AE104" i="75"/>
  <c r="AE106" i="75" s="1"/>
  <c r="AE105" i="75" s="1"/>
  <c r="AD16" i="48"/>
  <c r="G21" i="35"/>
  <c r="H23" i="55" s="1"/>
  <c r="H84" i="55"/>
  <c r="H116" i="55"/>
  <c r="J14" i="76"/>
  <c r="K13" i="76"/>
  <c r="I100" i="55"/>
  <c r="I68" i="55"/>
  <c r="G119" i="55"/>
  <c r="G87" i="55"/>
  <c r="AG20" i="26"/>
  <c r="AG80" i="26" s="1"/>
  <c r="AG75" i="26" s="1"/>
  <c r="AF80" i="26"/>
  <c r="AF75" i="26" s="1"/>
  <c r="L33" i="59"/>
  <c r="E3" i="50" s="1"/>
  <c r="G104" i="55"/>
  <c r="G72" i="55"/>
  <c r="K47" i="76"/>
  <c r="M47" i="76" s="1"/>
  <c r="AG10" i="33"/>
  <c r="AF15" i="33"/>
  <c r="J12" i="35"/>
  <c r="K14" i="55" s="1"/>
  <c r="AG13" i="30"/>
  <c r="AG15" i="30"/>
  <c r="Q12" i="20"/>
  <c r="Q28" i="20"/>
  <c r="L41" i="75"/>
  <c r="AB26" i="48"/>
  <c r="F19" i="35"/>
  <c r="G21" i="55" s="1"/>
  <c r="O35" i="38"/>
  <c r="Q35" i="38" s="1"/>
  <c r="S36" i="38"/>
  <c r="O36" i="38" s="1"/>
  <c r="AD12" i="30"/>
  <c r="AC11" i="30"/>
  <c r="AC46" i="30" s="1"/>
  <c r="G6" i="35" s="1"/>
  <c r="H8" i="55" s="1"/>
  <c r="Z102" i="75"/>
  <c r="AA103" i="75"/>
  <c r="N101" i="75"/>
  <c r="M39" i="75"/>
  <c r="M109" i="75"/>
  <c r="M37" i="75" s="1"/>
  <c r="R20" i="26"/>
  <c r="R80" i="26" s="1"/>
  <c r="R75" i="26" s="1"/>
  <c r="D106" i="55"/>
  <c r="D74" i="55"/>
  <c r="T30" i="26"/>
  <c r="S15" i="26"/>
  <c r="S20" i="26" s="1"/>
  <c r="S80" i="26" s="1"/>
  <c r="S78" i="26"/>
  <c r="S29" i="26"/>
  <c r="AE38" i="59"/>
  <c r="H18" i="35"/>
  <c r="I20" i="55" s="1"/>
  <c r="J103" i="55"/>
  <c r="J71" i="55"/>
  <c r="AD12" i="48"/>
  <c r="AD9" i="48" s="1"/>
  <c r="AC28" i="48"/>
  <c r="AD27" i="48"/>
  <c r="AE10" i="48"/>
  <c r="AD85" i="75"/>
  <c r="AE85" i="75" s="1"/>
  <c r="AF85" i="75" s="1"/>
  <c r="AG85" i="75" s="1"/>
  <c r="AC24" i="75"/>
  <c r="AC34" i="75"/>
  <c r="AC99" i="75" s="1"/>
  <c r="AC9" i="48"/>
  <c r="AE26" i="59"/>
  <c r="AE64" i="59" s="1"/>
  <c r="AF50" i="59"/>
  <c r="AG27" i="20"/>
  <c r="K5" i="35" s="1"/>
  <c r="L7" i="55" s="1"/>
  <c r="J5" i="35"/>
  <c r="K7" i="55" s="1"/>
  <c r="K71" i="55" s="1"/>
  <c r="AB14" i="74"/>
  <c r="AB13" i="74" s="1"/>
  <c r="AB11" i="74"/>
  <c r="AB19" i="74" s="1"/>
  <c r="AC12" i="74"/>
  <c r="AB28" i="75"/>
  <c r="AB26" i="75" s="1"/>
  <c r="AB68" i="59"/>
  <c r="AA67" i="59"/>
  <c r="F108" i="55"/>
  <c r="F76" i="55"/>
  <c r="F117" i="55"/>
  <c r="F85" i="55"/>
  <c r="AE49" i="20"/>
  <c r="AE50" i="20" s="1"/>
  <c r="I2" i="35"/>
  <c r="J4" i="55" s="1"/>
  <c r="J78" i="55"/>
  <c r="J110" i="55"/>
  <c r="G77" i="55"/>
  <c r="G109" i="55"/>
  <c r="M31" i="59"/>
  <c r="N66" i="59"/>
  <c r="M74" i="59"/>
  <c r="M29" i="59" s="1"/>
  <c r="P28" i="20"/>
  <c r="P12" i="20"/>
  <c r="F10" i="35" l="1"/>
  <c r="G12" i="55" s="1"/>
  <c r="AC45" i="75"/>
  <c r="AB10" i="26"/>
  <c r="AB9" i="26" s="1"/>
  <c r="K86" i="55"/>
  <c r="K118" i="55"/>
  <c r="L118" i="55"/>
  <c r="L86" i="55"/>
  <c r="G11" i="35"/>
  <c r="H13" i="55" s="1"/>
  <c r="H77" i="55" s="1"/>
  <c r="AC37" i="59"/>
  <c r="AC29" i="49"/>
  <c r="AC30" i="49" s="1"/>
  <c r="L103" i="55"/>
  <c r="L71" i="55"/>
  <c r="R49" i="20"/>
  <c r="R50" i="20" s="1"/>
  <c r="K2" i="50"/>
  <c r="AF104" i="75"/>
  <c r="AF106" i="75" s="1"/>
  <c r="AF105" i="75" s="1"/>
  <c r="AF38" i="59"/>
  <c r="I18" i="35"/>
  <c r="J20" i="55" s="1"/>
  <c r="M41" i="75"/>
  <c r="M33" i="59"/>
  <c r="F3" i="50" s="1"/>
  <c r="AC68" i="59"/>
  <c r="AB67" i="59"/>
  <c r="AC28" i="75"/>
  <c r="AC26" i="75" s="1"/>
  <c r="G108" i="55"/>
  <c r="G76" i="55"/>
  <c r="N39" i="75"/>
  <c r="O101" i="75"/>
  <c r="N109" i="75"/>
  <c r="N37" i="75" s="1"/>
  <c r="Q36" i="38"/>
  <c r="Q46" i="38" s="1"/>
  <c r="Q47" i="38" s="1"/>
  <c r="O46" i="38"/>
  <c r="O47" i="38" s="1"/>
  <c r="I84" i="55"/>
  <c r="I116" i="55"/>
  <c r="AA102" i="75"/>
  <c r="AB103" i="75"/>
  <c r="AG15" i="33"/>
  <c r="AH10" i="33"/>
  <c r="K12" i="35"/>
  <c r="L14" i="55" s="1"/>
  <c r="L110" i="55" s="1"/>
  <c r="K14" i="76"/>
  <c r="L13" i="76"/>
  <c r="G117" i="55"/>
  <c r="G85" i="55"/>
  <c r="AC14" i="74"/>
  <c r="AC13" i="74" s="1"/>
  <c r="AC11" i="74" s="1"/>
  <c r="AC19" i="74" s="1"/>
  <c r="AD26" i="48"/>
  <c r="H19" i="35"/>
  <c r="I21" i="55" s="1"/>
  <c r="S75" i="26"/>
  <c r="H72" i="55"/>
  <c r="H104" i="55"/>
  <c r="K110" i="55"/>
  <c r="AF10" i="48"/>
  <c r="AE27" i="48"/>
  <c r="H119" i="55"/>
  <c r="H87" i="55"/>
  <c r="J100" i="55"/>
  <c r="J68" i="55"/>
  <c r="U30" i="26"/>
  <c r="T15" i="26"/>
  <c r="T20" i="26" s="1"/>
  <c r="T80" i="26" s="1"/>
  <c r="T78" i="26"/>
  <c r="T29" i="26"/>
  <c r="G10" i="35"/>
  <c r="H12" i="55" s="1"/>
  <c r="AE16" i="48"/>
  <c r="H21" i="35"/>
  <c r="I23" i="55" s="1"/>
  <c r="K103" i="55"/>
  <c r="AD28" i="48"/>
  <c r="AE12" i="48"/>
  <c r="AE9" i="48" s="1"/>
  <c r="AF49" i="20"/>
  <c r="AF50" i="20" s="1"/>
  <c r="J2" i="35"/>
  <c r="K4" i="55" s="1"/>
  <c r="AC26" i="48"/>
  <c r="G19" i="35"/>
  <c r="H21" i="55" s="1"/>
  <c r="N31" i="59"/>
  <c r="N33" i="59" s="1"/>
  <c r="G3" i="50" s="1"/>
  <c r="O66" i="59"/>
  <c r="N74" i="59"/>
  <c r="N29" i="59" s="1"/>
  <c r="AD11" i="30"/>
  <c r="AD46" i="30" s="1"/>
  <c r="H6" i="35" s="1"/>
  <c r="I8" i="55" s="1"/>
  <c r="AE12" i="30"/>
  <c r="AF26" i="59"/>
  <c r="AF64" i="59" s="1"/>
  <c r="AG50" i="59"/>
  <c r="AG26" i="59" s="1"/>
  <c r="AG64" i="59" s="1"/>
  <c r="AE27" i="49"/>
  <c r="AD29" i="49"/>
  <c r="H10" i="35" s="1"/>
  <c r="I12" i="55" s="1"/>
  <c r="H11" i="35"/>
  <c r="I13" i="55" s="1"/>
  <c r="AG49" i="20"/>
  <c r="AG50" i="20" s="1"/>
  <c r="K2" i="35"/>
  <c r="L4" i="55" s="1"/>
  <c r="L100" i="55" s="1"/>
  <c r="H109" i="55" l="1"/>
  <c r="AC10" i="26"/>
  <c r="AC9" i="26" s="1"/>
  <c r="AD30" i="49"/>
  <c r="AE26" i="48"/>
  <c r="I19" i="35"/>
  <c r="J21" i="55" s="1"/>
  <c r="I117" i="55"/>
  <c r="I85" i="55"/>
  <c r="AE11" i="30"/>
  <c r="AE46" i="30" s="1"/>
  <c r="I6" i="35" s="1"/>
  <c r="J8" i="55" s="1"/>
  <c r="AF12" i="30"/>
  <c r="AD68" i="59"/>
  <c r="AC67" i="59"/>
  <c r="I119" i="55"/>
  <c r="I87" i="55"/>
  <c r="AF16" i="48"/>
  <c r="I21" i="35"/>
  <c r="J23" i="55" s="1"/>
  <c r="J84" i="55"/>
  <c r="J116" i="55"/>
  <c r="I72" i="55"/>
  <c r="I104" i="55"/>
  <c r="H108" i="55"/>
  <c r="H76" i="55"/>
  <c r="AG38" i="59"/>
  <c r="K18" i="35" s="1"/>
  <c r="L20" i="55" s="1"/>
  <c r="L116" i="55" s="1"/>
  <c r="J18" i="35"/>
  <c r="K20" i="55" s="1"/>
  <c r="S49" i="20"/>
  <c r="S50" i="20" s="1"/>
  <c r="L2" i="50"/>
  <c r="AF27" i="48"/>
  <c r="AG10" i="48"/>
  <c r="M13" i="76"/>
  <c r="L14" i="76"/>
  <c r="O39" i="75"/>
  <c r="P101" i="75"/>
  <c r="O109" i="75"/>
  <c r="O37" i="75" s="1"/>
  <c r="I77" i="55"/>
  <c r="I109" i="55"/>
  <c r="AF27" i="49"/>
  <c r="AE29" i="49"/>
  <c r="I10" i="35" s="1"/>
  <c r="J12" i="55" s="1"/>
  <c r="I11" i="35"/>
  <c r="J13" i="55" s="1"/>
  <c r="N41" i="75"/>
  <c r="AE28" i="48"/>
  <c r="AF12" i="48"/>
  <c r="AF9" i="48" s="1"/>
  <c r="AC103" i="75"/>
  <c r="AB102" i="75"/>
  <c r="P66" i="59"/>
  <c r="O31" i="59"/>
  <c r="O74" i="59"/>
  <c r="O29" i="59" s="1"/>
  <c r="I108" i="55"/>
  <c r="I76" i="55"/>
  <c r="H85" i="55"/>
  <c r="H117" i="55"/>
  <c r="K100" i="55"/>
  <c r="K68" i="55"/>
  <c r="T75" i="26"/>
  <c r="V30" i="26"/>
  <c r="U15" i="26"/>
  <c r="U20" i="26" s="1"/>
  <c r="U80" i="26" s="1"/>
  <c r="U78" i="26"/>
  <c r="U29" i="26"/>
  <c r="AI10" i="33"/>
  <c r="AJ10" i="33" s="1"/>
  <c r="J22" i="33"/>
  <c r="R12" i="20"/>
  <c r="R28" i="20"/>
  <c r="S12" i="20" l="1"/>
  <c r="S28" i="20"/>
  <c r="AF26" i="48"/>
  <c r="J19" i="35"/>
  <c r="K21" i="55" s="1"/>
  <c r="K85" i="55" s="1"/>
  <c r="AE30" i="49"/>
  <c r="AF29" i="49"/>
  <c r="J10" i="35" s="1"/>
  <c r="K12" i="55" s="1"/>
  <c r="K76" i="55" s="1"/>
  <c r="AG27" i="49"/>
  <c r="J11" i="35"/>
  <c r="K13" i="55" s="1"/>
  <c r="K77" i="55" s="1"/>
  <c r="K116" i="55"/>
  <c r="AE68" i="59"/>
  <c r="AD67" i="59"/>
  <c r="U75" i="26"/>
  <c r="Q66" i="59"/>
  <c r="P31" i="59"/>
  <c r="P74" i="59"/>
  <c r="P29" i="59" s="1"/>
  <c r="AF11" i="30"/>
  <c r="AF46" i="30" s="1"/>
  <c r="J6" i="35" s="1"/>
  <c r="K8" i="55" s="1"/>
  <c r="AG12" i="30"/>
  <c r="AG11" i="30" s="1"/>
  <c r="AG46" i="30" s="1"/>
  <c r="K6" i="35" s="1"/>
  <c r="L8" i="55" s="1"/>
  <c r="L104" i="55" s="1"/>
  <c r="J72" i="55"/>
  <c r="J104" i="55"/>
  <c r="W30" i="26"/>
  <c r="V15" i="26"/>
  <c r="V20" i="26" s="1"/>
  <c r="V80" i="26" s="1"/>
  <c r="V78" i="26"/>
  <c r="V75" i="26" s="1"/>
  <c r="V29" i="26"/>
  <c r="AD103" i="75"/>
  <c r="AC102" i="75"/>
  <c r="O41" i="75"/>
  <c r="D135" i="75"/>
  <c r="J109" i="55"/>
  <c r="J77" i="55"/>
  <c r="T49" i="20"/>
  <c r="T50" i="20" s="1"/>
  <c r="M2" i="50"/>
  <c r="AF28" i="48"/>
  <c r="AG12" i="48"/>
  <c r="AG28" i="48" s="1"/>
  <c r="J108" i="55"/>
  <c r="J76" i="55"/>
  <c r="O33" i="59"/>
  <c r="H3" i="50" s="1"/>
  <c r="D100" i="59"/>
  <c r="M14" i="76"/>
  <c r="N13" i="76"/>
  <c r="J117" i="55"/>
  <c r="J85" i="55"/>
  <c r="J119" i="55"/>
  <c r="J87" i="55"/>
  <c r="AG16" i="48"/>
  <c r="K21" i="35" s="1"/>
  <c r="L23" i="55" s="1"/>
  <c r="J21" i="35"/>
  <c r="K23" i="55" s="1"/>
  <c r="K87" i="55" s="1"/>
  <c r="P39" i="75"/>
  <c r="Q101" i="75"/>
  <c r="P109" i="75"/>
  <c r="P37" i="75" s="1"/>
  <c r="AG27" i="48"/>
  <c r="L119" i="55" l="1"/>
  <c r="L87" i="55"/>
  <c r="V49" i="20"/>
  <c r="V50" i="20" s="1"/>
  <c r="O2" i="50"/>
  <c r="K119" i="55"/>
  <c r="AG29" i="49"/>
  <c r="K10" i="35" s="1"/>
  <c r="L12" i="55" s="1"/>
  <c r="K11" i="35"/>
  <c r="L13" i="55" s="1"/>
  <c r="K104" i="55"/>
  <c r="AF30" i="49"/>
  <c r="W15" i="26"/>
  <c r="W20" i="26" s="1"/>
  <c r="W80" i="26" s="1"/>
  <c r="W78" i="26"/>
  <c r="W29" i="26"/>
  <c r="X30" i="26"/>
  <c r="N14" i="76"/>
  <c r="O13" i="76"/>
  <c r="O14" i="76" s="1"/>
  <c r="AG9" i="48"/>
  <c r="P33" i="59"/>
  <c r="I3" i="50" s="1"/>
  <c r="K117" i="55"/>
  <c r="Q39" i="75"/>
  <c r="R101" i="75"/>
  <c r="Q109" i="75"/>
  <c r="Q37" i="75" s="1"/>
  <c r="P41" i="75"/>
  <c r="AF68" i="59"/>
  <c r="AE67" i="59"/>
  <c r="K109" i="55"/>
  <c r="K108" i="55"/>
  <c r="R66" i="59"/>
  <c r="Q31" i="59"/>
  <c r="Q33" i="59" s="1"/>
  <c r="J3" i="50" s="1"/>
  <c r="Q74" i="59"/>
  <c r="Q29" i="59" s="1"/>
  <c r="T12" i="20"/>
  <c r="T28" i="20"/>
  <c r="AE103" i="75"/>
  <c r="AD102" i="75"/>
  <c r="U49" i="20"/>
  <c r="U50" i="20" s="1"/>
  <c r="N2" i="50"/>
  <c r="AG30" i="49" l="1"/>
  <c r="L108" i="55"/>
  <c r="L76" i="55"/>
  <c r="L109" i="55"/>
  <c r="L77" i="55"/>
  <c r="S66" i="59"/>
  <c r="R31" i="59"/>
  <c r="R74" i="59"/>
  <c r="R29" i="59" s="1"/>
  <c r="W75" i="26"/>
  <c r="Q41" i="75"/>
  <c r="S101" i="75"/>
  <c r="R39" i="75"/>
  <c r="R109" i="75"/>
  <c r="R37" i="75" s="1"/>
  <c r="AG26" i="48"/>
  <c r="K19" i="35"/>
  <c r="L21" i="55" s="1"/>
  <c r="U12" i="20"/>
  <c r="U28" i="20"/>
  <c r="AG68" i="59"/>
  <c r="AG67" i="59" s="1"/>
  <c r="AF67" i="59"/>
  <c r="AF103" i="75"/>
  <c r="AF102" i="75" s="1"/>
  <c r="AE102" i="75"/>
  <c r="X78" i="26"/>
  <c r="X29" i="26"/>
  <c r="AH29" i="26" s="1"/>
  <c r="X15" i="26"/>
  <c r="AH30" i="26"/>
  <c r="AI15" i="26" s="1"/>
  <c r="V12" i="20"/>
  <c r="V28" i="20"/>
  <c r="L117" i="55" l="1"/>
  <c r="L85" i="55"/>
  <c r="X20" i="26"/>
  <c r="X80" i="26" s="1"/>
  <c r="AH15" i="26"/>
  <c r="T101" i="75"/>
  <c r="S39" i="75"/>
  <c r="S109" i="75"/>
  <c r="S37" i="75" s="1"/>
  <c r="W49" i="20"/>
  <c r="W50" i="20" s="1"/>
  <c r="P2" i="50"/>
  <c r="R41" i="75"/>
  <c r="R33" i="59"/>
  <c r="K3" i="50" s="1"/>
  <c r="X75" i="26"/>
  <c r="T66" i="59"/>
  <c r="S31" i="59"/>
  <c r="S74" i="59"/>
  <c r="S29" i="59" s="1"/>
  <c r="S33" i="59" l="1"/>
  <c r="L3" i="50" s="1"/>
  <c r="E100" i="59"/>
  <c r="X49" i="20"/>
  <c r="X50" i="20" s="1"/>
  <c r="Q2" i="50"/>
  <c r="S41" i="75"/>
  <c r="E135" i="75"/>
  <c r="U66" i="59"/>
  <c r="T31" i="59"/>
  <c r="T74" i="59"/>
  <c r="T29" i="59" s="1"/>
  <c r="W28" i="20"/>
  <c r="W12" i="20"/>
  <c r="U101" i="75"/>
  <c r="T39" i="75"/>
  <c r="T109" i="75"/>
  <c r="T37" i="75" s="1"/>
  <c r="V66" i="59" l="1"/>
  <c r="U31" i="59"/>
  <c r="U74" i="59"/>
  <c r="U29" i="59" s="1"/>
  <c r="V101" i="75"/>
  <c r="U39" i="75"/>
  <c r="U109" i="75"/>
  <c r="U37" i="75" s="1"/>
  <c r="T33" i="59"/>
  <c r="M3" i="50" s="1"/>
  <c r="X28" i="20"/>
  <c r="X12" i="20"/>
  <c r="T41" i="75"/>
  <c r="U41" i="75" l="1"/>
  <c r="W101" i="75"/>
  <c r="V39" i="75"/>
  <c r="V109" i="75"/>
  <c r="U33" i="59"/>
  <c r="N3" i="50" s="1"/>
  <c r="W66" i="59"/>
  <c r="V31" i="59"/>
  <c r="V74" i="59"/>
  <c r="V29" i="59" s="1"/>
  <c r="V33" i="59" l="1"/>
  <c r="O3" i="50" s="1"/>
  <c r="F100" i="59"/>
  <c r="X66" i="59"/>
  <c r="W31" i="59"/>
  <c r="W74" i="59"/>
  <c r="W29" i="59" s="1"/>
  <c r="W109" i="75"/>
  <c r="V37" i="75"/>
  <c r="V41" i="75"/>
  <c r="V43" i="75"/>
  <c r="V52" i="75"/>
  <c r="F135" i="75"/>
  <c r="X101" i="75"/>
  <c r="W39" i="75"/>
  <c r="X109" i="75" l="1"/>
  <c r="W37" i="75"/>
  <c r="W12" i="75" s="1"/>
  <c r="F133" i="75" s="1"/>
  <c r="F137" i="75" s="1"/>
  <c r="W33" i="59"/>
  <c r="P3" i="50" s="1"/>
  <c r="X31" i="59"/>
  <c r="Y66" i="59"/>
  <c r="X74" i="59"/>
  <c r="X29" i="59" s="1"/>
  <c r="Y101" i="75"/>
  <c r="X39" i="75"/>
  <c r="W41" i="75"/>
  <c r="Z101" i="75" l="1"/>
  <c r="Y39" i="75"/>
  <c r="Y31" i="59"/>
  <c r="Z66" i="59"/>
  <c r="Y74" i="59"/>
  <c r="X33" i="59"/>
  <c r="Q3" i="50" s="1"/>
  <c r="Y109" i="75"/>
  <c r="X37" i="75"/>
  <c r="X12" i="75" s="1"/>
  <c r="Z109" i="75" l="1"/>
  <c r="Y37" i="75"/>
  <c r="Y12" i="75" s="1"/>
  <c r="Y33" i="59"/>
  <c r="Y41" i="75"/>
  <c r="Y29" i="59"/>
  <c r="Z74" i="59"/>
  <c r="AA66" i="59"/>
  <c r="Z31" i="59"/>
  <c r="X41" i="75"/>
  <c r="Z39" i="75"/>
  <c r="AA101" i="75"/>
  <c r="AA39" i="75" l="1"/>
  <c r="AB101" i="75"/>
  <c r="AA74" i="59"/>
  <c r="Z29" i="59"/>
  <c r="Z12" i="59" s="1"/>
  <c r="R3" i="50"/>
  <c r="C17" i="35"/>
  <c r="D19" i="55" s="1"/>
  <c r="AA109" i="75"/>
  <c r="Z37" i="75"/>
  <c r="Z41" i="75"/>
  <c r="Z12" i="75"/>
  <c r="G135" i="75"/>
  <c r="Z33" i="59"/>
  <c r="D17" i="35" s="1"/>
  <c r="E19" i="55" s="1"/>
  <c r="AB66" i="59"/>
  <c r="AA31" i="59"/>
  <c r="AB109" i="75" l="1"/>
  <c r="AA37" i="75"/>
  <c r="AB74" i="59"/>
  <c r="AA29" i="59"/>
  <c r="AA12" i="59" s="1"/>
  <c r="G98" i="59" s="1"/>
  <c r="G102" i="59" s="1"/>
  <c r="AC66" i="59"/>
  <c r="AB31" i="59"/>
  <c r="AB39" i="75"/>
  <c r="AC101" i="75"/>
  <c r="D83" i="55"/>
  <c r="D115" i="55"/>
  <c r="G100" i="59"/>
  <c r="AA41" i="75"/>
  <c r="AA12" i="75"/>
  <c r="G133" i="75" s="1"/>
  <c r="G137" i="75" s="1"/>
  <c r="E115" i="55"/>
  <c r="E83" i="55"/>
  <c r="AD66" i="59" l="1"/>
  <c r="AC31" i="59"/>
  <c r="AC74" i="59"/>
  <c r="AB29" i="59"/>
  <c r="AB12" i="59" s="1"/>
  <c r="AC39" i="75"/>
  <c r="AD101" i="75"/>
  <c r="AE101" i="75" s="1"/>
  <c r="AF101" i="75" s="1"/>
  <c r="AB37" i="75"/>
  <c r="AB41" i="75" s="1"/>
  <c r="AC109" i="75"/>
  <c r="AB33" i="59"/>
  <c r="F17" i="35" s="1"/>
  <c r="G19" i="55" s="1"/>
  <c r="AA33" i="59"/>
  <c r="E17" i="35" s="1"/>
  <c r="F19" i="55" s="1"/>
  <c r="AC37" i="75" l="1"/>
  <c r="AD109" i="75"/>
  <c r="AE109" i="75" s="1"/>
  <c r="AF109" i="75" s="1"/>
  <c r="G83" i="55"/>
  <c r="G115" i="55"/>
  <c r="AC41" i="75"/>
  <c r="AC12" i="75"/>
  <c r="AD74" i="59"/>
  <c r="AC29" i="59"/>
  <c r="AC12" i="59" s="1"/>
  <c r="AE66" i="59"/>
  <c r="AD31" i="59"/>
  <c r="F83" i="55"/>
  <c r="F115" i="55"/>
  <c r="AB12" i="75"/>
  <c r="AF66" i="59" l="1"/>
  <c r="AE31" i="59"/>
  <c r="AE74" i="59"/>
  <c r="AD29" i="59"/>
  <c r="AD33" i="59" s="1"/>
  <c r="H17" i="35" s="1"/>
  <c r="I19" i="55" s="1"/>
  <c r="AC33" i="59"/>
  <c r="G17" i="35" s="1"/>
  <c r="H19" i="55" s="1"/>
  <c r="I83" i="55" l="1"/>
  <c r="I115" i="55"/>
  <c r="H83" i="55"/>
  <c r="H115" i="55"/>
  <c r="AF74" i="59"/>
  <c r="AE29" i="59"/>
  <c r="AE33" i="59" s="1"/>
  <c r="I17" i="35" s="1"/>
  <c r="J19" i="55" s="1"/>
  <c r="AG66" i="59"/>
  <c r="AG31" i="59" s="1"/>
  <c r="AF31" i="59"/>
  <c r="J115" i="55" l="1"/>
  <c r="J83" i="55"/>
  <c r="AF29" i="59"/>
  <c r="AF33" i="59" s="1"/>
  <c r="J17" i="35" s="1"/>
  <c r="K19" i="55" s="1"/>
  <c r="AG74" i="59"/>
  <c r="AG29" i="59" s="1"/>
  <c r="AG33" i="59" s="1"/>
  <c r="K17" i="35" s="1"/>
  <c r="L19" i="55" s="1"/>
  <c r="L115" i="55" s="1"/>
  <c r="K115" i="5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5E572FF7-E343-4136-B9B8-D659D5E1B294}">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5"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58"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59"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0"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0" authorId="20" shapeId="0" xr:uid="{00000000-0006-0000-1800-000015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79"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0"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1"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2"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3"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4" authorId="27" shapeId="0" xr:uid="{00000000-0006-0000-1800-00001C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5"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2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<sst xmlns="http://schemas.openxmlformats.org/spreadsheetml/2006/main" count="4947" uniqueCount="2287">
  <si>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</si>
  <si>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</si>
  <si>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</si>
  <si>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</si>
  <si>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</si>
  <si>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</si>
  <si>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</si>
  <si>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</si>
  <si>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</si>
  <si>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</si>
  <si>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</si>
  <si>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</si>
  <si>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</si>
  <si>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</si>
  <si>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</si>
  <si>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</si>
  <si>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</si>
  <si>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</si>
  <si>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</si>
  <si>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</si>
  <si>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</si>
  <si>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</si>
  <si>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</si>
  <si>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</si>
  <si>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</si>
  <si>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</si>
  <si>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</si>
  <si>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</si>
  <si>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</si>
  <si>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</si>
  <si>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</si>
  <si>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</si>
  <si>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</si>
  <si>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</si>
  <si>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</si>
  <si>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</si>
  <si>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</si>
  <si>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</si>
  <si>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</si>
  <si>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</si>
  <si>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</si>
  <si>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</si>
  <si>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</si>
  <si>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</si>
  <si>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</si>
  <si>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</si>
  <si>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</si>
  <si>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</si>
  <si>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</si>
  <si>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</si>
  <si>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</si>
  <si>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</si>
  <si>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</si>
  <si>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</si>
  <si>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</si>
  <si>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</si>
  <si>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</si>
  <si>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</si>
  <si>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</si>
  <si>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</si>
  <si>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</si>
  <si>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</si>
  <si>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</si>
  <si>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</si>
  <si>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</si>
  <si>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</si>
  <si>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</si>
  <si>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</si>
  <si>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</si>
  <si>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</si>
  <si>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</si>
  <si>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</si>
  <si>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</si>
  <si>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</si>
  <si>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</si>
  <si>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</si>
  <si>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</si>
  <si>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</si>
  <si>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</si>
  <si>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</si>
  <si>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</si>
  <si>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</si>
  <si>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</si>
  <si>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</si>
  <si>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</si>
  <si>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</si>
  <si>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</si>
  <si>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</si>
  <si>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</si>
  <si>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</si>
  <si>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</si>
  <si>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</si>
  <si>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</si>
  <si>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</si>
  <si>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</si>
  <si>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</si>
  <si>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</si>
  <si>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</si>
  <si>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</si>
  <si>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</si>
  <si>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</si>
  <si>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</si>
  <si>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</si>
  <si>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</si>
  <si>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</si>
  <si>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</si>
  <si>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</si>
  <si>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</si>
  <si>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</si>
  <si>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</si>
  <si>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</si>
  <si>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</si>
  <si>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</si>
  <si>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</si>
  <si>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</si>
  <si>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</si>
  <si>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</si>
  <si>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</si>
  <si>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</si>
  <si>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</si>
  <si>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</si>
  <si>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</si>
  <si>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</si>
  <si>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</si>
  <si>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</si>
  <si>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</si>
  <si>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</si>
  <si>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</si>
  <si>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</si>
  <si>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</si>
  <si>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</si>
  <si>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</si>
  <si>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</si>
  <si>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</si>
  <si>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</si>
  <si>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</si>
  <si>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</si>
  <si>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</si>
  <si>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</si>
  <si>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</si>
  <si>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</si>
  <si>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</si>
  <si>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</si>
  <si>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</si>
  <si>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</si>
  <si>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</si>
  <si>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</si>
  <si>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</si>
  <si>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</si>
  <si>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</si>
  <si>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</si>
  <si>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</si>
  <si>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</si>
  <si>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</si>
  <si>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</si>
  <si>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</si>
  <si>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</si>
  <si>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</si>
  <si>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</si>
  <si>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</si>
  <si>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</si>
  <si>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</si>
  <si>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</si>
  <si>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</si>
  <si>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</si>
  <si>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</si>
  <si>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</si>
  <si>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</si>
  <si>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</si>
  <si>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</si>
  <si>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</si>
  <si>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</si>
  <si>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</si>
  <si>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</si>
  <si>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</si>
  <si>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</si>
  <si>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</si>
  <si>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</si>
  <si>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</si>
  <si>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</si>
  <si>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</si>
  <si>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</si>
  <si>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</si>
  <si>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</si>
  <si>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</si>
  <si>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</si>
  <si>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</si>
  <si>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</si>
  <si>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</si>
  <si>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</si>
  <si>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</si>
  <si>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</si>
  <si>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</si>
  <si>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</si>
  <si>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</si>
  <si>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</si>
  <si>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</si>
  <si>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</si>
  <si>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</si>
  <si>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</si>
  <si>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</si>
  <si>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</si>
  <si>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</si>
  <si>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</si>
  <si>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</si>
  <si>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</si>
  <si>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</si>
  <si>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</si>
  <si>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</si>
  <si>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</si>
  <si>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</si>
  <si>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</si>
  <si>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</si>
  <si>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</si>
  <si>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</si>
  <si>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</si>
  <si>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</si>
  <si>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</si>
  <si>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</si>
  <si>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</si>
  <si>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</si>
  <si>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</si>
  <si>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</si>
  <si>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</si>
  <si>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</si>
  <si>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</si>
  <si>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</si>
  <si>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</si>
  <si>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</si>
  <si>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</si>
  <si>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</si>
  <si>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</si>
  <si>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</si>
  <si>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</si>
  <si>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</si>
  <si>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</si>
  <si>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</si>
  <si>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</si>
  <si>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</si>
  <si>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</si>
  <si>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</si>
  <si>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</si>
  <si>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</si>
  <si>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</si>
  <si>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</si>
  <si>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</si>
  <si>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</si>
  <si>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</si>
  <si>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</si>
  <si>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</si>
  <si>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</si>
  <si>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</si>
  <si>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</si>
  <si>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</si>
  <si>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</si>
  <si>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</si>
  <si>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</si>
  <si>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</si>
  <si>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</si>
  <si>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</si>
  <si>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</si>
  <si>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</si>
  <si>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</si>
  <si>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</si>
  <si>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</si>
  <si>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</si>
  <si>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</si>
  <si>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</si>
  <si>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</si>
  <si>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</si>
  <si>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</si>
  <si>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</si>
  <si>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</si>
  <si>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</si>
  <si>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</si>
  <si>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</si>
  <si>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</si>
  <si>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</si>
  <si>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</si>
  <si>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</si>
  <si>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</si>
  <si>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</si>
  <si>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</si>
  <si>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</si>
  <si>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</si>
  <si>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</si>
  <si>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</si>
  <si>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</si>
  <si>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</si>
  <si>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</si>
  <si>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</si>
  <si>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</si>
  <si>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</si>
  <si>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</si>
  <si>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</si>
  <si>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</si>
  <si>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</si>
  <si>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</si>
  <si>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</si>
  <si>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</si>
  <si>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</si>
  <si>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</si>
  <si>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</si>
  <si>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</si>
  <si>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</si>
  <si>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</si>
  <si>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</si>
  <si>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</si>
  <si>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</si>
  <si>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</si>
  <si>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</si>
  <si>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</si>
  <si>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</si>
  <si>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</si>
  <si>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</si>
  <si>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</si>
  <si>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</si>
  <si>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</si>
  <si>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</si>
  <si>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</si>
  <si>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</si>
  <si>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</si>
  <si>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</si>
  <si>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</si>
  <si>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</si>
  <si>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</si>
  <si>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</si>
  <si>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</si>
  <si>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</si>
  <si>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</si>
  <si>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</si>
  <si>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</si>
  <si>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</si>
  <si>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</si>
  <si>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</si>
  <si>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</si>
  <si>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</si>
  <si>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</si>
  <si>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</si>
  <si>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</si>
  <si>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</si>
  <si>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</si>
  <si>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</si>
  <si>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</si>
  <si>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</si>
  <si>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</si>
  <si>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</si>
  <si>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</si>
  <si>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</si>
  <si>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</si>
  <si>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</si>
  <si>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</si>
  <si>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</si>
  <si>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</si>
  <si>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</si>
  <si>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</si>
  <si>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</si>
  <si>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</si>
  <si>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</si>
  <si>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</si>
  <si>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</si>
  <si>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</si>
  <si>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</si>
  <si>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</si>
  <si>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</si>
  <si>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</si>
  <si>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</si>
  <si>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</si>
  <si>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</si>
  <si>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</si>
  <si>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</si>
  <si>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</si>
  <si>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</si>
  <si>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</si>
  <si>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</si>
  <si>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</si>
  <si>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</si>
  <si>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</si>
  <si>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</si>
  <si>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</si>
  <si>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</si>
  <si>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</si>
  <si>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</si>
  <si>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</si>
  <si>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</si>
  <si>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</si>
  <si>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</si>
  <si>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</si>
  <si>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</si>
  <si>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</si>
  <si>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</si>
  <si>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</si>
  <si>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</si>
  <si>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</si>
  <si>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</si>
  <si>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</si>
  <si>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</si>
  <si>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</si>
  <si>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</si>
  <si>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</si>
  <si>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</si>
  <si>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</si>
  <si>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</si>
  <si>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</si>
  <si>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</si>
  <si>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</si>
  <si>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</si>
  <si>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</si>
  <si>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</si>
  <si>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</si>
  <si>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</si>
  <si>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</si>
  <si>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</si>
  <si>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</si>
  <si>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</si>
  <si>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</si>
  <si>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</si>
  <si>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</si>
  <si>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</si>
  <si>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</si>
  <si>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</si>
  <si>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</si>
  <si>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</si>
  <si>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</si>
  <si>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</si>
  <si>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</si>
  <si>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</si>
  <si>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</si>
  <si>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</si>
  <si>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</si>
  <si>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</si>
  <si>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</si>
  <si>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</si>
  <si>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</si>
  <si>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</si>
  <si>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</si>
  <si>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</si>
  <si>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</si>
  <si>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</si>
  <si>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</si>
  <si>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</si>
  <si>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</si>
  <si>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</si>
  <si>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</si>
  <si>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</si>
  <si>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</si>
  <si>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</si>
  <si>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</si>
  <si>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</si>
  <si>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</si>
  <si>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</si>
  <si>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</si>
  <si>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</si>
  <si>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</si>
  <si>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</si>
  <si>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</si>
  <si>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</si>
  <si>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</si>
  <si>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</si>
  <si>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</si>
  <si>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</si>
  <si>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</si>
  <si>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</si>
  <si>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</si>
  <si>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</si>
  <si>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</si>
  <si>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</si>
  <si>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</si>
  <si>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</si>
  <si>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</si>
  <si>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</si>
  <si>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</si>
  <si>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</si>
  <si>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</si>
  <si>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</si>
  <si>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</si>
  <si>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</si>
  <si>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</si>
  <si>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</si>
  <si>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</si>
  <si>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</si>
  <si>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</si>
  <si>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</si>
  <si>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</si>
  <si>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</si>
  <si>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</si>
  <si>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</si>
  <si>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</si>
  <si>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</si>
  <si>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</si>
  <si>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</si>
  <si>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</si>
  <si>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</si>
  <si>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</si>
  <si>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</si>
  <si>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</si>
  <si>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</si>
  <si>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</si>
  <si>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</si>
  <si>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</si>
  <si>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</si>
  <si>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</si>
  <si>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</si>
  <si>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</si>
  <si>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</si>
  <si>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</si>
  <si>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</si>
  <si>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</si>
  <si>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</si>
  <si>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</si>
  <si>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</si>
  <si>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</si>
  <si>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</si>
  <si>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</si>
  <si>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</si>
  <si>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</si>
  <si>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</si>
  <si>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</si>
  <si>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</si>
  <si>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</si>
  <si>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</si>
  <si>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</si>
  <si>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</si>
  <si>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</si>
  <si>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</si>
  <si>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</si>
  <si>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</si>
  <si>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</si>
  <si>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</si>
  <si>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</si>
  <si>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</si>
  <si>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</si>
  <si>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</si>
  <si>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</si>
  <si>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</si>
  <si>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</si>
  <si>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</si>
  <si>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</si>
  <si>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</si>
  <si>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</si>
  <si>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</si>
  <si>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</si>
  <si>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</si>
  <si>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</si>
  <si>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</si>
  <si>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</si>
  <si>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</si>
  <si>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</si>
  <si>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</si>
  <si>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</si>
  <si>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</si>
  <si>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</si>
  <si>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</si>
  <si>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</si>
  <si>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</si>
  <si>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</si>
  <si>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</si>
  <si>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</si>
  <si>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</si>
  <si>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</si>
  <si>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</si>
  <si>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</si>
  <si>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</si>
  <si>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</si>
  <si>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</si>
  <si>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</si>
  <si>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</si>
  <si>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</si>
  <si>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</si>
  <si>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</si>
  <si>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</si>
  <si>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</si>
  <si>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</si>
  <si>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</si>
  <si>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</si>
  <si>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</si>
  <si>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</si>
  <si>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</si>
  <si>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</si>
  <si>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</si>
  <si>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</si>
  <si>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</si>
  <si>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</si>
  <si>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</si>
  <si>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</si>
  <si>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</si>
  <si>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</si>
  <si>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</si>
  <si>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</si>
  <si>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</si>
  <si>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</si>
  <si>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</si>
  <si>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</si>
  <si>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</si>
  <si>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</si>
  <si>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</si>
  <si>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</si>
  <si>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</si>
  <si>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</si>
  <si>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</si>
  <si>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</si>
  <si>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</si>
  <si>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</si>
  <si>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</si>
  <si>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</si>
  <si>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</si>
  <si>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</si>
  <si>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</si>
  <si>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</si>
  <si>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</si>
  <si>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</si>
  <si>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</si>
  <si>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</si>
  <si>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</si>
  <si>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</si>
  <si>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</si>
  <si>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</si>
  <si>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</si>
  <si>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</si>
  <si>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</si>
  <si>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</si>
  <si>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</si>
  <si>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</si>
  <si>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</si>
  <si>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</si>
  <si>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</si>
  <si>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</si>
  <si>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</si>
  <si>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</si>
  <si>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</si>
  <si>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</si>
  <si>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</si>
  <si>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</si>
  <si>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</si>
  <si>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</si>
  <si>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</si>
  <si>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</si>
  <si>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</si>
  <si>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</si>
  <si>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</si>
  <si>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</si>
  <si>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</si>
  <si>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</si>
  <si>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</si>
  <si>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</si>
  <si>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</si>
  <si>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</si>
  <si>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</si>
  <si>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</si>
  <si>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</si>
  <si>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</si>
  <si>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</si>
  <si>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</si>
  <si>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</si>
  <si>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</si>
  <si>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</si>
  <si>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</si>
  <si>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</si>
  <si>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</si>
  <si>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</si>
  <si>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</si>
  <si>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</si>
  <si>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</si>
  <si>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</si>
  <si>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</si>
  <si>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</si>
  <si>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</si>
  <si>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</si>
  <si>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</si>
  <si>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</si>
  <si>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</si>
  <si>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</si>
  <si>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</si>
  <si>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</si>
  <si>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</si>
  <si>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</si>
  <si>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</si>
  <si>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</si>
  <si>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</si>
  <si>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</si>
  <si>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</si>
  <si>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</si>
  <si>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</si>
  <si>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</si>
  <si>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</si>
  <si>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</si>
  <si>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</si>
  <si>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</si>
  <si>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</si>
  <si>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</si>
  <si>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</si>
  <si>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</si>
  <si>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</si>
  <si>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</si>
  <si>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</si>
  <si>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</si>
  <si>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</si>
  <si>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</si>
  <si>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</si>
  <si>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</si>
  <si>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</si>
  <si>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</si>
  <si>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</si>
  <si>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</si>
  <si>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</si>
  <si>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</si>
  <si>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</si>
  <si>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</si>
  <si>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</si>
  <si>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</si>
  <si>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</si>
  <si>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</si>
  <si>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</si>
  <si>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</si>
  <si>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</si>
  <si>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</si>
  <si>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</si>
  <si>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</si>
  <si>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</si>
  <si>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</si>
  <si>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</si>
  <si>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</si>
  <si>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</si>
  <si>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</si>
  <si>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</si>
  <si>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</si>
  <si>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</si>
  <si>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</si>
  <si>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</si>
  <si>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</si>
  <si>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</si>
  <si>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</si>
  <si>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</si>
  <si>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</si>
  <si>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</si>
  <si>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</si>
  <si>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</si>
  <si>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</si>
  <si>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</si>
  <si>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</si>
  <si>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</si>
  <si>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</si>
  <si>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</si>
  <si>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</si>
  <si>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</si>
  <si>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</si>
  <si>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</si>
  <si>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</si>
  <si>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</si>
  <si>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</si>
  <si>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</si>
  <si>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</si>
  <si>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</si>
  <si>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</si>
  <si>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</si>
  <si>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</si>
  <si>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</si>
  <si>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</si>
  <si>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</si>
  <si>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</si>
  <si>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</si>
  <si>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</si>
  <si>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</si>
  <si>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</si>
  <si>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</si>
  <si>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</si>
  <si>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</si>
  <si>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</si>
  <si>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</si>
  <si>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</si>
  <si>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</si>
  <si>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</si>
  <si>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</si>
  <si>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</si>
  <si>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</si>
  <si>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</si>
  <si>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</si>
  <si>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</si>
  <si>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</si>
  <si>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</si>
  <si>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</si>
  <si>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</si>
  <si>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</si>
  <si>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</si>
  <si>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</si>
  <si>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</si>
  <si>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</si>
  <si>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</si>
  <si>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</si>
  <si>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</si>
  <si>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</si>
  <si>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</si>
  <si>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</si>
  <si>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</si>
  <si>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</si>
  <si>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</si>
  <si>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</si>
  <si>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</si>
  <si>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</si>
  <si>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</si>
  <si>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</si>
  <si>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</si>
  <si>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</si>
  <si>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</si>
  <si>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</si>
  <si>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</si>
  <si>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</si>
  <si>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</si>
  <si>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</si>
  <si>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</si>
  <si>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</si>
  <si>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</si>
  <si>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</si>
  <si>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</si>
  <si>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</si>
  <si>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</si>
  <si>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</si>
  <si>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</si>
  <si>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</si>
  <si>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</si>
  <si>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</si>
  <si>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</si>
  <si>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</si>
  <si>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</si>
  <si>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</si>
  <si>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</si>
  <si>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</si>
  <si>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</si>
  <si>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</si>
  <si>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</si>
  <si>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</si>
  <si>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</si>
  <si>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</si>
  <si>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</si>
  <si>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</si>
  <si>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</si>
  <si>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</si>
  <si>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</si>
  <si>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</si>
  <si>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</si>
  <si>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</si>
  <si>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</si>
  <si>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</si>
  <si>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</si>
  <si>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</si>
  <si>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</si>
  <si>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</si>
  <si>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</si>
  <si>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</si>
  <si>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</si>
  <si>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</si>
  <si>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</si>
  <si>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</si>
  <si>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</si>
  <si>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</si>
  <si>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</si>
  <si>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</si>
  <si>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</si>
  <si>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</si>
  <si>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</si>
  <si>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</si>
  <si>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</si>
  <si>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</si>
  <si>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</si>
  <si>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</si>
  <si>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</si>
  <si>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</si>
  <si>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</si>
  <si>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</si>
  <si>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</si>
  <si>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</si>
  <si>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</si>
  <si>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</si>
  <si>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</si>
  <si>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</si>
  <si>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</si>
  <si>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</si>
  <si>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</si>
  <si>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</si>
  <si>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</si>
  <si>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</si>
  <si>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</si>
  <si>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</si>
  <si>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</si>
  <si>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</si>
  <si>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</si>
  <si>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</si>
  <si>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</si>
  <si>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</si>
  <si>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</si>
  <si>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</si>
  <si>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</si>
  <si>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</si>
  <si>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</si>
  <si>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</si>
  <si>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</si>
  <si>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</si>
  <si>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</si>
  <si>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</si>
  <si>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</si>
  <si>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</si>
  <si>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</si>
  <si>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</si>
  <si>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</si>
  <si>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</si>
  <si>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</si>
  <si>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</si>
  <si>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</si>
  <si>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</si>
  <si>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</si>
  <si>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</si>
  <si>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</si>
  <si>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</si>
  <si>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</si>
  <si>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</si>
  <si>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</si>
  <si>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</si>
  <si>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</si>
  <si>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</si>
  <si>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</si>
  <si>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</si>
  <si>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</si>
  <si>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</si>
  <si>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</si>
  <si>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</si>
  <si>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</si>
  <si>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</si>
  <si>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</si>
  <si>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</si>
  <si>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</si>
  <si>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</si>
  <si>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</si>
  <si>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</si>
  <si>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</si>
  <si>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</si>
  <si>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</si>
  <si>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</si>
  <si>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</si>
  <si>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</si>
  <si>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</si>
  <si>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</si>
  <si>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</si>
  <si>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</si>
  <si>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</si>
  <si>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</si>
  <si>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</si>
  <si>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</si>
  <si>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</si>
  <si>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</si>
  <si>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</si>
  <si>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</si>
  <si>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</si>
  <si>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</si>
  <si>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</si>
  <si>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</si>
  <si>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</si>
  <si>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</si>
  <si>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</si>
  <si>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</si>
  <si>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</si>
  <si>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</si>
  <si>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</si>
  <si>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</si>
  <si>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</si>
  <si>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</si>
  <si>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</si>
  <si>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</si>
  <si>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</si>
  <si>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</si>
  <si>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</si>
  <si>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</si>
  <si>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</si>
  <si>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</si>
  <si>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</si>
  <si>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</si>
  <si>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</si>
  <si>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</si>
  <si>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</si>
  <si>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</si>
  <si>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</si>
  <si>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</si>
  <si>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</si>
  <si>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</si>
  <si>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</si>
  <si>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</si>
  <si>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</si>
  <si>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</si>
  <si>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</si>
  <si>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</si>
  <si>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</si>
  <si>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</si>
  <si>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</si>
  <si>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</si>
  <si>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</si>
  <si>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</si>
  <si>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</si>
  <si>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</si>
  <si>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</si>
  <si>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</si>
  <si>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</si>
  <si>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</si>
  <si>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</si>
  <si>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</si>
  <si>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</si>
  <si>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</si>
  <si>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</si>
  <si>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</si>
  <si>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</si>
  <si>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</si>
  <si>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</si>
  <si>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</si>
  <si>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</si>
  <si>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</si>
  <si>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</si>
  <si>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</si>
  <si>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</si>
  <si>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</si>
  <si>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</si>
  <si>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</si>
  <si>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</si>
  <si>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</si>
  <si>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</si>
  <si>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</si>
  <si>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</si>
  <si>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</si>
  <si>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</si>
  <si>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</si>
  <si>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</si>
  <si>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</si>
  <si>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</si>
  <si>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</si>
  <si>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</si>
  <si>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</si>
  <si>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</si>
  <si>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</si>
  <si>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</si>
  <si>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</si>
  <si>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</si>
  <si>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</si>
  <si>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</si>
  <si>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</si>
  <si>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</si>
  <si>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</si>
  <si>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</si>
  <si>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</si>
  <si>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</si>
  <si>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</si>
  <si>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</si>
  <si>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</si>
  <si>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</si>
  <si>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</si>
  <si>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</si>
  <si>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</si>
  <si>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</si>
  <si>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</si>
  <si>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</si>
  <si>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</si>
  <si>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</si>
  <si>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</si>
  <si>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</si>
  <si>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</si>
  <si>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</si>
  <si>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</si>
  <si>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</si>
  <si>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</si>
  <si>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</si>
  <si>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</si>
  <si>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</si>
  <si>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</si>
  <si>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</si>
  <si>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</si>
  <si>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</si>
  <si>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</si>
  <si>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</si>
  <si>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</si>
  <si>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</si>
  <si>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</si>
  <si>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</si>
  <si>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</si>
  <si>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</si>
  <si>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</si>
  <si>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</si>
  <si>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</si>
  <si>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</si>
  <si>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</si>
  <si>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</si>
  <si>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</si>
  <si>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</si>
  <si>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</si>
  <si>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</si>
  <si>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</si>
  <si>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</si>
  <si>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</si>
  <si>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</si>
  <si>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</si>
  <si>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</si>
  <si>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</si>
  <si>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</si>
  <si>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</si>
  <si>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</si>
  <si>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</si>
  <si>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</si>
  <si>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</si>
  <si>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</si>
  <si>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</si>
  <si>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</si>
  <si>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</si>
  <si>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</si>
  <si>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</si>
  <si>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</si>
  <si>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</si>
  <si>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</si>
  <si>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</si>
  <si>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</si>
  <si>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</si>
  <si>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</si>
  <si>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</si>
  <si>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</si>
  <si>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</si>
  <si>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</si>
  <si>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</si>
  <si>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</si>
  <si>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</si>
  <si>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</si>
  <si>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</si>
  <si>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</si>
  <si>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</si>
  <si>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</si>
  <si>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</si>
  <si>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</si>
  <si>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</si>
  <si>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</si>
  <si>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</si>
  <si>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</si>
  <si>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</si>
  <si>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</si>
  <si>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</si>
  <si>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</si>
  <si>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</si>
  <si>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</si>
  <si>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</si>
  <si>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</si>
  <si>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</si>
  <si>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</si>
  <si>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</si>
  <si>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</si>
  <si>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</si>
  <si>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</si>
  <si>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</si>
  <si>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</si>
  <si>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</si>
  <si>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</si>
  <si>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</si>
  <si>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</si>
  <si>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</si>
  <si>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</si>
  <si>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</si>
  <si>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</si>
  <si>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</si>
  <si>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</si>
  <si>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</si>
  <si>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</si>
  <si>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</si>
  <si>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</si>
  <si>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</si>
  <si>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</si>
  <si>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</si>
  <si>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</si>
  <si>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</si>
  <si>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</si>
  <si>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</si>
  <si>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</si>
  <si>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</si>
  <si>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</si>
  <si>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</si>
  <si>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</si>
  <si>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</si>
  <si>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</si>
  <si>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</si>
  <si>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</si>
  <si>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</si>
  <si>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</si>
  <si>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</si>
  <si>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</si>
  <si>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</si>
  <si>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</si>
  <si>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</si>
  <si>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</si>
  <si>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</si>
  <si>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</si>
  <si>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</si>
  <si>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</si>
  <si>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</si>
  <si>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</si>
  <si>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</si>
  <si>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</si>
  <si>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</si>
  <si>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</si>
  <si>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</si>
  <si>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</si>
  <si>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</si>
  <si>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</si>
  <si>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</si>
  <si>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</si>
  <si>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</si>
  <si>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</si>
  <si>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</si>
  <si>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</si>
  <si>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</si>
  <si>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</si>
  <si>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</si>
  <si>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</si>
  <si>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</si>
  <si>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</si>
  <si>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</si>
  <si>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</si>
  <si>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</si>
  <si>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</si>
  <si>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</si>
  <si>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</si>
  <si>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</si>
  <si>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</si>
  <si>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</si>
  <si>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</si>
  <si>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</si>
  <si>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</si>
  <si>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</si>
  <si>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</si>
  <si>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</si>
  <si>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</si>
  <si>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</si>
  <si>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</si>
  <si>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</si>
  <si>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</si>
  <si>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</si>
  <si>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</si>
  <si>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</si>
  <si>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</si>
  <si>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</si>
  <si>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</si>
  <si>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</si>
  <si>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</si>
  <si>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</si>
  <si>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</si>
  <si>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</si>
  <si>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</si>
  <si>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</si>
  <si>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</si>
  <si>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</si>
  <si>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</si>
  <si>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</si>
  <si>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</si>
  <si>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</si>
  <si>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</si>
  <si>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</si>
  <si>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</si>
  <si>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</si>
  <si>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</si>
  <si>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</si>
  <si>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</si>
  <si>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</si>
  <si>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</si>
  <si>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</si>
  <si>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</si>
  <si>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</si>
  <si>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</si>
  <si>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</si>
  <si>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</si>
  <si>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</si>
  <si>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</si>
  <si>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</si>
  <si>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</si>
  <si>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</si>
  <si>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</si>
  <si>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</si>
  <si>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</si>
  <si>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</si>
  <si>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</si>
  <si>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</si>
  <si>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</si>
  <si>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</si>
  <si>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</si>
  <si>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</si>
  <si>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</si>
  <si>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</si>
  <si>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</si>
  <si>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</si>
  <si>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</si>
  <si>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</si>
  <si>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</si>
  <si>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</si>
  <si>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</si>
  <si>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</si>
  <si>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</si>
  <si>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</si>
  <si>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</si>
  <si>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</si>
  <si>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</si>
  <si>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</si>
  <si>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</si>
  <si>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</si>
  <si>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</si>
  <si>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</si>
  <si>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</si>
  <si>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</si>
  <si>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</si>
  <si>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</si>
  <si>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</si>
  <si>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</si>
  <si>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</si>
  <si>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</si>
  <si>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</si>
  <si>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</si>
  <si>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</si>
  <si>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</si>
  <si>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</si>
  <si>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</si>
  <si>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</si>
  <si>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</si>
  <si>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</si>
  <si>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</si>
  <si>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</si>
  <si>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</si>
  <si>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</si>
  <si>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</si>
  <si>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</si>
  <si>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</si>
  <si>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</si>
  <si>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</si>
  <si>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</si>
  <si>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</si>
  <si>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</si>
  <si>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</si>
  <si>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</si>
  <si>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</si>
  <si>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</si>
  <si>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</si>
  <si>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</si>
  <si>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</si>
  <si>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</si>
  <si>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</si>
  <si>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</si>
  <si>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</si>
  <si>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</si>
  <si>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</si>
  <si>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</si>
  <si>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</si>
  <si>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</si>
  <si>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</si>
  <si>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</si>
  <si>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</si>
  <si>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</si>
  <si>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</si>
  <si>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</si>
  <si>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</si>
  <si>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</si>
  <si>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</si>
  <si>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</si>
  <si>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</si>
  <si>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</si>
  <si>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</si>
  <si>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</si>
  <si>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</si>
  <si>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</si>
  <si>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</si>
  <si>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</si>
  <si>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</si>
  <si>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</si>
  <si>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</si>
  <si>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</si>
  <si>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</si>
  <si>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</si>
  <si>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</si>
  <si>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</si>
  <si>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</si>
  <si>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</si>
  <si>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</si>
  <si>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</si>
  <si>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</si>
  <si>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</si>
  <si>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</si>
  <si>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</si>
  <si>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</si>
  <si>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</si>
  <si>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</si>
  <si>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</si>
  <si>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</si>
  <si>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</si>
  <si>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</si>
  <si>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</si>
  <si>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</si>
  <si>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</si>
  <si>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</si>
  <si>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</si>
  <si>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</si>
  <si>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</si>
  <si>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</si>
  <si>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</si>
  <si>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</si>
  <si>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</si>
  <si>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</si>
  <si>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</si>
  <si>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</si>
  <si>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</si>
  <si>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</si>
  <si>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</si>
  <si>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</si>
  <si>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</si>
  <si>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</si>
  <si>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</si>
  <si>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</si>
  <si>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</si>
  <si>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</si>
  <si>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</si>
  <si>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</si>
  <si>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</si>
  <si>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</si>
  <si>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</si>
  <si>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</si>
  <si>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</si>
  <si>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</si>
  <si>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</si>
  <si>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</si>
  <si>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</si>
  <si>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</si>
  <si>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</si>
  <si>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</si>
  <si>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</si>
  <si>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</si>
  <si>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</si>
  <si>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</si>
  <si>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</si>
  <si>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</si>
  <si>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</si>
  <si>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</si>
  <si>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</si>
  <si>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</si>
  <si>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</si>
  <si>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</si>
  <si>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</si>
  <si>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</si>
  <si>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</si>
  <si>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</si>
  <si>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</si>
  <si>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</si>
  <si>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</si>
  <si>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</si>
  <si>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</si>
  <si>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</si>
  <si>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</si>
  <si>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</si>
  <si>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</si>
  <si>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</si>
  <si>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</si>
  <si>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</si>
  <si>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</si>
  <si>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</si>
  <si>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</si>
  <si>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</si>
  <si>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</si>
  <si>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</si>
  <si>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</si>
  <si>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</si>
  <si>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</si>
  <si>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</si>
  <si>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</si>
  <si>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</si>
  <si>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</si>
  <si>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</si>
  <si>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</si>
  <si>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</si>
  <si>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</si>
  <si>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</si>
  <si>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</si>
  <si>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</si>
  <si>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</si>
  <si>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</si>
  <si>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</si>
  <si>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</si>
  <si>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</si>
  <si>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</si>
  <si>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</si>
  <si>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</si>
  <si>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</si>
  <si>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</si>
  <si>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</si>
  <si>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</si>
  <si>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</si>
  <si>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</si>
  <si>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</si>
  <si>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</si>
  <si>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</si>
  <si>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</si>
  <si>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</si>
  <si>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</si>
  <si>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</si>
  <si>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</si>
  <si>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</si>
  <si>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</si>
  <si>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</si>
  <si>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</si>
  <si>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</si>
  <si>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</si>
  <si>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</si>
  <si>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</si>
  <si>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</si>
  <si>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</si>
  <si>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</si>
  <si>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</si>
  <si>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</si>
  <si>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</si>
  <si>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</si>
  <si>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</si>
  <si>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</si>
  <si>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</si>
  <si>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</si>
  <si>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</si>
  <si>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</si>
  <si>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</si>
  <si>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</si>
  <si>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</si>
  <si>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</si>
  <si>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</si>
  <si>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</si>
  <si>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</si>
  <si>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</si>
  <si>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</si>
  <si>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</si>
  <si>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</si>
  <si>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</si>
  <si>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</si>
  <si>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</si>
  <si>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</si>
  <si>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</si>
  <si>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</si>
  <si>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</si>
  <si>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</si>
  <si>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</si>
  <si>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</si>
  <si>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</si>
  <si>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</si>
  <si>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</si>
  <si>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</si>
  <si>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</si>
  <si>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</si>
  <si>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</si>
  <si>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</si>
  <si>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</si>
  <si>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</si>
  <si>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</si>
  <si>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</si>
  <si>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</si>
  <si>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</si>
  <si>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</si>
  <si>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</si>
  <si>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</si>
  <si>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</si>
  <si>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</si>
  <si>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</si>
  <si>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</si>
  <si>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</si>
  <si>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</si>
  <si>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</si>
  <si>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</si>
  <si>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</si>
  <si>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</si>
  <si>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</si>
  <si>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</si>
  <si>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</si>
  <si>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</si>
  <si>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</si>
  <si>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</si>
  <si>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</si>
  <si>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</si>
  <si>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</si>
  <si>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</si>
  <si>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</si>
  <si>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</si>
  <si>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</si>
  <si>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</si>
  <si>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</si>
  <si>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</si>
  <si>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</si>
  <si>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</si>
  <si>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</si>
  <si>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</si>
  <si>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</si>
  <si>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</si>
  <si>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</si>
  <si>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</si>
  <si>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</si>
  <si>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</si>
  <si>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</si>
  <si>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</si>
  <si>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</si>
  <si>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</si>
  <si>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</si>
  <si>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</si>
  <si>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</si>
  <si>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</si>
  <si>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</si>
  <si>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</si>
  <si>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</si>
  <si>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</si>
  <si>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</si>
  <si>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</si>
  <si>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</si>
  <si>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</si>
  <si>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</si>
  <si>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</si>
  <si>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</si>
  <si>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</si>
  <si>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</si>
  <si>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</si>
  <si>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</si>
  <si>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</si>
  <si>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</si>
  <si>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</si>
  <si>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</si>
  <si>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</si>
  <si>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</si>
  <si>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</si>
  <si>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</si>
  <si>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</si>
  <si>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</si>
  <si>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</si>
  <si>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</si>
  <si>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</si>
  <si>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</si>
  <si>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</si>
  <si>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</si>
  <si>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</si>
  <si>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</si>
  <si>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</si>
  <si>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</si>
  <si>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</si>
  <si>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</si>
  <si>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</si>
  <si>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</si>
  <si>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</si>
  <si>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</si>
  <si>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</si>
  <si>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</si>
  <si>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</si>
  <si>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</si>
  <si>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</si>
  <si>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</si>
  <si>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</si>
  <si>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</si>
  <si>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</si>
  <si>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</si>
  <si>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</si>
  <si>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</si>
  <si>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</si>
  <si>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</si>
  <si>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</si>
  <si>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</si>
  <si>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</si>
  <si>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</si>
  <si>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</si>
  <si>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</si>
  <si>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</si>
  <si>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</si>
  <si>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</si>
  <si>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</si>
  <si>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</si>
  <si>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</si>
  <si>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</si>
  <si>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</si>
  <si>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</si>
  <si>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</si>
  <si>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</si>
  <si>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</si>
  <si>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</si>
  <si>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</si>
  <si>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</si>
  <si>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</si>
  <si>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</si>
  <si>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</si>
  <si>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</si>
  <si>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</si>
  <si>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</si>
  <si>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</si>
  <si>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</si>
  <si>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</si>
  <si>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</si>
  <si>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</si>
  <si>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</si>
  <si>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</si>
  <si>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</si>
  <si>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</si>
  <si>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</si>
  <si>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</si>
  <si>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</si>
  <si>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</si>
  <si>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</si>
  <si>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</si>
  <si>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</si>
  <si>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</si>
  <si>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</si>
  <si>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</si>
  <si>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</si>
  <si>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</si>
  <si>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</si>
  <si>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</si>
  <si>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</si>
  <si>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</si>
  <si>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</si>
  <si>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</si>
  <si>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</si>
  <si>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</si>
  <si>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</si>
  <si>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</si>
  <si>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</si>
  <si>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</si>
  <si>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</si>
  <si>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</si>
  <si>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</si>
  <si>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</si>
  <si>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</si>
  <si>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</si>
  <si>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</si>
  <si>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</si>
  <si>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</si>
  <si>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</si>
  <si>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</si>
  <si>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</si>
  <si>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</si>
  <si>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</si>
  <si>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</si>
  <si>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</si>
  <si>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</si>
  <si>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</si>
  <si>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</si>
  <si>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</si>
  <si>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</si>
  <si>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</si>
  <si>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</si>
  <si>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</si>
  <si>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</si>
  <si>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</si>
  <si>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</si>
  <si>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</si>
  <si>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</si>
  <si>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</si>
  <si>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</si>
  <si>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</si>
  <si>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</si>
  <si>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</si>
  <si>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</si>
  <si>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</si>
  <si>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</si>
  <si>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</si>
  <si>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</si>
  <si>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</si>
  <si>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</si>
  <si>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</si>
  <si>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</si>
  <si>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</si>
  <si>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</si>
  <si>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</si>
  <si>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</si>
  <si>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</si>
  <si>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</si>
  <si>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</si>
  <si>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</si>
  <si>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</si>
  <si>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</si>
  <si>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</si>
  <si>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</si>
  <si>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</si>
  <si>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</si>
  <si>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</si>
  <si>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</si>
  <si>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</si>
  <si>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</si>
  <si>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</si>
  <si>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</si>
  <si>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</si>
  <si>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</si>
  <si>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</si>
  <si>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</si>
  <si>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</si>
  <si>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</si>
  <si>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</si>
  <si>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</si>
  <si>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</si>
  <si>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</si>
  <si>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</si>
  <si>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</si>
  <si>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</si>
  <si>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</si>
  <si>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</si>
  <si>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</si>
  <si>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</si>
  <si>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</si>
  <si>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</si>
  <si>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</si>
  <si>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</si>
  <si>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</si>
  <si>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</si>
  <si>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</si>
  <si>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</si>
  <si>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</si>
  <si>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</si>
  <si>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</si>
  <si>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</si>
  <si>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</si>
  <si>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</si>
  <si>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</si>
  <si>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</si>
  <si>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</si>
  <si>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</si>
  <si>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</si>
  <si>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</si>
  <si>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</si>
  <si>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</si>
  <si>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</si>
  <si>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</si>
  <si>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</si>
  <si>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</si>
  <si>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</si>
  <si>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</si>
  <si>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</si>
  <si>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</si>
  <si>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</si>
  <si>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</si>
  <si>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</si>
  <si>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</si>
  <si>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</si>
  <si>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</si>
  <si>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</si>
  <si>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</si>
  <si>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</si>
  <si>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</si>
  <si>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</si>
  <si>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</si>
  <si>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</si>
  <si>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</si>
  <si>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</si>
  <si>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</si>
  <si>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</si>
  <si>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</si>
  <si>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</si>
  <si>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</si>
  <si>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</si>
  <si>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</si>
  <si>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</si>
  <si>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</si>
  <si>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</si>
  <si>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</si>
  <si>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</si>
  <si>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</si>
  <si>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</si>
  <si>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</si>
  <si>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</si>
  <si>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</si>
  <si>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</si>
  <si>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</si>
  <si>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</si>
  <si>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</si>
  <si>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</si>
  <si>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</si>
  <si>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</si>
  <si>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</si>
  <si>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</si>
  <si>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</si>
  <si>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</si>
  <si>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</si>
  <si>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</si>
  <si>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</si>
  <si>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</si>
  <si>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</si>
  <si>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</si>
  <si>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</si>
  <si>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</si>
  <si>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</si>
  <si>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</si>
  <si>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</si>
  <si>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</si>
  <si>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</si>
  <si>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</si>
  <si>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</si>
  <si>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</si>
  <si>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</si>
  <si>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</si>
  <si>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</si>
  <si>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</si>
  <si>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</si>
  <si>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</si>
  <si>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</si>
  <si>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</si>
  <si>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</si>
  <si>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</si>
  <si>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</si>
  <si>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</si>
  <si>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</si>
  <si>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</si>
  <si>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</si>
  <si>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</si>
  <si>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</si>
  <si>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</si>
  <si>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</si>
  <si>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</si>
  <si>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</si>
  <si>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</si>
  <si>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</si>
  <si>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</si>
  <si>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</si>
  <si>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</si>
  <si>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</si>
  <si>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</si>
  <si>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</si>
  <si>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</si>
  <si>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</si>
  <si>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</si>
  <si>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</si>
  <si>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</si>
  <si>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</si>
  <si>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</si>
  <si>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</si>
  <si>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</si>
  <si>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</si>
  <si>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</si>
  <si>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</si>
  <si>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</si>
  <si>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</si>
  <si>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</si>
  <si>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 xml:space="preserve">February 2024 CBO projection of social security </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</si>
  <si>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</si>
  <si>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</si>
  <si>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</si>
  <si>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</si>
  <si>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</si>
  <si>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</si>
  <si>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</si>
  <si>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</si>
  <si>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</si>
  <si>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</si>
  <si>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</si>
  <si>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</si>
  <si>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</si>
  <si>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</si>
  <si>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</si>
  <si>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</si>
  <si>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</si>
  <si>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</si>
  <si>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</si>
  <si>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</si>
  <si>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</si>
  <si>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</si>
  <si>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</si>
  <si>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</si>
  <si>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</si>
  <si>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</si>
  <si>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</si>
  <si>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</si>
  <si>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</si>
  <si>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2024 Q1 second revision (June 2024)</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</si>
  <si>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</si>
  <si>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</si>
  <si>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</si>
  <si>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</si>
  <si>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</si>
  <si>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</si>
  <si>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</si>
  <si>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</si>
  <si>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</si>
  <si>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</si>
  <si>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</si>
  <si>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</si>
  <si>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</si>
  <si>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</si>
  <si>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</si>
  <si>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</si>
  <si>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</si>
  <si>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</si>
  <si>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</si>
  <si>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</si>
  <si>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</si>
  <si>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</si>
  <si>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</si>
  <si>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</si>
  <si>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</si>
  <si>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</si>
  <si>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</si>
  <si>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</si>
  <si>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</si>
  <si>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</si>
  <si>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</si>
  <si>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</si>
  <si>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</si>
  <si>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</si>
  <si>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</si>
  <si>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</si>
  <si>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</si>
  <si>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</si>
  <si>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</si>
  <si>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</si>
  <si>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</si>
  <si>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</si>
  <si>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</si>
  <si>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</si>
  <si>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</si>
  <si>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</si>
  <si>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</si>
  <si>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</si>
  <si>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</si>
  <si>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</si>
  <si>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</si>
  <si>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</si>
  <si>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</si>
  <si>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</si>
  <si>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</si>
  <si>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</si>
  <si>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</si>
  <si>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</si>
  <si>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</si>
  <si>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</si>
  <si>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</si>
  <si>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</si>
  <si>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</si>
  <si>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</si>
  <si>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</si>
  <si>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</si>
  <si>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</si>
  <si>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</si>
  <si>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</si>
  <si>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</si>
  <si>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</si>
  <si>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</si>
  <si>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</si>
  <si>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</si>
  <si>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</si>
  <si>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</si>
  <si>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</si>
  <si>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</si>
  <si>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</si>
  <si>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</si>
  <si>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</si>
  <si>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</si>
  <si>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</si>
  <si>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</si>
  <si>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</si>
  <si>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</si>
  <si>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</si>
  <si>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</si>
  <si>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</si>
  <si>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</si>
  <si>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</si>
  <si>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</si>
  <si>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</si>
  <si>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</si>
  <si>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</si>
  <si>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</si>
  <si>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</si>
  <si>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</si>
  <si>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</si>
  <si>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</si>
  <si>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</si>
  <si>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</si>
  <si>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</si>
  <si>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</si>
  <si>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</si>
  <si>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</si>
  <si>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</si>
  <si>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</si>
  <si>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</si>
  <si>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</si>
  <si>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</si>
  <si>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</si>
  <si>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</si>
  <si>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</si>
  <si>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</si>
  <si>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</si>
  <si>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</si>
  <si>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</si>
  <si>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</si>
  <si>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</si>
  <si>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</si>
  <si>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</si>
  <si>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</si>
  <si>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</si>
  <si>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</si>
  <si>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</si>
  <si>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</si>
  <si>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</si>
  <si>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</si>
  <si>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</si>
  <si>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</si>
  <si>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</si>
  <si>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</si>
  <si>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</si>
  <si>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</si>
  <si>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</si>
  <si>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</si>
  <si>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</si>
  <si>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</si>
  <si>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</si>
  <si>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</si>
  <si>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</si>
  <si>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</si>
  <si>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</si>
  <si>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</si>
  <si>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</si>
  <si>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</si>
  <si>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</si>
  <si>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</si>
  <si>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</si>
  <si>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</si>
  <si>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</si>
  <si>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</si>
  <si>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</si>
  <si>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</si>
  <si>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</si>
  <si>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</si>
  <si>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</si>
  <si>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</si>
  <si>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</si>
  <si>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</si>
  <si>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</si>
  <si>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</si>
  <si>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</si>
  <si>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</si>
  <si>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</si>
  <si>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</si>
  <si>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</si>
  <si>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</si>
  <si>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</si>
  <si>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</si>
  <si>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</si>
  <si>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</si>
  <si>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</si>
  <si>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</si>
  <si>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</si>
  <si>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</si>
  <si>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</si>
  <si>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</si>
  <si>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</si>
  <si>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</si>
  <si>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</si>
  <si>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</si>
  <si>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</si>
  <si>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</si>
  <si>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</si>
  <si>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</si>
  <si>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</si>
  <si>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</si>
  <si>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</si>
  <si>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</si>
  <si>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</si>
  <si>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</si>
  <si>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</si>
  <si>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</si>
  <si>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</si>
  <si>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</si>
  <si>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</si>
  <si>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</si>
  <si>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</si>
  <si>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</si>
  <si>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</si>
  <si>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</si>
  <si>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</si>
  <si>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</si>
  <si>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</si>
  <si>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</si>
  <si>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</si>
  <si>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</si>
  <si>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</si>
  <si>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</si>
  <si>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</si>
  <si>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</si>
  <si>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</si>
  <si>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</si>
  <si>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</si>
  <si>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</si>
  <si>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</si>
  <si>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</si>
  <si>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</si>
  <si>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</si>
  <si>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</si>
  <si>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</si>
  <si>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</si>
  <si>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</si>
  <si>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</si>
  <si>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</si>
  <si>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</si>
  <si>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</si>
  <si>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</si>
  <si>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</si>
  <si>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</si>
  <si>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</si>
  <si>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</si>
  <si>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</si>
  <si>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</si>
  <si>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</si>
  <si>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</si>
  <si>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</si>
  <si>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</si>
  <si>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</si>
  <si>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</si>
  <si>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</si>
  <si>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</si>
  <si>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</si>
  <si>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</si>
  <si>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</si>
  <si>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</si>
  <si>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</si>
  <si>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</si>
  <si>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</si>
  <si>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</si>
  <si>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</si>
  <si>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</si>
  <si>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</si>
  <si>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</si>
  <si>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</si>
  <si>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</si>
  <si>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</si>
  <si>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</si>
  <si>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</si>
  <si>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</si>
  <si>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</si>
  <si>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</si>
  <si>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</si>
  <si>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</si>
  <si>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</si>
  <si>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</si>
  <si>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</si>
  <si>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</si>
  <si>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</si>
  <si>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</si>
  <si>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</si>
  <si>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</si>
  <si>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</si>
  <si>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</si>
  <si>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</si>
  <si>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</si>
  <si>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</si>
  <si>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</si>
  <si>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</si>
  <si>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</si>
  <si>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</si>
  <si>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</si>
  <si>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</si>
  <si>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</si>
  <si>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</si>
  <si>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</si>
  <si>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</si>
  <si>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</si>
  <si>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</si>
  <si>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</si>
  <si>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</si>
  <si>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</si>
  <si>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</si>
  <si>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</si>
  <si>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</si>
  <si>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</si>
  <si>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</si>
  <si>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</si>
  <si>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</si>
  <si>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</si>
  <si>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</si>
  <si>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</si>
  <si>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</si>
  <si>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</si>
  <si>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</si>
  <si>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</si>
  <si>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</si>
  <si>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</si>
  <si>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</si>
  <si>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</si>
  <si>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</si>
  <si>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</si>
  <si>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</si>
  <si>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</si>
  <si>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</si>
  <si>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</si>
  <si>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</si>
  <si>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</si>
  <si>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</si>
  <si>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</si>
  <si>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Dec.</t>
  </si>
  <si>
    <t>Jan. r</t>
  </si>
  <si>
    <t>Feb. r</t>
  </si>
  <si>
    <t>March r</t>
  </si>
  <si>
    <t>April r</t>
  </si>
  <si>
    <t>May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</si>
</sst>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4" formatCode="_(&quot;$&quot;* #,##0.00_);_(&quot;$&quot;* \(#,##0.00\);_(&quot;$&quot;* &quot;-&quot;??_);_(@_)"/>
    <numFmt numFmtId="43" formatCode="_(* #,##0.00_);_(* \(#,##0.00\);_(* &quot;-&quot;??_);_(@_)"/>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 numFmtId="178" formatCode="_(* #,##0_);_(* \(#,##0\);_(* &quot;-&quot;??_);_(@_)"/>
    <numFmt numFmtId="179" formatCode="0.0000"/>
  </numFmts>
  <fonts count="97">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sz val="11"/>
      <color rgb="FF4F4F4F"/>
      <name val="Segoe UI"/>
      <family val="2"/>
    </font>
    <font>
      <b/>
      <sz val="16"/>
      <color theme="1"/>
      <name val="Calibri"/>
      <family val="2"/>
    </font>
    <font>
      <u/>
      <sz val="11"/>
      <color theme="10"/>
      <name val="Calibri"/>
      <family val="2"/>
    </font>
    <font>
      <b/>
      <sz val="11"/>
      <color rgb="FF4F4F4F"/>
      <name val="Segoe U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sz val="12"/>
      <name val="Arial"/>
      <family val="2"/>
    </font>
    <font>
      <sz val="12"/>
      <color theme="1"/>
      <name val="Calibri"/>
      <family val="2"/>
      <scheme val="minor"/>
    </font>
    <font>
      <u/>
      <sz val="10"/>
      <color theme="10"/>
      <name val="Arial"/>
      <family val="2"/>
    </font>
    <font>
      <u/>
      <sz val="12"/>
      <color theme="10"/>
      <name val="Arial"/>
      <family val="2"/>
    </font>
    <font>
      <u/>
      <sz val="10"/>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sz val="12"/>
      <name val="Times New Roman"/>
      <family val="1"/>
    </font>
    <font>
      <sz val="10"/>
      <name val="MS Sans Serif"/>
      <family val="2"/>
    </font>
    <font>
      <b/>
      <sz val="10"/>
      <color rgb="FF3F3F3F"/>
      <name val="Arial"/>
      <family val="2"/>
    </font>
    <font>
      <sz val="10"/>
      <color rgb="FFFF0000"/>
      <name val="Arial"/>
      <family val="2"/>
    </font>
    <font>
      <b/>
      <sz val="18"/>
      <color theme="3"/>
      <name val="Calibri Light"/>
      <family val="2"/>
      <scheme val="major"/>
    </font>
    <font>
      <sz val="10"/>
      <name val="P-TIMES"/>
    </font>
    <font>
      <sz val="10"/>
      <color rgb="FF000000"/>
      <name val="Times New Roman"/>
      <family val="1"/>
    </font>
    <font>
      <sz val="10"/>
      <color theme="3"/>
      <name val="Arial"/>
      <family val="2"/>
    </font>
    <font>
      <b/>
      <sz val="8"/>
      <color rgb="FF4F4F4F"/>
      <name val="Segoe UI"/>
      <family val="2"/>
    </font>
  </fonts>
  <fills count="7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B0C4FE"/>
        <bgColor indexed="64"/>
      </patternFill>
    </fill>
    <fill>
      <patternFill patternType="solid">
        <fgColor rgb="FFFDFDCB"/>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9">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bottom/>
      <diagonal/>
    </border>
    <border>
      <left style="hair">
        <color auto="1"/>
      </left>
      <right/>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style="hair">
        <color auto="1"/>
      </bottom>
      <diagonal/>
    </border>
    <border>
      <left/>
      <right style="hair">
        <color auto="1"/>
      </right>
      <top style="hair">
        <color auto="1"/>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31">
    <xf numFmtId="0" fontId="0" fillId="0" borderId="0"/>
    <xf numFmtId="0" fontId="68" fillId="0" borderId="0"/>
    <xf numFmtId="0" fontId="70" fillId="0" borderId="0"/>
    <xf numFmtId="43" fontId="68" fillId="0" borderId="0" applyFont="0" applyFill="0" applyBorder="0" applyAlignment="0" applyProtection="0"/>
    <xf numFmtId="0" fontId="71" fillId="0" borderId="0"/>
    <xf numFmtId="0" fontId="71" fillId="0" borderId="0"/>
    <xf numFmtId="0" fontId="11" fillId="0" borderId="0" applyNumberFormat="0" applyFill="0" applyBorder="0" applyAlignment="0" applyProtection="0"/>
    <xf numFmtId="0" fontId="68" fillId="0" borderId="0"/>
    <xf numFmtId="0" fontId="68" fillId="0" borderId="0"/>
    <xf numFmtId="9" fontId="68" fillId="0" borderId="0" applyFont="0" applyFill="0" applyBorder="0" applyAlignment="0" applyProtection="0"/>
    <xf numFmtId="0" fontId="70" fillId="0" borderId="0"/>
    <xf numFmtId="0" fontId="68" fillId="0" borderId="0"/>
    <xf numFmtId="43" fontId="68" fillId="0" borderId="0" applyFont="0" applyFill="0" applyBorder="0" applyAlignment="0" applyProtection="0"/>
    <xf numFmtId="43" fontId="68" fillId="0" borderId="0" applyFont="0" applyFill="0" applyBorder="0" applyAlignment="0" applyProtection="0"/>
    <xf numFmtId="0" fontId="16" fillId="0" borderId="0" applyNumberFormat="0" applyFill="0" applyBorder="0" applyAlignment="0" applyProtection="0">
      <alignment vertical="top"/>
      <protection locked="0"/>
    </xf>
    <xf numFmtId="0" fontId="68" fillId="0" borderId="0"/>
    <xf numFmtId="0" fontId="73" fillId="0" borderId="0" applyNumberFormat="0" applyFill="0" applyBorder="0" applyAlignment="0" applyProtection="0"/>
    <xf numFmtId="9" fontId="35" fillId="0" borderId="0" applyFont="0" applyFill="0" applyBorder="0" applyAlignment="0" applyProtection="0"/>
    <xf numFmtId="0" fontId="68" fillId="0" borderId="0"/>
    <xf numFmtId="0" fontId="35" fillId="0" borderId="0"/>
    <xf numFmtId="0" fontId="70" fillId="0" borderId="0"/>
    <xf numFmtId="0" fontId="74" fillId="0" borderId="0" applyNumberFormat="0" applyFill="0" applyBorder="0" applyAlignment="0" applyProtection="0">
      <alignment vertical="top"/>
      <protection locked="0"/>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68"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68" fillId="0" borderId="0"/>
    <xf numFmtId="0" fontId="41" fillId="53" borderId="0" applyNumberFormat="0" applyBorder="0" applyAlignment="0" applyProtection="0"/>
    <xf numFmtId="0" fontId="41" fillId="57" borderId="0" applyNumberFormat="0" applyBorder="0" applyAlignment="0" applyProtection="0"/>
    <xf numFmtId="0" fontId="41" fillId="61" borderId="0" applyNumberFormat="0" applyBorder="0" applyAlignment="0" applyProtection="0"/>
    <xf numFmtId="0" fontId="41" fillId="65" borderId="0" applyNumberFormat="0" applyBorder="0" applyAlignment="0" applyProtection="0"/>
    <xf numFmtId="0" fontId="41" fillId="69" borderId="0" applyNumberFormat="0" applyBorder="0" applyAlignment="0" applyProtection="0"/>
    <xf numFmtId="0" fontId="41" fillId="73"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62" borderId="0" applyNumberFormat="0" applyBorder="0" applyAlignment="0" applyProtection="0"/>
    <xf numFmtId="0" fontId="41" fillId="66" borderId="0" applyNumberFormat="0" applyBorder="0" applyAlignment="0" applyProtection="0"/>
    <xf numFmtId="0" fontId="41" fillId="70" borderId="0" applyNumberFormat="0" applyBorder="0" applyAlignment="0" applyProtection="0"/>
    <xf numFmtId="0" fontId="41" fillId="74" borderId="0" applyNumberFormat="0" applyBorder="0" applyAlignment="0" applyProtection="0"/>
    <xf numFmtId="0" fontId="75" fillId="55" borderId="0" applyNumberFormat="0" applyBorder="0" applyAlignment="0" applyProtection="0"/>
    <xf numFmtId="0" fontId="75" fillId="59" borderId="0" applyNumberFormat="0" applyBorder="0" applyAlignment="0" applyProtection="0"/>
    <xf numFmtId="0" fontId="75" fillId="63" borderId="0" applyNumberFormat="0" applyBorder="0" applyAlignment="0" applyProtection="0"/>
    <xf numFmtId="0" fontId="75" fillId="67" borderId="0" applyNumberFormat="0" applyBorder="0" applyAlignment="0" applyProtection="0"/>
    <xf numFmtId="0" fontId="75" fillId="71" borderId="0" applyNumberFormat="0" applyBorder="0" applyAlignment="0" applyProtection="0"/>
    <xf numFmtId="0" fontId="75" fillId="75" borderId="0" applyNumberFormat="0" applyBorder="0" applyAlignment="0" applyProtection="0"/>
    <xf numFmtId="0" fontId="75" fillId="52" borderId="0" applyNumberFormat="0" applyBorder="0" applyAlignment="0" applyProtection="0"/>
    <xf numFmtId="0" fontId="75" fillId="56" borderId="0" applyNumberFormat="0" applyBorder="0" applyAlignment="0" applyProtection="0"/>
    <xf numFmtId="0" fontId="75" fillId="60" borderId="0" applyNumberFormat="0" applyBorder="0" applyAlignment="0" applyProtection="0"/>
    <xf numFmtId="0" fontId="75" fillId="64" borderId="0" applyNumberFormat="0" applyBorder="0" applyAlignment="0" applyProtection="0"/>
    <xf numFmtId="0" fontId="75" fillId="68" borderId="0" applyNumberFormat="0" applyBorder="0" applyAlignment="0" applyProtection="0"/>
    <xf numFmtId="0" fontId="75" fillId="72" borderId="0" applyNumberFormat="0" applyBorder="0" applyAlignment="0" applyProtection="0"/>
    <xf numFmtId="0" fontId="76" fillId="46" borderId="0" applyNumberFormat="0" applyBorder="0" applyAlignment="0" applyProtection="0"/>
    <xf numFmtId="0" fontId="77" fillId="49" borderId="53" applyNumberFormat="0" applyAlignment="0" applyProtection="0"/>
    <xf numFmtId="0" fontId="78" fillId="50" borderId="56" applyNumberFormat="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3" fontId="68" fillId="0" borderId="0" applyFont="0" applyFill="0" applyBorder="0" applyAlignment="0" applyProtection="0"/>
    <xf numFmtId="44" fontId="79" fillId="0" borderId="0" applyFont="0" applyFill="0" applyBorder="0" applyAlignment="0" applyProtection="0"/>
    <xf numFmtId="44" fontId="79" fillId="0" borderId="0" applyFont="0" applyFill="0" applyBorder="0" applyAlignment="0" applyProtection="0"/>
    <xf numFmtId="0" fontId="80" fillId="0" borderId="0" applyNumberFormat="0" applyFill="0" applyBorder="0" applyAlignment="0" applyProtection="0"/>
    <xf numFmtId="0" fontId="81" fillId="45" borderId="0" applyNumberFormat="0" applyBorder="0" applyAlignment="0" applyProtection="0"/>
    <xf numFmtId="0" fontId="82" fillId="0" borderId="50" applyNumberFormat="0" applyFill="0" applyAlignment="0" applyProtection="0"/>
    <xf numFmtId="0" fontId="83" fillId="0" borderId="51" applyNumberFormat="0" applyFill="0" applyAlignment="0" applyProtection="0"/>
    <xf numFmtId="0" fontId="84" fillId="0" borderId="52" applyNumberFormat="0" applyFill="0" applyAlignment="0" applyProtection="0"/>
    <xf numFmtId="0" fontId="84" fillId="0" borderId="0" applyNumberFormat="0" applyFill="0" applyBorder="0" applyAlignment="0" applyProtection="0"/>
    <xf numFmtId="0" fontId="85" fillId="48" borderId="53" applyNumberFormat="0" applyAlignment="0" applyProtection="0"/>
    <xf numFmtId="0" fontId="86" fillId="0" borderId="55" applyNumberFormat="0" applyFill="0" applyAlignment="0" applyProtection="0"/>
    <xf numFmtId="0" fontId="87" fillId="47" borderId="0" applyNumberFormat="0" applyBorder="0" applyAlignment="0" applyProtection="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68" fillId="0" borderId="0"/>
    <xf numFmtId="0" fontId="68" fillId="0" borderId="0"/>
    <xf numFmtId="0" fontId="68" fillId="0" borderId="0"/>
    <xf numFmtId="0" fontId="41"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68" fillId="0" borderId="0"/>
    <xf numFmtId="0" fontId="89" fillId="0" borderId="0"/>
    <xf numFmtId="0" fontId="89" fillId="0" borderId="0"/>
    <xf numFmtId="0" fontId="89" fillId="0" borderId="0"/>
    <xf numFmtId="0" fontId="89" fillId="0" borderId="0"/>
    <xf numFmtId="0" fontId="70" fillId="0" borderId="0"/>
    <xf numFmtId="0" fontId="70" fillId="0" borderId="0"/>
    <xf numFmtId="0" fontId="70" fillId="0" borderId="0"/>
    <xf numFmtId="0" fontId="68" fillId="0" borderId="0"/>
    <xf numFmtId="0" fontId="68" fillId="0" borderId="0"/>
    <xf numFmtId="0" fontId="35" fillId="0" borderId="0"/>
    <xf numFmtId="0" fontId="68" fillId="0" borderId="0"/>
    <xf numFmtId="0" fontId="35" fillId="51" borderId="57" applyNumberFormat="0" applyFont="0" applyAlignment="0" applyProtection="0"/>
    <xf numFmtId="0" fontId="35" fillId="51" borderId="57" applyNumberFormat="0" applyFont="0" applyAlignment="0" applyProtection="0"/>
    <xf numFmtId="0" fontId="35" fillId="51" borderId="57" applyNumberFormat="0" applyFont="0" applyAlignment="0" applyProtection="0"/>
    <xf numFmtId="0" fontId="41" fillId="51" borderId="57" applyNumberFormat="0" applyFont="0" applyAlignment="0" applyProtection="0"/>
    <xf numFmtId="0" fontId="90" fillId="49" borderId="54" applyNumberFormat="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28" fillId="0" borderId="58" applyNumberFormat="0" applyFill="0" applyAlignment="0" applyProtection="0"/>
    <xf numFmtId="0" fontId="91" fillId="0" borderId="0" applyNumberFormat="0" applyFill="0" applyBorder="0" applyAlignment="0" applyProtection="0"/>
    <xf numFmtId="0" fontId="68" fillId="0" borderId="0"/>
    <xf numFmtId="43" fontId="35" fillId="0" borderId="0" applyFont="0" applyFill="0" applyBorder="0" applyAlignment="0" applyProtection="0"/>
    <xf numFmtId="9" fontId="35" fillId="0" borderId="0" applyFont="0" applyFill="0" applyBorder="0" applyAlignment="0" applyProtection="0"/>
    <xf numFmtId="0" fontId="72" fillId="0" borderId="0" applyNumberFormat="0" applyFill="0" applyBorder="0" applyAlignment="0" applyProtection="0"/>
    <xf numFmtId="0" fontId="35" fillId="0" borderId="0"/>
    <xf numFmtId="0" fontId="92" fillId="0" borderId="0" applyNumberFormat="0" applyFill="0" applyBorder="0" applyAlignment="0" applyProtection="0"/>
    <xf numFmtId="0" fontId="93" fillId="0" borderId="0"/>
    <xf numFmtId="0" fontId="41" fillId="0" borderId="0"/>
    <xf numFmtId="0" fontId="68" fillId="0" borderId="0"/>
    <xf numFmtId="0" fontId="41" fillId="51" borderId="57" applyNumberFormat="0" applyFont="0" applyAlignment="0" applyProtection="0"/>
    <xf numFmtId="44" fontId="68" fillId="0" borderId="0" applyFont="0" applyFill="0" applyBorder="0" applyAlignment="0" applyProtection="0"/>
    <xf numFmtId="0" fontId="13" fillId="0" borderId="0" applyNumberFormat="0" applyFill="0" applyBorder="0" applyAlignment="0" applyProtection="0"/>
    <xf numFmtId="0" fontId="72" fillId="0" borderId="0" applyNumberFormat="0" applyFill="0" applyBorder="0" applyAlignment="0" applyProtection="0"/>
    <xf numFmtId="0" fontId="68" fillId="0" borderId="0"/>
    <xf numFmtId="0" fontId="35" fillId="0" borderId="0"/>
    <xf numFmtId="0" fontId="94" fillId="0" borderId="0"/>
    <xf numFmtId="0" fontId="95" fillId="0" borderId="0" applyNumberFormat="0" applyFill="0" applyBorder="0" applyAlignment="0" applyProtection="0"/>
    <xf numFmtId="0" fontId="68" fillId="0" borderId="0"/>
  </cellStyleXfs>
  <cellXfs count="1460">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3" fontId="1" fillId="0" borderId="15" xfId="0" applyNumberFormat="1" applyFont="1" applyBorder="1" applyAlignment="1">
      <alignment horizontal="right"/>
    </xf>
    <xf numFmtId="0" fontId="2" fillId="0" borderId="0" xfId="0" applyFont="1" applyAlignment="1">
      <alignment horizontal="center"/>
    </xf>
    <xf numFmtId="168" fontId="1" fillId="8" borderId="16" xfId="0" applyNumberFormat="1" applyFont="1" applyFill="1" applyBorder="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 fontId="1" fillId="10" borderId="18" xfId="0" applyNumberFormat="1" applyFont="1" applyFill="1" applyBorder="1" applyAlignment="1">
      <alignment horizontal="center"/>
    </xf>
    <xf numFmtId="168" fontId="1" fillId="11" borderId="16" xfId="0" applyNumberFormat="1" applyFont="1" applyFill="1" applyBorder="1" applyAlignment="1">
      <alignment horizontal="center"/>
    </xf>
    <xf numFmtId="165" fontId="2" fillId="11" borderId="0" xfId="0" applyNumberFormat="1" applyFont="1" applyFill="1" applyAlignment="1">
      <alignment horizontal="right"/>
    </xf>
    <xf numFmtId="165" fontId="2" fillId="11" borderId="17" xfId="0" applyNumberFormat="1" applyFont="1" applyFill="1" applyBorder="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5" fontId="1" fillId="0" borderId="0" xfId="0" applyNumberFormat="1" applyFont="1"/>
    <xf numFmtId="0" fontId="13" fillId="0" borderId="0" xfId="0" applyFont="1"/>
    <xf numFmtId="0" fontId="1" fillId="10" borderId="0" xfId="0" applyFont="1" applyFill="1" applyAlignment="1">
      <alignment horizontal="left" indent="3"/>
    </xf>
    <xf numFmtId="165" fontId="1" fillId="10" borderId="19" xfId="0" applyNumberFormat="1" applyFont="1" applyFill="1" applyBorder="1" applyAlignment="1">
      <alignment horizontal="right"/>
    </xf>
    <xf numFmtId="165" fontId="1" fillId="10" borderId="0" xfId="0" applyNumberFormat="1" applyFont="1" applyFill="1" applyAlignment="1">
      <alignment horizontal="right"/>
    </xf>
    <xf numFmtId="2" fontId="1" fillId="10" borderId="4" xfId="0" applyNumberFormat="1" applyFont="1" applyFill="1" applyBorder="1"/>
    <xf numFmtId="165" fontId="2" fillId="8" borderId="20" xfId="0" applyNumberFormat="1" applyFont="1" applyFill="1" applyBorder="1" applyAlignment="1">
      <alignment horizontal="right"/>
    </xf>
    <xf numFmtId="2" fontId="1" fillId="10" borderId="21" xfId="0" applyNumberFormat="1" applyFont="1" applyFill="1" applyBorder="1"/>
    <xf numFmtId="165" fontId="2" fillId="8" borderId="19" xfId="0" applyNumberFormat="1" applyFont="1" applyFill="1" applyBorder="1" applyAlignment="1">
      <alignment horizontal="right"/>
    </xf>
    <xf numFmtId="165" fontId="1" fillId="8" borderId="19" xfId="0" applyNumberFormat="1" applyFont="1" applyFill="1" applyBorder="1" applyAlignment="1">
      <alignment horizontal="right"/>
    </xf>
    <xf numFmtId="3" fontId="1" fillId="8" borderId="19" xfId="0" applyNumberFormat="1" applyFont="1" applyFill="1" applyBorder="1" applyAlignment="1">
      <alignment horizontal="right"/>
    </xf>
    <xf numFmtId="3" fontId="1" fillId="8" borderId="22" xfId="0" applyNumberFormat="1" applyFont="1" applyFill="1" applyBorder="1" applyAlignment="1">
      <alignment horizontal="right"/>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5" xfId="0" applyNumberFormat="1" applyFont="1" applyFill="1" applyBorder="1" applyAlignment="1">
      <alignment horizontal="right"/>
    </xf>
    <xf numFmtId="3" fontId="1" fillId="9" borderId="15" xfId="0" applyNumberFormat="1" applyFont="1" applyFill="1" applyBorder="1" applyAlignment="1">
      <alignment horizontal="right"/>
    </xf>
    <xf numFmtId="165" fontId="2" fillId="9" borderId="23" xfId="0" applyNumberFormat="1" applyFont="1" applyFill="1" applyBorder="1" applyAlignment="1">
      <alignment horizontal="right"/>
    </xf>
    <xf numFmtId="165" fontId="2" fillId="9" borderId="18" xfId="0" applyNumberFormat="1" applyFont="1" applyFill="1" applyBorder="1" applyAlignment="1">
      <alignment horizontal="right"/>
    </xf>
    <xf numFmtId="165" fontId="1" fillId="9" borderId="18" xfId="0" applyNumberFormat="1" applyFont="1" applyFill="1" applyBorder="1" applyAlignment="1">
      <alignment horizontal="right"/>
    </xf>
    <xf numFmtId="3" fontId="1" fillId="9" borderId="18" xfId="0" applyNumberFormat="1" applyFont="1" applyFill="1" applyBorder="1" applyAlignment="1">
      <alignment horizontal="right"/>
    </xf>
    <xf numFmtId="3" fontId="1" fillId="9" borderId="24" xfId="0" applyNumberFormat="1" applyFont="1" applyFill="1" applyBorder="1" applyAlignment="1">
      <alignment horizontal="right"/>
    </xf>
    <xf numFmtId="0" fontId="2" fillId="10" borderId="0" xfId="0" applyFont="1" applyFill="1" applyAlignment="1">
      <alignment horizontal="left" wrapText="1" indent="1"/>
    </xf>
    <xf numFmtId="0" fontId="14" fillId="12" borderId="0" xfId="0" applyFont="1" applyFill="1" applyAlignment="1">
      <alignment horizontal="right" vertic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0" fontId="2" fillId="10"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vertical="center" indent="2"/>
    </xf>
    <xf numFmtId="168" fontId="1" fillId="0" borderId="27" xfId="0" applyNumberFormat="1" applyFont="1" applyBorder="1" applyAlignment="1">
      <alignment horizontal="center"/>
    </xf>
    <xf numFmtId="168" fontId="1" fillId="0" borderId="19" xfId="0" applyNumberFormat="1" applyFont="1" applyBorder="1" applyAlignment="1">
      <alignment horizontal="center"/>
    </xf>
    <xf numFmtId="168" fontId="1" fillId="0" borderId="0" xfId="0" applyNumberFormat="1" applyFont="1" applyAlignment="1">
      <alignment horizontal="left" wrapText="1" indent="1"/>
    </xf>
    <xf numFmtId="0" fontId="1" fillId="0" borderId="0" xfId="0" applyFont="1" applyAlignment="1">
      <alignment horizontal="left" indent="1"/>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32"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32" xfId="0" applyNumberFormat="1" applyFont="1" applyFill="1" applyBorder="1" applyAlignment="1">
      <alignment horizontal="left" wrapText="1"/>
    </xf>
    <xf numFmtId="168" fontId="15" fillId="11" borderId="0" xfId="0" applyNumberFormat="1" applyFont="1" applyFill="1" applyAlignment="1">
      <alignment horizontal="center"/>
    </xf>
    <xf numFmtId="0" fontId="2" fillId="11" borderId="0" xfId="0" applyFont="1" applyFill="1"/>
    <xf numFmtId="0" fontId="2" fillId="11" borderId="0" xfId="0" applyFont="1" applyFill="1" applyAlignment="1">
      <alignment horizontal="center"/>
    </xf>
    <xf numFmtId="0" fontId="2" fillId="0" borderId="0" xfId="0" applyFont="1" applyAlignment="1">
      <alignment horizontal="left" wrapText="1" indent="1"/>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0" fontId="1" fillId="0" borderId="0" xfId="0" applyFont="1" applyAlignment="1">
      <alignment horizontal="left" wrapText="1" indent="3"/>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32"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24" xfId="0" applyNumberFormat="1" applyFont="1" applyBorder="1" applyAlignment="1">
      <alignment horizontal="center"/>
    </xf>
    <xf numFmtId="165" fontId="2" fillId="9" borderId="20" xfId="0" applyNumberFormat="1" applyFont="1" applyFill="1" applyBorder="1" applyAlignment="1">
      <alignment horizontal="right"/>
    </xf>
    <xf numFmtId="165" fontId="2" fillId="9" borderId="19" xfId="0" applyNumberFormat="1" applyFont="1" applyFill="1" applyBorder="1" applyAlignment="1">
      <alignment horizontal="right"/>
    </xf>
    <xf numFmtId="165" fontId="1" fillId="9" borderId="19" xfId="0" applyNumberFormat="1" applyFont="1" applyFill="1" applyBorder="1" applyAlignment="1">
      <alignment horizontal="right"/>
    </xf>
    <xf numFmtId="3" fontId="1" fillId="9" borderId="19" xfId="0" applyNumberFormat="1" applyFont="1" applyFill="1" applyBorder="1" applyAlignment="1">
      <alignment horizontal="right"/>
    </xf>
    <xf numFmtId="3" fontId="1" fillId="9" borderId="22"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2" fillId="3" borderId="32" xfId="0" applyNumberFormat="1" applyFont="1" applyFill="1" applyBorder="1" applyAlignment="1">
      <alignment horizontal="left" wrapText="1"/>
    </xf>
    <xf numFmtId="10" fontId="1" fillId="9" borderId="0" xfId="0" applyNumberFormat="1" applyFont="1" applyFill="1"/>
    <xf numFmtId="0" fontId="17" fillId="12" borderId="0" xfId="0" applyFont="1" applyFill="1" applyAlignment="1">
      <alignment horizontal="right" vertical="center"/>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0" xfId="0" applyNumberFormat="1" applyFont="1" applyBorder="1" applyAlignment="1">
      <alignment horizontal="right"/>
    </xf>
    <xf numFmtId="165" fontId="2" fillId="0" borderId="17" xfId="0" applyNumberFormat="1" applyFont="1" applyBorder="1" applyAlignment="1">
      <alignment horizontal="right"/>
    </xf>
    <xf numFmtId="165" fontId="2" fillId="0" borderId="19" xfId="0" applyNumberFormat="1" applyFont="1" applyBorder="1" applyAlignment="1">
      <alignment horizontal="right"/>
    </xf>
    <xf numFmtId="165" fontId="2" fillId="0" borderId="0" xfId="0" applyNumberFormat="1" applyFont="1" applyAlignment="1">
      <alignment horizontal="right"/>
    </xf>
    <xf numFmtId="165" fontId="1" fillId="0" borderId="19" xfId="0" applyNumberFormat="1" applyFont="1" applyBorder="1" applyAlignment="1">
      <alignment horizontal="right"/>
    </xf>
    <xf numFmtId="165" fontId="1" fillId="0" borderId="0" xfId="0" applyNumberFormat="1" applyFont="1" applyAlignment="1">
      <alignment horizontal="right"/>
    </xf>
    <xf numFmtId="3" fontId="1" fillId="0" borderId="19" xfId="0" applyNumberFormat="1" applyFont="1" applyBorder="1" applyAlignment="1">
      <alignment horizontal="right"/>
    </xf>
    <xf numFmtId="3" fontId="1" fillId="0" borderId="0" xfId="0" applyNumberFormat="1" applyFont="1" applyAlignment="1">
      <alignment horizontal="right"/>
    </xf>
    <xf numFmtId="3" fontId="1" fillId="0" borderId="22" xfId="0" applyNumberFormat="1" applyFont="1" applyBorder="1" applyAlignment="1">
      <alignment horizontal="right"/>
    </xf>
    <xf numFmtId="0" fontId="18"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9" fillId="7" borderId="0" xfId="0" applyFont="1" applyFill="1" applyAlignment="1">
      <alignment horizontal="center"/>
    </xf>
    <xf numFmtId="167" fontId="1" fillId="13" borderId="0" xfId="0" applyNumberFormat="1" applyFont="1" applyFill="1" applyAlignment="1">
      <alignment horizontal="center"/>
    </xf>
    <xf numFmtId="0" fontId="21" fillId="0" borderId="0" xfId="0" applyFont="1"/>
    <xf numFmtId="0" fontId="20" fillId="0" borderId="0" xfId="0" applyFont="1" applyAlignment="1">
      <alignment horizontal="left" indent="1"/>
    </xf>
    <xf numFmtId="0" fontId="20" fillId="0" borderId="0" xfId="0" applyFont="1" applyAlignment="1">
      <alignment horizontal="left" wrapText="1" indent="1"/>
    </xf>
    <xf numFmtId="0" fontId="20" fillId="0" borderId="0" xfId="0" applyFont="1" applyAlignment="1">
      <alignment horizontal="left" indent="2"/>
    </xf>
    <xf numFmtId="0" fontId="20" fillId="0" borderId="0" xfId="0" applyFont="1" applyAlignment="1">
      <alignment horizontal="center" wrapText="1"/>
    </xf>
    <xf numFmtId="9" fontId="20" fillId="0" borderId="0" xfId="0" applyNumberFormat="1" applyFont="1" applyAlignment="1">
      <alignment horizontal="center"/>
    </xf>
    <xf numFmtId="0" fontId="21" fillId="0" borderId="0" xfId="0" applyFont="1" applyAlignment="1">
      <alignment horizontal="center"/>
    </xf>
    <xf numFmtId="167" fontId="20"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2" fillId="0" borderId="0" xfId="0" applyNumberFormat="1" applyFont="1" applyAlignment="1">
      <alignment horizontal="center"/>
    </xf>
    <xf numFmtId="3" fontId="22"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2" fillId="7" borderId="0" xfId="0" applyNumberFormat="1" applyFont="1" applyFill="1" applyAlignment="1">
      <alignment horizontal="center"/>
    </xf>
    <xf numFmtId="0" fontId="12" fillId="7" borderId="0" xfId="0" applyFont="1" applyFill="1" applyAlignment="1">
      <alignment horizontal="center"/>
    </xf>
    <xf numFmtId="0" fontId="4" fillId="13" borderId="2" xfId="0" applyFont="1" applyFill="1" applyBorder="1"/>
    <xf numFmtId="0" fontId="4" fillId="0" borderId="0" xfId="0" applyFont="1"/>
    <xf numFmtId="168" fontId="4" fillId="10"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2"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2" fillId="0" borderId="1" xfId="0" applyNumberFormat="1" applyFont="1" applyBorder="1" applyAlignment="1">
      <alignment horizontal="center"/>
    </xf>
    <xf numFmtId="0" fontId="22"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2"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7" xfId="0" applyFont="1" applyFill="1" applyBorder="1" applyAlignment="1">
      <alignment horizontal="center"/>
    </xf>
    <xf numFmtId="0" fontId="4" fillId="13" borderId="3" xfId="0" applyFont="1" applyFill="1" applyBorder="1" applyAlignment="1">
      <alignment horizontal="center"/>
    </xf>
    <xf numFmtId="0" fontId="4" fillId="0" borderId="5" xfId="0" applyFont="1" applyBorder="1" applyAlignment="1">
      <alignment horizontal="center"/>
    </xf>
    <xf numFmtId="0" fontId="4" fillId="13" borderId="33" xfId="0" applyFont="1" applyFill="1" applyBorder="1"/>
    <xf numFmtId="0" fontId="4" fillId="7" borderId="33" xfId="0" applyFont="1" applyFill="1" applyBorder="1"/>
    <xf numFmtId="0" fontId="12" fillId="0" borderId="1" xfId="0" applyFont="1" applyBorder="1"/>
    <xf numFmtId="0" fontId="4" fillId="7" borderId="5"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2"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2" fillId="7" borderId="4" xfId="0" applyNumberFormat="1" applyFont="1" applyFill="1" applyBorder="1" applyAlignment="1">
      <alignment horizontal="center"/>
    </xf>
    <xf numFmtId="3" fontId="22"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2" fillId="0" borderId="33" xfId="0" applyNumberFormat="1" applyFont="1" applyBorder="1" applyAlignment="1">
      <alignment horizontal="center"/>
    </xf>
    <xf numFmtId="2" fontId="4" fillId="0" borderId="3"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10"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2"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2"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2" xfId="0" applyFont="1" applyFill="1" applyBorder="1" applyAlignment="1">
      <alignment horizontal="center" vertical="center" wrapText="1"/>
    </xf>
    <xf numFmtId="0" fontId="12" fillId="8" borderId="0" xfId="0" applyFont="1" applyFill="1" applyAlignment="1">
      <alignment horizontal="center" vertical="center" wrapText="1"/>
    </xf>
    <xf numFmtId="165" fontId="4" fillId="10"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165" fontId="4" fillId="13" borderId="0" xfId="0" applyNumberFormat="1" applyFont="1" applyFill="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2"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2" fillId="0" borderId="0" xfId="0" applyFont="1" applyAlignment="1">
      <alignment horizontal="left"/>
    </xf>
    <xf numFmtId="0" fontId="22" fillId="0" borderId="2" xfId="0" applyFont="1" applyBorder="1" applyAlignment="1">
      <alignment horizontal="left"/>
    </xf>
    <xf numFmtId="0" fontId="22"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170" fontId="4" fillId="0" borderId="0" xfId="0" applyNumberFormat="1" applyFont="1" applyAlignment="1">
      <alignment horizontal="center" vertical="top" wrapText="1"/>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3"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4" fillId="0" borderId="0" xfId="0" applyFont="1"/>
    <xf numFmtId="165" fontId="4" fillId="7"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32"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5"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2"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13" borderId="2" xfId="0" applyFont="1" applyFill="1" applyBorder="1" applyAlignment="1">
      <alignment horizontal="center" vertical="center"/>
    </xf>
    <xf numFmtId="1" fontId="4" fillId="7" borderId="0" xfId="0" applyNumberFormat="1" applyFont="1" applyFill="1"/>
    <xf numFmtId="1" fontId="4" fillId="0" borderId="0" xfId="0" applyNumberFormat="1" applyFont="1"/>
    <xf numFmtId="165" fontId="4" fillId="13"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2" fillId="7" borderId="0" xfId="0" applyNumberFormat="1" applyFont="1" applyFill="1" applyAlignment="1">
      <alignment horizontal="center" vertical="center"/>
    </xf>
    <xf numFmtId="165" fontId="4" fillId="10" borderId="0" xfId="0" applyNumberFormat="1" applyFont="1" applyFill="1" applyAlignment="1">
      <alignment horizontal="center"/>
    </xf>
    <xf numFmtId="0" fontId="4" fillId="13" borderId="0" xfId="0" applyFont="1" applyFill="1" applyAlignment="1">
      <alignment horizontal="center" vertical="center"/>
    </xf>
    <xf numFmtId="3" fontId="22"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5"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5"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1"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2" fillId="0" borderId="1" xfId="0" applyFont="1" applyBorder="1" applyAlignment="1">
      <alignment horizontal="left" vertical="top" wrapText="1"/>
    </xf>
    <xf numFmtId="0" fontId="25" fillId="0" borderId="1" xfId="0" applyFont="1" applyBorder="1" applyAlignment="1">
      <alignment wrapText="1"/>
    </xf>
    <xf numFmtId="10" fontId="1" fillId="0" borderId="0" xfId="0" applyNumberFormat="1" applyFont="1"/>
    <xf numFmtId="0" fontId="12" fillId="0" borderId="2"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4" borderId="0" xfId="0" applyFont="1" applyFill="1"/>
    <xf numFmtId="0" fontId="4" fillId="7" borderId="2" xfId="0" applyFont="1" applyFill="1" applyBorder="1"/>
    <xf numFmtId="0" fontId="1" fillId="7" borderId="33" xfId="0" applyFont="1" applyFill="1" applyBorder="1"/>
    <xf numFmtId="0" fontId="1" fillId="7" borderId="0" xfId="0" applyFont="1" applyFill="1"/>
    <xf numFmtId="3" fontId="22"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2" fillId="0" borderId="0" xfId="0" applyNumberFormat="1" applyFont="1" applyAlignment="1">
      <alignment horizontal="center" wrapText="1"/>
    </xf>
    <xf numFmtId="1" fontId="22"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0" borderId="0" xfId="0" applyNumberFormat="1" applyFont="1" applyFill="1"/>
    <xf numFmtId="3" fontId="22" fillId="10" borderId="0" xfId="0" applyNumberFormat="1" applyFont="1" applyFill="1" applyAlignment="1">
      <alignment horizontal="center"/>
    </xf>
    <xf numFmtId="0" fontId="22" fillId="0" borderId="0" xfId="0" applyFont="1" applyAlignment="1">
      <alignment horizontal="center" wrapText="1"/>
    </xf>
    <xf numFmtId="0" fontId="26" fillId="0" borderId="1" xfId="0" applyFont="1" applyBorder="1" applyAlignment="1">
      <alignment horizontal="left" indent="2"/>
    </xf>
    <xf numFmtId="0" fontId="4" fillId="0" borderId="3" xfId="0" applyFont="1" applyBorder="1" applyAlignment="1">
      <alignment horizontal="center" wrapText="1"/>
    </xf>
    <xf numFmtId="3" fontId="12" fillId="7"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0" fontId="4" fillId="0" borderId="0" xfId="0" applyNumberFormat="1" applyFont="1" applyAlignment="1">
      <alignment horizontal="center" wrapText="1"/>
    </xf>
    <xf numFmtId="0" fontId="22" fillId="0" borderId="0" xfId="0" applyFont="1" applyAlignment="1">
      <alignment wrapText="1"/>
    </xf>
    <xf numFmtId="170" fontId="22" fillId="0" borderId="0" xfId="0" applyNumberFormat="1" applyFont="1" applyAlignment="1">
      <alignment wrapText="1"/>
    </xf>
    <xf numFmtId="0" fontId="12" fillId="0" borderId="33" xfId="0" applyFont="1" applyBorder="1" applyAlignment="1">
      <alignment horizontal="center" vertical="top" wrapText="1"/>
    </xf>
    <xf numFmtId="170"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7"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2" fillId="0" borderId="7" xfId="0" applyFont="1" applyBorder="1"/>
    <xf numFmtId="0" fontId="22" fillId="0" borderId="3" xfId="0" applyFont="1" applyBorder="1"/>
    <xf numFmtId="1" fontId="22" fillId="0" borderId="0" xfId="0" applyNumberFormat="1" applyFont="1" applyAlignment="1">
      <alignment horizontal="center"/>
    </xf>
    <xf numFmtId="1" fontId="22" fillId="7" borderId="3" xfId="0" applyNumberFormat="1" applyFont="1" applyFill="1" applyBorder="1" applyAlignment="1">
      <alignment horizontal="center"/>
    </xf>
    <xf numFmtId="0" fontId="26"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2" fillId="0" borderId="0" xfId="0" applyNumberFormat="1" applyFont="1" applyAlignment="1">
      <alignment horizontal="center"/>
    </xf>
    <xf numFmtId="168" fontId="22" fillId="16"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2"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5" xfId="0" applyFont="1" applyFill="1" applyBorder="1"/>
    <xf numFmtId="3" fontId="4" fillId="13" borderId="3" xfId="0" applyNumberFormat="1" applyFont="1" applyFill="1" applyBorder="1" applyAlignment="1">
      <alignment horizontal="center"/>
    </xf>
    <xf numFmtId="168" fontId="22" fillId="7" borderId="33" xfId="0" applyNumberFormat="1" applyFont="1" applyFill="1" applyBorder="1" applyAlignment="1">
      <alignment horizontal="center"/>
    </xf>
    <xf numFmtId="168" fontId="4" fillId="13" borderId="5" xfId="0" applyNumberFormat="1" applyFont="1" applyFill="1" applyBorder="1" applyAlignment="1">
      <alignment horizontal="center"/>
    </xf>
    <xf numFmtId="168" fontId="22" fillId="13"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2" fillId="8" borderId="2" xfId="0" applyFont="1" applyFill="1" applyBorder="1"/>
    <xf numFmtId="168" fontId="22" fillId="16" borderId="5"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3" xfId="0" applyNumberFormat="1" applyFont="1" applyFill="1" applyBorder="1" applyAlignment="1">
      <alignment horizontal="center"/>
    </xf>
    <xf numFmtId="168" fontId="22" fillId="0" borderId="2" xfId="0" applyNumberFormat="1" applyFont="1" applyBorder="1" applyAlignment="1">
      <alignment horizontal="center"/>
    </xf>
    <xf numFmtId="168" fontId="22" fillId="0" borderId="33" xfId="0" applyNumberFormat="1" applyFont="1" applyBorder="1" applyAlignment="1">
      <alignment horizontal="center"/>
    </xf>
    <xf numFmtId="168" fontId="22"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2" fillId="0" borderId="1" xfId="0" applyFont="1" applyBorder="1"/>
    <xf numFmtId="172" fontId="4" fillId="0" borderId="0" xfId="0" applyNumberFormat="1" applyFont="1"/>
    <xf numFmtId="0" fontId="12" fillId="3" borderId="38" xfId="0" applyFont="1" applyFill="1" applyBorder="1"/>
    <xf numFmtId="0" fontId="12" fillId="3" borderId="34" xfId="0" applyFont="1" applyFill="1" applyBorder="1"/>
    <xf numFmtId="0" fontId="12" fillId="3" borderId="32" xfId="0" applyFont="1" applyFill="1" applyBorder="1"/>
    <xf numFmtId="0" fontId="12" fillId="3" borderId="34" xfId="0" applyFont="1" applyFill="1" applyBorder="1" applyAlignment="1">
      <alignment horizontal="center"/>
    </xf>
    <xf numFmtId="0" fontId="12" fillId="3" borderId="32" xfId="0" applyFont="1" applyFill="1" applyBorder="1" applyAlignment="1">
      <alignment horizontal="center"/>
    </xf>
    <xf numFmtId="168" fontId="4" fillId="7" borderId="3" xfId="0" applyNumberFormat="1" applyFont="1" applyFill="1" applyBorder="1" applyAlignment="1">
      <alignment horizontal="center"/>
    </xf>
    <xf numFmtId="168" fontId="22" fillId="7" borderId="5" xfId="0" applyNumberFormat="1" applyFont="1" applyFill="1" applyBorder="1" applyAlignment="1">
      <alignment horizontal="center"/>
    </xf>
    <xf numFmtId="0" fontId="22" fillId="0" borderId="2" xfId="0" applyFont="1" applyBorder="1"/>
    <xf numFmtId="0" fontId="22" fillId="0" borderId="5" xfId="0" applyFont="1" applyBorder="1"/>
    <xf numFmtId="168" fontId="22"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9"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7" borderId="3" xfId="0" applyNumberFormat="1" applyFont="1" applyFill="1" applyBorder="1" applyAlignment="1">
      <alignment horizontal="center"/>
    </xf>
    <xf numFmtId="168" fontId="18" fillId="0" borderId="0" xfId="0" applyNumberFormat="1" applyFont="1"/>
    <xf numFmtId="168" fontId="1" fillId="0" borderId="4" xfId="0" applyNumberFormat="1" applyFont="1" applyBorder="1"/>
    <xf numFmtId="168" fontId="22" fillId="13" borderId="0" xfId="0" applyNumberFormat="1" applyFont="1" applyFill="1" applyAlignment="1">
      <alignment horizontal="center"/>
    </xf>
    <xf numFmtId="3" fontId="4" fillId="0" borderId="40" xfId="0" applyNumberFormat="1" applyFont="1" applyBorder="1" applyAlignment="1">
      <alignment horizontal="right"/>
    </xf>
    <xf numFmtId="0" fontId="22"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6"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31" fillId="0" borderId="0" xfId="0" applyNumberFormat="1" applyFont="1"/>
    <xf numFmtId="0" fontId="4" fillId="0" borderId="4" xfId="0" applyFont="1" applyBorder="1"/>
    <xf numFmtId="173" fontId="4" fillId="0" borderId="0" xfId="0" applyNumberFormat="1" applyFont="1"/>
    <xf numFmtId="0" fontId="4" fillId="11" borderId="2" xfId="0" applyFont="1" applyFill="1" applyBorder="1"/>
    <xf numFmtId="0" fontId="4" fillId="11" borderId="5" xfId="0" applyFont="1" applyFill="1" applyBorder="1"/>
    <xf numFmtId="0" fontId="4" fillId="11"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2"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2" fillId="18" borderId="0" xfId="0" applyFont="1" applyFill="1"/>
    <xf numFmtId="0" fontId="22" fillId="18" borderId="1" xfId="0" applyFont="1" applyFill="1" applyBorder="1"/>
    <xf numFmtId="0" fontId="22" fillId="18" borderId="0" xfId="0" applyFont="1" applyFill="1" applyAlignment="1">
      <alignment horizontal="center"/>
    </xf>
    <xf numFmtId="0" fontId="22" fillId="18" borderId="3" xfId="0" applyFont="1" applyFill="1" applyBorder="1"/>
    <xf numFmtId="0" fontId="22" fillId="18" borderId="7" xfId="0" applyFont="1" applyFill="1" applyBorder="1"/>
    <xf numFmtId="0" fontId="22"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2"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2" fillId="0" borderId="2" xfId="0" applyFont="1" applyBorder="1" applyAlignment="1">
      <alignment horizontal="center"/>
    </xf>
    <xf numFmtId="0" fontId="4" fillId="0" borderId="3" xfId="0" applyFont="1" applyBorder="1" applyAlignment="1">
      <alignment horizontal="left" vertical="top" wrapText="1"/>
    </xf>
    <xf numFmtId="0" fontId="4"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4" fillId="0" borderId="17" xfId="0" applyNumberFormat="1" applyFont="1" applyBorder="1"/>
    <xf numFmtId="1" fontId="4" fillId="0" borderId="15" xfId="0" applyNumberFormat="1" applyFont="1" applyBorder="1"/>
    <xf numFmtId="167" fontId="4" fillId="0" borderId="15" xfId="0" applyNumberFormat="1" applyFont="1" applyBorder="1"/>
    <xf numFmtId="0" fontId="32" fillId="0" borderId="1" xfId="0" applyFont="1" applyBorder="1" applyAlignment="1">
      <alignment horizontal="left" wrapText="1" indent="1"/>
    </xf>
    <xf numFmtId="0" fontId="32" fillId="0" borderId="1" xfId="0" applyFont="1" applyBorder="1" applyAlignment="1">
      <alignment horizontal="left" indent="1"/>
    </xf>
    <xf numFmtId="0" fontId="4" fillId="0" borderId="1" xfId="0" applyFont="1" applyBorder="1" applyAlignment="1">
      <alignment horizontal="left" indent="2"/>
    </xf>
    <xf numFmtId="0" fontId="33"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2"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15"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2" fillId="7" borderId="4" xfId="0" applyNumberFormat="1" applyFont="1" applyFill="1" applyBorder="1" applyAlignment="1">
      <alignment horizontal="center"/>
    </xf>
    <xf numFmtId="0" fontId="12" fillId="13" borderId="2" xfId="0" applyFont="1" applyFill="1" applyBorder="1" applyAlignment="1">
      <alignment horizontal="centerContinuous" vertical="center"/>
    </xf>
    <xf numFmtId="0" fontId="12" fillId="13" borderId="6"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2" fillId="0" borderId="3" xfId="0" applyNumberFormat="1" applyFont="1" applyBorder="1" applyAlignment="1">
      <alignment horizontal="center"/>
    </xf>
    <xf numFmtId="1" fontId="4" fillId="7" borderId="5" xfId="0" applyNumberFormat="1" applyFont="1" applyFill="1" applyBorder="1"/>
    <xf numFmtId="0" fontId="4" fillId="0" borderId="20" xfId="0" applyFont="1" applyBorder="1"/>
    <xf numFmtId="0" fontId="4" fillId="0" borderId="17" xfId="0" applyFont="1" applyBorder="1"/>
    <xf numFmtId="1" fontId="4" fillId="7" borderId="17" xfId="0" applyNumberFormat="1" applyFont="1" applyFill="1" applyBorder="1"/>
    <xf numFmtId="0" fontId="4" fillId="0" borderId="19" xfId="0" applyFont="1" applyBorder="1" applyAlignment="1">
      <alignment horizontal="left" wrapText="1" indent="1"/>
    </xf>
    <xf numFmtId="0" fontId="4" fillId="0" borderId="19" xfId="0" applyFont="1" applyBorder="1" applyAlignment="1">
      <alignment horizontal="left" wrapText="1" indent="2"/>
    </xf>
    <xf numFmtId="0" fontId="4" fillId="0" borderId="22"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5" xfId="0" applyNumberFormat="1" applyFont="1" applyFill="1" applyBorder="1"/>
    <xf numFmtId="1" fontId="4" fillId="20" borderId="15" xfId="0" applyNumberFormat="1" applyFont="1" applyFill="1" applyBorder="1"/>
    <xf numFmtId="1" fontId="4" fillId="7" borderId="15" xfId="0" applyNumberFormat="1" applyFont="1" applyFill="1" applyBorder="1"/>
    <xf numFmtId="1" fontId="4" fillId="13" borderId="15" xfId="0" applyNumberFormat="1" applyFont="1" applyFill="1" applyBorder="1"/>
    <xf numFmtId="167" fontId="4" fillId="7" borderId="15"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2" fillId="0" borderId="33" xfId="0" applyFont="1" applyBorder="1" applyAlignment="1">
      <alignment horizontal="center"/>
    </xf>
    <xf numFmtId="0" fontId="22"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32" xfId="0" applyFont="1" applyBorder="1"/>
    <xf numFmtId="169" fontId="4" fillId="10"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0" borderId="8" xfId="0" applyNumberFormat="1" applyFont="1" applyFill="1" applyBorder="1"/>
    <xf numFmtId="3" fontId="4" fillId="0" borderId="2"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10" borderId="0" xfId="0" applyNumberFormat="1" applyFont="1" applyFill="1" applyAlignment="1">
      <alignment horizontal="center"/>
    </xf>
    <xf numFmtId="168" fontId="4" fillId="21" borderId="0" xfId="0" applyNumberFormat="1" applyFont="1" applyFill="1" applyAlignment="1">
      <alignment horizontal="center"/>
    </xf>
    <xf numFmtId="168" fontId="22"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18" fillId="14" borderId="0" xfId="0" applyFont="1" applyFill="1"/>
    <xf numFmtId="0" fontId="34" fillId="0" borderId="0" xfId="0" applyFont="1"/>
    <xf numFmtId="2" fontId="18" fillId="0" borderId="0" xfId="0" applyNumberFormat="1" applyFont="1"/>
    <xf numFmtId="0" fontId="35" fillId="14" borderId="0" xfId="0" applyFont="1" applyFill="1"/>
    <xf numFmtId="2" fontId="35" fillId="14" borderId="0" xfId="0" applyNumberFormat="1" applyFont="1" applyFill="1"/>
    <xf numFmtId="0" fontId="36" fillId="0" borderId="0" xfId="0" applyFont="1"/>
    <xf numFmtId="0" fontId="7" fillId="0" borderId="0" xfId="0" applyFont="1"/>
    <xf numFmtId="0" fontId="7" fillId="23" borderId="0" xfId="0" applyFont="1" applyFill="1" applyAlignment="1">
      <alignment horizontal="center"/>
    </xf>
    <xf numFmtId="0" fontId="26" fillId="14" borderId="1" xfId="0" applyFont="1" applyFill="1" applyBorder="1" applyAlignment="1">
      <alignment horizontal="left" indent="2"/>
    </xf>
    <xf numFmtId="0" fontId="12" fillId="0" borderId="6" xfId="0" applyFont="1" applyBorder="1" applyAlignment="1">
      <alignment horizontal="center"/>
    </xf>
    <xf numFmtId="174" fontId="37" fillId="7" borderId="2" xfId="0" applyNumberFormat="1" applyFont="1" applyFill="1" applyBorder="1" applyAlignment="1">
      <alignment horizontal="center"/>
    </xf>
    <xf numFmtId="174" fontId="37" fillId="7" borderId="33" xfId="0" applyNumberFormat="1" applyFont="1" applyFill="1" applyBorder="1" applyAlignment="1">
      <alignment horizontal="center"/>
    </xf>
    <xf numFmtId="174" fontId="37" fillId="7" borderId="6" xfId="0" applyNumberFormat="1" applyFont="1" applyFill="1" applyBorder="1" applyAlignment="1">
      <alignment horizontal="center"/>
    </xf>
    <xf numFmtId="1" fontId="26" fillId="0" borderId="0" xfId="0" applyNumberFormat="1" applyFont="1" applyAlignment="1">
      <alignment horizontal="center"/>
    </xf>
    <xf numFmtId="0" fontId="18" fillId="0" borderId="6" xfId="0" applyFont="1" applyBorder="1"/>
    <xf numFmtId="0" fontId="18" fillId="0" borderId="40" xfId="0" applyFont="1" applyBorder="1"/>
    <xf numFmtId="0" fontId="12" fillId="15" borderId="33" xfId="0" applyFont="1" applyFill="1" applyBorder="1" applyAlignment="1">
      <alignment horizontal="center"/>
    </xf>
    <xf numFmtId="174" fontId="26" fillId="0" borderId="0" xfId="0" applyNumberFormat="1" applyFont="1" applyAlignment="1">
      <alignment horizontal="center"/>
    </xf>
    <xf numFmtId="174" fontId="26" fillId="0" borderId="33" xfId="0" applyNumberFormat="1" applyFont="1" applyBorder="1" applyAlignment="1">
      <alignment horizontal="center"/>
    </xf>
    <xf numFmtId="174" fontId="26" fillId="0" borderId="3" xfId="0" applyNumberFormat="1" applyFont="1" applyBorder="1" applyAlignment="1">
      <alignment horizontal="center"/>
    </xf>
    <xf numFmtId="0" fontId="18" fillId="0" borderId="8" xfId="0" applyFont="1" applyBorder="1"/>
    <xf numFmtId="0" fontId="26"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4" fontId="26" fillId="0" borderId="2" xfId="0" applyNumberFormat="1" applyFont="1" applyBorder="1" applyAlignment="1">
      <alignment horizontal="center"/>
    </xf>
    <xf numFmtId="174" fontId="26" fillId="0" borderId="1" xfId="0" applyNumberFormat="1" applyFont="1" applyBorder="1" applyAlignment="1">
      <alignment horizontal="center"/>
    </xf>
    <xf numFmtId="174" fontId="26" fillId="0" borderId="40" xfId="0" applyNumberFormat="1" applyFont="1" applyBorder="1" applyAlignment="1">
      <alignment horizontal="center"/>
    </xf>
    <xf numFmtId="174" fontId="37" fillId="15" borderId="6" xfId="0" applyNumberFormat="1" applyFont="1" applyFill="1" applyBorder="1" applyAlignment="1">
      <alignment horizontal="center"/>
    </xf>
    <xf numFmtId="174" fontId="26" fillId="0" borderId="0" xfId="0" applyNumberFormat="1" applyFont="1" applyAlignment="1">
      <alignment horizontal="left"/>
    </xf>
    <xf numFmtId="0" fontId="26" fillId="0" borderId="1" xfId="0" applyFont="1" applyBorder="1" applyAlignment="1">
      <alignment horizontal="left" indent="1"/>
    </xf>
    <xf numFmtId="0" fontId="26"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2" fillId="0" borderId="1" xfId="0" applyNumberFormat="1" applyFont="1" applyBorder="1" applyAlignment="1">
      <alignment horizontal="center" vertical="top" wrapText="1"/>
    </xf>
    <xf numFmtId="168" fontId="22"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4" fontId="26" fillId="0" borderId="8" xfId="0" applyNumberFormat="1" applyFont="1" applyBorder="1" applyAlignment="1">
      <alignment horizontal="center"/>
    </xf>
    <xf numFmtId="10" fontId="22" fillId="0" borderId="0" xfId="0" applyNumberFormat="1" applyFont="1" applyAlignment="1">
      <alignment horizontal="center" vertical="top" wrapText="1"/>
    </xf>
    <xf numFmtId="0" fontId="37" fillId="0" borderId="2" xfId="0" applyFont="1" applyBorder="1" applyAlignment="1">
      <alignment horizontal="left"/>
    </xf>
    <xf numFmtId="1" fontId="4" fillId="7" borderId="15"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5" fillId="0" borderId="0" xfId="0" applyFont="1" applyAlignment="1">
      <alignment horizontal="center" vertical="top" wrapText="1"/>
    </xf>
    <xf numFmtId="0" fontId="12" fillId="0" borderId="2" xfId="0" applyFont="1" applyBorder="1" applyAlignment="1">
      <alignment horizontal="left" vertical="top" wrapText="1"/>
    </xf>
    <xf numFmtId="168" fontId="22" fillId="0" borderId="3" xfId="0" applyNumberFormat="1" applyFont="1" applyBorder="1" applyAlignment="1">
      <alignment horizontal="center" vertical="top" wrapText="1"/>
    </xf>
    <xf numFmtId="168" fontId="38" fillId="7" borderId="3" xfId="0" applyNumberFormat="1" applyFont="1" applyFill="1" applyBorder="1" applyAlignment="1">
      <alignment horizontal="center"/>
    </xf>
    <xf numFmtId="168" fontId="22" fillId="24"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3"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7" fillId="0" borderId="2" xfId="0" applyFont="1" applyBorder="1" applyAlignment="1">
      <alignment wrapText="1"/>
    </xf>
    <xf numFmtId="165" fontId="2" fillId="0" borderId="18" xfId="0" applyNumberFormat="1" applyFont="1" applyBorder="1" applyAlignment="1">
      <alignment horizontal="right"/>
    </xf>
    <xf numFmtId="174" fontId="37" fillId="0" borderId="33" xfId="0" applyNumberFormat="1" applyFont="1" applyBorder="1" applyAlignment="1">
      <alignment horizontal="center"/>
    </xf>
    <xf numFmtId="174" fontId="37" fillId="0" borderId="6" xfId="0" applyNumberFormat="1" applyFont="1" applyBorder="1" applyAlignment="1">
      <alignment horizontal="center"/>
    </xf>
    <xf numFmtId="0" fontId="26" fillId="0" borderId="2" xfId="0" applyFont="1" applyBorder="1" applyAlignment="1">
      <alignment wrapText="1"/>
    </xf>
    <xf numFmtId="1" fontId="26" fillId="0" borderId="33" xfId="0" applyNumberFormat="1" applyFont="1" applyBorder="1" applyAlignment="1">
      <alignment horizontal="center"/>
    </xf>
    <xf numFmtId="0" fontId="26" fillId="0" borderId="7" xfId="0" applyFont="1" applyBorder="1"/>
    <xf numFmtId="1" fontId="26" fillId="0" borderId="3" xfId="0" applyNumberFormat="1" applyFont="1" applyBorder="1" applyAlignment="1">
      <alignment horizontal="center"/>
    </xf>
    <xf numFmtId="174" fontId="37" fillId="15"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2"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4" fontId="37"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2" fillId="24" borderId="0" xfId="0" applyNumberFormat="1" applyFont="1" applyFill="1" applyAlignment="1">
      <alignment horizontal="center" vertical="top" wrapText="1"/>
    </xf>
    <xf numFmtId="2" fontId="4" fillId="0" borderId="0" xfId="0" applyNumberFormat="1" applyFont="1" applyAlignment="1">
      <alignment horizontal="center"/>
    </xf>
    <xf numFmtId="9" fontId="1" fillId="0" borderId="0" xfId="0" applyNumberFormat="1" applyFont="1"/>
    <xf numFmtId="1" fontId="4" fillId="16" borderId="0" xfId="0" applyNumberFormat="1" applyFont="1" applyFill="1" applyAlignment="1">
      <alignment horizontal="center" vertical="top" wrapText="1"/>
    </xf>
    <xf numFmtId="0" fontId="25" fillId="0" borderId="0" xfId="0" applyFont="1" applyAlignment="1">
      <alignment horizontal="left" vertical="top" wrapText="1"/>
    </xf>
    <xf numFmtId="1" fontId="22"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22" fillId="0" borderId="0" xfId="0" applyNumberFormat="1" applyFont="1" applyAlignment="1">
      <alignment horizontal="center" vertical="top" wrapText="1"/>
    </xf>
    <xf numFmtId="168" fontId="4"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2" fillId="0" borderId="0" xfId="0" applyFont="1" applyAlignment="1">
      <alignment horizontal="center" vertical="top" wrapText="1"/>
    </xf>
    <xf numFmtId="3" fontId="22" fillId="0" borderId="0" xfId="0" applyNumberFormat="1" applyFont="1" applyAlignment="1">
      <alignment horizontal="center" vertical="top" wrapText="1"/>
    </xf>
    <xf numFmtId="0" fontId="22" fillId="0" borderId="0" xfId="0" applyFont="1" applyAlignment="1">
      <alignment horizontal="left" vertical="top" wrapText="1"/>
    </xf>
    <xf numFmtId="0" fontId="26"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2" xfId="0" applyFont="1" applyBorder="1" applyAlignment="1">
      <alignment horizontal="left" indent="1"/>
    </xf>
    <xf numFmtId="0" fontId="37" fillId="0" borderId="1" xfId="0" applyFont="1" applyBorder="1" applyAlignment="1">
      <alignment horizontal="left" wrapText="1"/>
    </xf>
    <xf numFmtId="0" fontId="39" fillId="0" borderId="0" xfId="0" applyFont="1"/>
    <xf numFmtId="0" fontId="26" fillId="0" borderId="0" xfId="0" applyFont="1"/>
    <xf numFmtId="0" fontId="37" fillId="0" borderId="0" xfId="0" applyFont="1"/>
    <xf numFmtId="0" fontId="40" fillId="0" borderId="1" xfId="0" applyFont="1" applyBorder="1" applyAlignment="1">
      <alignment horizontal="left"/>
    </xf>
    <xf numFmtId="167" fontId="22" fillId="0" borderId="0" xfId="0" applyNumberFormat="1" applyFont="1"/>
    <xf numFmtId="0" fontId="22" fillId="0" borderId="7" xfId="0" applyFont="1" applyBorder="1" applyAlignment="1">
      <alignment horizontal="left" vertical="top" wrapText="1"/>
    </xf>
    <xf numFmtId="0" fontId="4" fillId="0" borderId="44" xfId="0" applyFont="1" applyBorder="1"/>
    <xf numFmtId="168" fontId="22" fillId="0" borderId="0" xfId="0" applyNumberFormat="1" applyFont="1" applyAlignment="1">
      <alignment horizontal="right" vertical="top" wrapText="1"/>
    </xf>
    <xf numFmtId="174" fontId="37"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2"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2" fillId="24" borderId="3" xfId="0" applyNumberFormat="1" applyFont="1" applyFill="1" applyBorder="1" applyAlignment="1">
      <alignment horizontal="center" vertical="top" wrapText="1"/>
    </xf>
    <xf numFmtId="168" fontId="22"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4"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7" fillId="0" borderId="0" xfId="0" applyNumberFormat="1" applyFont="1" applyAlignment="1">
      <alignment horizontal="center"/>
    </xf>
    <xf numFmtId="174" fontId="37" fillId="0" borderId="0" xfId="0" applyNumberFormat="1" applyFont="1"/>
    <xf numFmtId="0" fontId="37" fillId="0" borderId="0" xfId="0" applyFont="1" applyAlignment="1">
      <alignment horizontal="left" indent="2"/>
    </xf>
    <xf numFmtId="175" fontId="37"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2" fillId="0" borderId="3" xfId="0" applyNumberFormat="1" applyFont="1" applyBorder="1" applyAlignment="1">
      <alignment horizontal="center" vertical="top" wrapText="1"/>
    </xf>
    <xf numFmtId="175" fontId="26" fillId="0" borderId="0" xfId="0" applyNumberFormat="1" applyFont="1" applyAlignment="1">
      <alignment horizontal="center"/>
    </xf>
    <xf numFmtId="0" fontId="12" fillId="15" borderId="34" xfId="0" applyFont="1" applyFill="1" applyBorder="1" applyAlignment="1">
      <alignment horizontal="center"/>
    </xf>
    <xf numFmtId="0" fontId="12" fillId="15" borderId="32" xfId="0" applyFont="1" applyFill="1" applyBorder="1" applyAlignment="1">
      <alignment horizontal="center"/>
    </xf>
    <xf numFmtId="0" fontId="12" fillId="15" borderId="6" xfId="0" applyFont="1" applyFill="1" applyBorder="1" applyAlignment="1">
      <alignment horizontal="center"/>
    </xf>
    <xf numFmtId="0" fontId="26" fillId="0" borderId="1" xfId="0" applyFont="1" applyBorder="1"/>
    <xf numFmtId="0" fontId="18" fillId="0" borderId="0" xfId="0" applyFont="1"/>
    <xf numFmtId="0" fontId="22" fillId="0" borderId="8" xfId="0" applyFont="1" applyBorder="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41" fillId="0" borderId="7" xfId="0" applyNumberFormat="1" applyFont="1" applyBorder="1" applyAlignment="1">
      <alignment horizontal="center"/>
    </xf>
    <xf numFmtId="10" fontId="41" fillId="0" borderId="3" xfId="0" applyNumberFormat="1" applyFont="1" applyBorder="1" applyAlignment="1">
      <alignment horizontal="center"/>
    </xf>
    <xf numFmtId="10" fontId="41" fillId="0" borderId="8" xfId="0" applyNumberFormat="1" applyFont="1" applyBorder="1" applyAlignment="1">
      <alignment horizontal="center"/>
    </xf>
    <xf numFmtId="0" fontId="12" fillId="0" borderId="1" xfId="0" applyFont="1" applyBorder="1" applyAlignment="1">
      <alignment wrapText="1"/>
    </xf>
    <xf numFmtId="0" fontId="41" fillId="0" borderId="1" xfId="0" applyFont="1" applyBorder="1" applyAlignment="1">
      <alignment wrapText="1"/>
    </xf>
    <xf numFmtId="0" fontId="41" fillId="0" borderId="0" xfId="0" applyFont="1" applyAlignment="1">
      <alignment wrapText="1"/>
    </xf>
    <xf numFmtId="2" fontId="41" fillId="0" borderId="0" xfId="0" applyNumberFormat="1" applyFont="1" applyAlignment="1">
      <alignment horizontal="center"/>
    </xf>
    <xf numFmtId="2" fontId="42" fillId="0" borderId="0" xfId="0" applyNumberFormat="1" applyFont="1" applyAlignment="1">
      <alignment horizontal="center"/>
    </xf>
    <xf numFmtId="0" fontId="42" fillId="0" borderId="0" xfId="0" applyFont="1" applyAlignment="1">
      <alignment horizontal="center"/>
    </xf>
    <xf numFmtId="2" fontId="41" fillId="0" borderId="3" xfId="0" applyNumberFormat="1" applyFont="1" applyBorder="1" applyAlignment="1">
      <alignment horizontal="center"/>
    </xf>
    <xf numFmtId="2" fontId="41" fillId="0" borderId="5" xfId="0" applyNumberFormat="1" applyFont="1" applyBorder="1" applyAlignment="1">
      <alignment horizontal="center"/>
    </xf>
    <xf numFmtId="2" fontId="41" fillId="0" borderId="4" xfId="0" applyNumberFormat="1" applyFont="1" applyBorder="1" applyAlignment="1">
      <alignment horizontal="center"/>
    </xf>
    <xf numFmtId="2" fontId="41" fillId="0" borderId="8" xfId="0" applyNumberFormat="1" applyFont="1" applyBorder="1" applyAlignment="1">
      <alignment horizontal="center"/>
    </xf>
    <xf numFmtId="0" fontId="12" fillId="0" borderId="2" xfId="0" applyFont="1" applyBorder="1" applyAlignment="1">
      <alignment vertical="center" wrapText="1"/>
    </xf>
    <xf numFmtId="0" fontId="43" fillId="0" borderId="2" xfId="0" applyFont="1" applyBorder="1" applyAlignment="1">
      <alignment wrapText="1"/>
    </xf>
    <xf numFmtId="0" fontId="43" fillId="0" borderId="6" xfId="0" applyFont="1" applyBorder="1" applyAlignment="1">
      <alignment wrapText="1"/>
    </xf>
    <xf numFmtId="0" fontId="43" fillId="0" borderId="34" xfId="0" applyFont="1" applyBorder="1" applyAlignment="1">
      <alignment wrapText="1"/>
    </xf>
    <xf numFmtId="0" fontId="43" fillId="0" borderId="32" xfId="0" applyFont="1" applyBorder="1" applyAlignment="1">
      <alignment wrapText="1"/>
    </xf>
    <xf numFmtId="10" fontId="41" fillId="18" borderId="0" xfId="0" applyNumberFormat="1" applyFont="1" applyFill="1" applyAlignment="1">
      <alignment horizontal="center"/>
    </xf>
    <xf numFmtId="10" fontId="41" fillId="18" borderId="4" xfId="0" applyNumberFormat="1" applyFont="1" applyFill="1" applyBorder="1" applyAlignment="1">
      <alignment horizontal="center"/>
    </xf>
    <xf numFmtId="10" fontId="1" fillId="18" borderId="1" xfId="0" applyNumberFormat="1" applyFont="1" applyFill="1" applyBorder="1"/>
    <xf numFmtId="10" fontId="41" fillId="0" borderId="0" xfId="0" applyNumberFormat="1" applyFont="1" applyAlignment="1">
      <alignment horizontal="center"/>
    </xf>
    <xf numFmtId="10" fontId="41" fillId="10" borderId="0" xfId="0" applyNumberFormat="1" applyFont="1" applyFill="1" applyAlignment="1">
      <alignment horizontal="center"/>
    </xf>
    <xf numFmtId="0" fontId="3" fillId="0" borderId="0" xfId="0" applyFont="1" applyAlignment="1">
      <alignment horizontal="left"/>
    </xf>
    <xf numFmtId="10" fontId="41" fillId="13" borderId="0" xfId="0" applyNumberFormat="1" applyFont="1" applyFill="1" applyAlignment="1">
      <alignment horizontal="center"/>
    </xf>
    <xf numFmtId="0" fontId="4" fillId="0" borderId="0" xfId="0" applyFont="1" applyAlignment="1">
      <alignment vertical="top"/>
    </xf>
    <xf numFmtId="10" fontId="41" fillId="0" borderId="6" xfId="0" applyNumberFormat="1" applyFont="1" applyBorder="1" applyAlignment="1">
      <alignment horizontal="center"/>
    </xf>
    <xf numFmtId="10" fontId="41" fillId="13" borderId="5" xfId="0" applyNumberFormat="1" applyFont="1" applyFill="1" applyBorder="1" applyAlignment="1">
      <alignment horizontal="center"/>
    </xf>
    <xf numFmtId="10" fontId="41"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41" fillId="18" borderId="3" xfId="0" applyNumberFormat="1" applyFont="1" applyFill="1" applyBorder="1" applyAlignment="1">
      <alignment horizontal="center"/>
    </xf>
    <xf numFmtId="10" fontId="41"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1" fillId="0" borderId="45" xfId="0" applyNumberFormat="1" applyFont="1" applyBorder="1" applyAlignment="1">
      <alignment horizontal="center"/>
    </xf>
    <xf numFmtId="10" fontId="41" fillId="0" borderId="46" xfId="0" applyNumberFormat="1" applyFont="1" applyBorder="1" applyAlignment="1">
      <alignment horizontal="center"/>
    </xf>
    <xf numFmtId="10" fontId="41"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1" fillId="13" borderId="3" xfId="0" applyNumberFormat="1" applyFont="1" applyFill="1" applyBorder="1" applyAlignment="1">
      <alignment horizontal="center"/>
    </xf>
    <xf numFmtId="10" fontId="41" fillId="0" borderId="2" xfId="0" applyNumberFormat="1" applyFont="1" applyBorder="1" applyAlignment="1">
      <alignment horizontal="center"/>
    </xf>
    <xf numFmtId="10" fontId="41" fillId="13" borderId="33" xfId="0" applyNumberFormat="1" applyFont="1" applyFill="1" applyBorder="1" applyAlignment="1">
      <alignment horizontal="center"/>
    </xf>
    <xf numFmtId="0" fontId="43" fillId="0" borderId="0" xfId="0" applyFont="1" applyAlignment="1">
      <alignment wrapText="1"/>
    </xf>
    <xf numFmtId="0" fontId="43" fillId="0" borderId="3" xfId="0" applyFont="1" applyBorder="1" applyAlignment="1">
      <alignment wrapText="1"/>
    </xf>
    <xf numFmtId="2" fontId="41"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6" fontId="1" fillId="0" borderId="0" xfId="0" applyNumberFormat="1" applyFont="1"/>
    <xf numFmtId="10" fontId="41" fillId="0" borderId="5" xfId="0" applyNumberFormat="1" applyFont="1" applyBorder="1" applyAlignment="1">
      <alignment horizontal="center"/>
    </xf>
    <xf numFmtId="10" fontId="41" fillId="0" borderId="1" xfId="0" applyNumberFormat="1" applyFont="1" applyBorder="1" applyAlignment="1">
      <alignment horizontal="center"/>
    </xf>
    <xf numFmtId="10" fontId="41" fillId="0" borderId="4" xfId="0" applyNumberFormat="1" applyFont="1" applyBorder="1" applyAlignment="1">
      <alignment horizontal="center"/>
    </xf>
    <xf numFmtId="3" fontId="4" fillId="0" borderId="1" xfId="0" applyNumberFormat="1" applyFont="1" applyBorder="1" applyAlignment="1">
      <alignment horizontal="center"/>
    </xf>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2"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2" fontId="4" fillId="0" borderId="8" xfId="0" applyNumberFormat="1" applyFont="1" applyBorder="1" applyAlignment="1">
      <alignment horizontal="center"/>
    </xf>
    <xf numFmtId="0" fontId="4" fillId="13" borderId="7" xfId="0" applyFont="1" applyFill="1" applyBorder="1" applyAlignment="1">
      <alignment horizontal="center" wrapText="1"/>
    </xf>
    <xf numFmtId="0" fontId="4" fillId="13" borderId="3"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32"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0" borderId="8" xfId="0" applyNumberFormat="1" applyFont="1" applyFill="1" applyBorder="1" applyAlignment="1">
      <alignment horizontal="center"/>
    </xf>
    <xf numFmtId="0" fontId="3" fillId="0" borderId="2" xfId="0" applyFont="1" applyBorder="1" applyAlignment="1">
      <alignment horizontal="left" wrapText="1" indent="2"/>
    </xf>
    <xf numFmtId="0" fontId="1" fillId="13" borderId="3"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0"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0" fontId="22" fillId="13" borderId="4" xfId="0" applyFont="1" applyFill="1" applyBorder="1" applyAlignment="1">
      <alignment horizontal="center"/>
    </xf>
    <xf numFmtId="0" fontId="1" fillId="0" borderId="1" xfId="0" applyFont="1" applyBorder="1" applyAlignment="1">
      <alignment horizontal="center"/>
    </xf>
    <xf numFmtId="0" fontId="22" fillId="7" borderId="3" xfId="0" applyFont="1" applyFill="1" applyBorder="1" applyAlignment="1">
      <alignment horizontal="center"/>
    </xf>
    <xf numFmtId="0" fontId="22" fillId="7" borderId="8"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2" fillId="7" borderId="0" xfId="0" applyFont="1" applyFill="1" applyAlignment="1">
      <alignment horizontal="center"/>
    </xf>
    <xf numFmtId="0" fontId="22" fillId="7" borderId="4" xfId="0" applyFont="1" applyFill="1" applyBorder="1" applyAlignment="1">
      <alignment horizontal="center"/>
    </xf>
    <xf numFmtId="0" fontId="22"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7"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1" fillId="0" borderId="0" xfId="0" applyFont="1"/>
    <xf numFmtId="166" fontId="1" fillId="0" borderId="0" xfId="0" applyNumberFormat="1" applyFont="1"/>
    <xf numFmtId="169" fontId="41" fillId="0" borderId="0" xfId="0" applyNumberFormat="1" applyFont="1"/>
    <xf numFmtId="2" fontId="7" fillId="0" borderId="0" xfId="0" applyNumberFormat="1" applyFont="1"/>
    <xf numFmtId="0" fontId="4" fillId="0" borderId="3" xfId="0" applyFont="1" applyBorder="1" applyAlignment="1">
      <alignment horizontal="right" vertical="center"/>
    </xf>
    <xf numFmtId="0" fontId="45"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6" fillId="0" borderId="0" xfId="0" applyFont="1" applyAlignment="1">
      <alignment horizontal="left"/>
    </xf>
    <xf numFmtId="0" fontId="46" fillId="0" borderId="0" xfId="0" applyFont="1" applyAlignment="1">
      <alignment horizontal="center" wrapText="1"/>
    </xf>
    <xf numFmtId="1" fontId="47" fillId="0" borderId="48" xfId="0" applyNumberFormat="1" applyFont="1" applyBorder="1" applyAlignment="1">
      <alignment horizontal="center" vertical="top"/>
    </xf>
    <xf numFmtId="0" fontId="46" fillId="27" borderId="48" xfId="0" applyFont="1" applyFill="1" applyBorder="1" applyAlignment="1">
      <alignment horizontal="center" vertical="top"/>
    </xf>
    <xf numFmtId="0" fontId="46" fillId="0" borderId="0" xfId="0" applyFont="1" applyAlignment="1">
      <alignment horizontal="center"/>
    </xf>
    <xf numFmtId="0" fontId="46" fillId="0" borderId="0" xfId="0" applyFont="1" applyAlignment="1">
      <alignment horizontal="left" wrapText="1"/>
    </xf>
    <xf numFmtId="0" fontId="47" fillId="0" borderId="0" xfId="0" applyFont="1" applyAlignment="1">
      <alignment horizontal="left" vertical="top"/>
    </xf>
    <xf numFmtId="0" fontId="47" fillId="0" borderId="0" xfId="0" applyFont="1" applyAlignment="1">
      <alignment horizontal="center" vertical="top" wrapText="1"/>
    </xf>
    <xf numFmtId="1" fontId="47" fillId="14" borderId="0" xfId="0" applyNumberFormat="1" applyFont="1" applyFill="1" applyAlignment="1">
      <alignment horizontal="center" vertical="top"/>
    </xf>
    <xf numFmtId="0" fontId="46" fillId="14" borderId="0" xfId="0" applyFont="1" applyFill="1" applyAlignment="1">
      <alignment horizontal="center" vertical="top"/>
    </xf>
    <xf numFmtId="0" fontId="46" fillId="14" borderId="0" xfId="0" applyFont="1" applyFill="1" applyAlignment="1">
      <alignment horizontal="left" vertical="top" wrapText="1"/>
    </xf>
    <xf numFmtId="0" fontId="46" fillId="0" borderId="0" xfId="0" applyFont="1" applyAlignment="1">
      <alignment horizontal="left" vertical="top" wrapText="1"/>
    </xf>
    <xf numFmtId="0" fontId="47" fillId="0" borderId="34" xfId="0" applyFont="1" applyBorder="1" applyAlignment="1">
      <alignment horizontal="left" vertical="top"/>
    </xf>
    <xf numFmtId="0" fontId="47" fillId="0" borderId="34" xfId="0" applyFont="1" applyBorder="1" applyAlignment="1">
      <alignment horizontal="center" vertical="top" wrapText="1"/>
    </xf>
    <xf numFmtId="1" fontId="47" fillId="3" borderId="34" xfId="0" applyNumberFormat="1" applyFont="1" applyFill="1" applyBorder="1" applyAlignment="1">
      <alignment horizontal="center" vertical="top"/>
    </xf>
    <xf numFmtId="3" fontId="47" fillId="3" borderId="34" xfId="0" applyNumberFormat="1" applyFont="1" applyFill="1" applyBorder="1" applyAlignment="1">
      <alignment horizontal="center" vertical="top"/>
    </xf>
    <xf numFmtId="0" fontId="46" fillId="3" borderId="34" xfId="0" applyFont="1" applyFill="1" applyBorder="1" applyAlignment="1">
      <alignment horizontal="center" vertical="top"/>
    </xf>
    <xf numFmtId="0" fontId="46" fillId="0" borderId="34" xfId="0" applyFont="1" applyBorder="1" applyAlignment="1">
      <alignment horizontal="left" vertical="top" wrapText="1"/>
    </xf>
    <xf numFmtId="0" fontId="47" fillId="0" borderId="5" xfId="0" applyFont="1" applyBorder="1" applyAlignment="1">
      <alignment horizontal="left" vertical="top"/>
    </xf>
    <xf numFmtId="0" fontId="47" fillId="0" borderId="5" xfId="0" applyFont="1" applyBorder="1" applyAlignment="1">
      <alignment horizontal="center" vertical="top" wrapText="1"/>
    </xf>
    <xf numFmtId="3" fontId="48" fillId="0" borderId="0" xfId="0" applyNumberFormat="1" applyFont="1" applyAlignment="1">
      <alignment vertical="top"/>
    </xf>
    <xf numFmtId="0" fontId="47" fillId="14" borderId="5" xfId="0" applyFont="1" applyFill="1" applyBorder="1" applyAlignment="1">
      <alignment horizontal="center" vertical="top"/>
    </xf>
    <xf numFmtId="0" fontId="46" fillId="0" borderId="5" xfId="0" applyFont="1" applyBorder="1" applyAlignment="1">
      <alignment horizontal="left" vertical="top" wrapText="1"/>
    </xf>
    <xf numFmtId="0" fontId="46" fillId="0" borderId="0" xfId="0" applyFont="1" applyAlignment="1">
      <alignment horizontal="left" vertical="top"/>
    </xf>
    <xf numFmtId="0" fontId="46" fillId="0" borderId="0" xfId="0" applyFont="1" applyAlignment="1">
      <alignment horizontal="center" vertical="top" wrapText="1"/>
    </xf>
    <xf numFmtId="3" fontId="47" fillId="14" borderId="0" xfId="0" applyNumberFormat="1" applyFont="1" applyFill="1" applyAlignment="1">
      <alignment horizontal="center" vertical="top"/>
    </xf>
    <xf numFmtId="0" fontId="47" fillId="14" borderId="0" xfId="0" applyFont="1" applyFill="1" applyAlignment="1">
      <alignment horizontal="center" vertical="top"/>
    </xf>
    <xf numFmtId="1" fontId="46" fillId="14" borderId="0" xfId="0" applyNumberFormat="1" applyFont="1" applyFill="1" applyAlignment="1">
      <alignment horizontal="center" vertical="top"/>
    </xf>
    <xf numFmtId="0" fontId="46" fillId="0" borderId="0" xfId="0" applyFont="1" applyAlignment="1">
      <alignment horizontal="center" vertical="top"/>
    </xf>
    <xf numFmtId="1" fontId="46" fillId="14" borderId="0" xfId="0" applyNumberFormat="1" applyFont="1" applyFill="1" applyAlignment="1">
      <alignment horizontal="center"/>
    </xf>
    <xf numFmtId="1" fontId="46" fillId="14" borderId="0" xfId="0" applyNumberFormat="1" applyFont="1" applyFill="1" applyAlignment="1">
      <alignment horizontal="center" vertical="center"/>
    </xf>
    <xf numFmtId="1" fontId="47" fillId="14" borderId="0" xfId="0" applyNumberFormat="1" applyFont="1" applyFill="1" applyAlignment="1">
      <alignment horizontal="center" vertical="center"/>
    </xf>
    <xf numFmtId="0" fontId="46" fillId="0" borderId="0" xfId="0" applyFont="1" applyAlignment="1">
      <alignment horizontal="left" vertical="center"/>
    </xf>
    <xf numFmtId="0" fontId="46" fillId="0" borderId="0" xfId="0" applyFont="1" applyAlignment="1">
      <alignment horizontal="center" vertical="center" wrapText="1"/>
    </xf>
    <xf numFmtId="0" fontId="47" fillId="0" borderId="0" xfId="0" applyFont="1" applyAlignment="1">
      <alignment horizontal="left" vertical="top" wrapText="1"/>
    </xf>
    <xf numFmtId="1" fontId="47" fillId="14" borderId="5" xfId="0" applyNumberFormat="1" applyFont="1" applyFill="1" applyBorder="1" applyAlignment="1">
      <alignment horizontal="center" vertical="top"/>
    </xf>
    <xf numFmtId="3" fontId="47" fillId="14" borderId="5" xfId="0" applyNumberFormat="1" applyFont="1" applyFill="1" applyBorder="1" applyAlignment="1">
      <alignment horizontal="center" vertical="top"/>
    </xf>
    <xf numFmtId="0" fontId="46"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7" fillId="27" borderId="0" xfId="0" applyFont="1" applyFill="1" applyAlignment="1">
      <alignment horizontal="center"/>
    </xf>
    <xf numFmtId="0" fontId="46" fillId="27" borderId="0" xfId="0" applyFont="1" applyFill="1" applyAlignment="1">
      <alignment horizontal="left" wrapText="1"/>
    </xf>
    <xf numFmtId="1" fontId="47" fillId="28" borderId="0" xfId="0" applyNumberFormat="1" applyFont="1" applyFill="1" applyAlignment="1">
      <alignment horizontal="center" vertical="top"/>
    </xf>
    <xf numFmtId="3" fontId="47" fillId="28" borderId="0" xfId="0" applyNumberFormat="1" applyFont="1" applyFill="1" applyAlignment="1">
      <alignment horizontal="center" vertical="top"/>
    </xf>
    <xf numFmtId="0" fontId="46" fillId="28" borderId="0" xfId="0" applyFont="1" applyFill="1" applyAlignment="1">
      <alignment horizontal="center" vertical="top"/>
    </xf>
    <xf numFmtId="0" fontId="46" fillId="28" borderId="0" xfId="0" applyFont="1" applyFill="1" applyAlignment="1">
      <alignment horizontal="left" vertical="top" wrapText="1"/>
    </xf>
    <xf numFmtId="1" fontId="46" fillId="29" borderId="0" xfId="0" applyNumberFormat="1" applyFont="1" applyFill="1" applyAlignment="1">
      <alignment horizontal="center" vertical="top"/>
    </xf>
    <xf numFmtId="0" fontId="46" fillId="29" borderId="0" xfId="0" applyFont="1" applyFill="1" applyAlignment="1">
      <alignment horizontal="center" vertical="top"/>
    </xf>
    <xf numFmtId="0" fontId="46" fillId="29" borderId="0" xfId="0" applyFont="1" applyFill="1" applyAlignment="1">
      <alignment horizontal="left" vertical="top" wrapText="1"/>
    </xf>
    <xf numFmtId="1" fontId="46" fillId="29" borderId="0" xfId="0" applyNumberFormat="1" applyFont="1" applyFill="1" applyAlignment="1">
      <alignment horizontal="center"/>
    </xf>
    <xf numFmtId="1" fontId="47" fillId="29" borderId="0" xfId="0" applyNumberFormat="1" applyFont="1" applyFill="1" applyAlignment="1">
      <alignment horizontal="center" vertical="top"/>
    </xf>
    <xf numFmtId="3" fontId="47" fillId="29" borderId="0" xfId="0" applyNumberFormat="1" applyFont="1" applyFill="1" applyAlignment="1">
      <alignment horizontal="center" vertical="top"/>
    </xf>
    <xf numFmtId="1" fontId="47" fillId="30" borderId="0" xfId="0" applyNumberFormat="1" applyFont="1" applyFill="1" applyAlignment="1">
      <alignment horizontal="center" vertical="top"/>
    </xf>
    <xf numFmtId="0" fontId="46" fillId="30" borderId="0" xfId="0" applyFont="1" applyFill="1" applyAlignment="1">
      <alignment horizontal="center" vertical="top"/>
    </xf>
    <xf numFmtId="3"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1" borderId="0" xfId="0" applyFont="1" applyFill="1" applyAlignment="1">
      <alignment horizontal="left" vertical="top"/>
    </xf>
    <xf numFmtId="0" fontId="47" fillId="31" borderId="0" xfId="0" applyFont="1" applyFill="1" applyAlignment="1">
      <alignment horizontal="center" vertical="top" wrapText="1"/>
    </xf>
    <xf numFmtId="0" fontId="46" fillId="31" borderId="0" xfId="0" applyFont="1" applyFill="1" applyAlignment="1">
      <alignment horizontal="left" vertical="top" wrapText="1"/>
    </xf>
    <xf numFmtId="1" fontId="47" fillId="30" borderId="38" xfId="0" applyNumberFormat="1" applyFont="1" applyFill="1" applyBorder="1" applyAlignment="1">
      <alignment horizontal="center" vertical="top"/>
    </xf>
    <xf numFmtId="1" fontId="47" fillId="30" borderId="34" xfId="0" applyNumberFormat="1" applyFont="1" applyFill="1" applyBorder="1" applyAlignment="1">
      <alignment horizontal="center" vertical="top"/>
    </xf>
    <xf numFmtId="3" fontId="47" fillId="30" borderId="34" xfId="0" applyNumberFormat="1" applyFont="1" applyFill="1" applyBorder="1" applyAlignment="1">
      <alignment horizontal="center" vertical="top"/>
    </xf>
    <xf numFmtId="0" fontId="46" fillId="30" borderId="32" xfId="0" applyFont="1" applyFill="1" applyBorder="1" applyAlignment="1">
      <alignment horizontal="center" vertical="top" wrapText="1"/>
    </xf>
    <xf numFmtId="1" fontId="47" fillId="13" borderId="0" xfId="0" applyNumberFormat="1" applyFont="1" applyFill="1" applyAlignment="1">
      <alignment horizontal="center" vertical="top"/>
    </xf>
    <xf numFmtId="1" fontId="46" fillId="13" borderId="0" xfId="0" applyNumberFormat="1" applyFont="1" applyFill="1" applyAlignment="1">
      <alignment horizontal="center" vertical="top"/>
    </xf>
    <xf numFmtId="1" fontId="48" fillId="0" borderId="0" xfId="0" applyNumberFormat="1" applyFont="1" applyAlignment="1">
      <alignment horizontal="center" vertical="top"/>
    </xf>
    <xf numFmtId="0" fontId="49" fillId="27" borderId="0" xfId="0" applyFont="1" applyFill="1" applyAlignment="1">
      <alignment vertical="top"/>
    </xf>
    <xf numFmtId="0" fontId="47" fillId="14" borderId="33" xfId="0" applyFont="1" applyFill="1" applyBorder="1" applyAlignment="1">
      <alignment horizontal="center" vertical="top"/>
    </xf>
    <xf numFmtId="0" fontId="46" fillId="14" borderId="33" xfId="0" applyFont="1" applyFill="1" applyBorder="1" applyAlignment="1">
      <alignment horizontal="center" vertical="top"/>
    </xf>
    <xf numFmtId="0" fontId="46" fillId="30" borderId="0" xfId="0" applyFont="1" applyFill="1" applyAlignment="1">
      <alignment horizontal="center" vertical="top" wrapText="1"/>
    </xf>
    <xf numFmtId="0" fontId="47" fillId="13" borderId="0" xfId="0" applyFont="1" applyFill="1" applyAlignment="1">
      <alignment horizontal="center" vertical="top"/>
    </xf>
    <xf numFmtId="0" fontId="16" fillId="0" borderId="0" xfId="0" applyFont="1" applyAlignment="1">
      <alignment horizontal="left" vertical="top" wrapText="1"/>
    </xf>
    <xf numFmtId="1" fontId="47" fillId="32" borderId="0" xfId="0" applyNumberFormat="1" applyFont="1" applyFill="1" applyAlignment="1">
      <alignment horizontal="center" vertical="top"/>
    </xf>
    <xf numFmtId="3" fontId="47" fillId="32" borderId="0" xfId="0" applyNumberFormat="1" applyFont="1" applyFill="1" applyAlignment="1">
      <alignment horizontal="center" vertical="top"/>
    </xf>
    <xf numFmtId="0" fontId="47" fillId="0" borderId="0" xfId="0" applyFont="1" applyAlignment="1">
      <alignment horizontal="center" vertical="top"/>
    </xf>
    <xf numFmtId="0" fontId="46" fillId="32" borderId="0" xfId="0" applyFont="1" applyFill="1" applyAlignment="1">
      <alignment horizontal="left" vertical="top" wrapText="1"/>
    </xf>
    <xf numFmtId="0" fontId="46" fillId="32" borderId="0" xfId="0" applyFont="1" applyFill="1" applyAlignment="1">
      <alignment horizontal="center" vertical="top"/>
    </xf>
    <xf numFmtId="0" fontId="47" fillId="32" borderId="0" xfId="0" applyFont="1" applyFill="1" applyAlignment="1">
      <alignment horizontal="center" vertical="top"/>
    </xf>
    <xf numFmtId="0" fontId="50" fillId="32" borderId="0" xfId="0" applyFont="1" applyFill="1" applyAlignment="1">
      <alignment horizontal="left" vertical="top" wrapText="1"/>
    </xf>
    <xf numFmtId="1" fontId="48" fillId="0" borderId="48" xfId="0" applyNumberFormat="1" applyFont="1" applyBorder="1" applyAlignment="1">
      <alignment vertical="top"/>
    </xf>
    <xf numFmtId="1" fontId="48" fillId="0" borderId="48" xfId="0" applyNumberFormat="1" applyFont="1" applyBorder="1" applyAlignment="1">
      <alignment horizontal="right" vertical="top"/>
    </xf>
    <xf numFmtId="0" fontId="49"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2" xfId="0" applyNumberFormat="1" applyFont="1" applyBorder="1"/>
    <xf numFmtId="1" fontId="48" fillId="0" borderId="0" xfId="0" applyNumberFormat="1" applyFont="1" applyAlignment="1">
      <alignment vertical="top"/>
    </xf>
    <xf numFmtId="1" fontId="48" fillId="0" borderId="0" xfId="0" applyNumberFormat="1" applyFont="1" applyAlignment="1">
      <alignment horizontal="right" vertical="top"/>
    </xf>
    <xf numFmtId="0" fontId="49" fillId="27" borderId="3" xfId="0" applyFont="1" applyFill="1" applyBorder="1" applyAlignment="1">
      <alignment vertical="top"/>
    </xf>
    <xf numFmtId="1" fontId="51" fillId="0" borderId="0" xfId="0" applyNumberFormat="1" applyFont="1"/>
    <xf numFmtId="1" fontId="46" fillId="32" borderId="0" xfId="0" applyNumberFormat="1" applyFont="1" applyFill="1" applyAlignment="1">
      <alignment horizontal="center"/>
    </xf>
    <xf numFmtId="0" fontId="47" fillId="27" borderId="0" xfId="0" applyFont="1" applyFill="1" applyAlignment="1">
      <alignment horizontal="center" vertical="center"/>
    </xf>
    <xf numFmtId="0" fontId="46" fillId="27" borderId="0" xfId="0" applyFont="1" applyFill="1" applyAlignment="1">
      <alignment horizontal="left" vertical="center" wrapText="1"/>
    </xf>
    <xf numFmtId="1" fontId="47" fillId="6" borderId="0" xfId="0" applyNumberFormat="1" applyFont="1" applyFill="1" applyAlignment="1">
      <alignment horizontal="center" vertical="top"/>
    </xf>
    <xf numFmtId="0" fontId="46" fillId="6" borderId="0" xfId="0" applyFont="1" applyFill="1" applyAlignment="1">
      <alignment horizontal="center" vertical="top"/>
    </xf>
    <xf numFmtId="0" fontId="51"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0" borderId="0" xfId="0" applyFont="1" applyFill="1" applyAlignment="1">
      <alignment horizontal="left"/>
    </xf>
    <xf numFmtId="0" fontId="2" fillId="3" borderId="0" xfId="0" applyFont="1" applyFill="1" applyAlignment="1">
      <alignment horizontal="left"/>
    </xf>
    <xf numFmtId="169" fontId="51" fillId="0" borderId="0" xfId="0" applyNumberFormat="1" applyFont="1"/>
    <xf numFmtId="2" fontId="51" fillId="0" borderId="0" xfId="0" applyNumberFormat="1" applyFont="1"/>
    <xf numFmtId="0" fontId="52"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3" fillId="0" borderId="0" xfId="0" applyFont="1" applyAlignment="1">
      <alignment horizontal="left" vertical="top"/>
    </xf>
    <xf numFmtId="0" fontId="12" fillId="0" borderId="0" xfId="0" applyFont="1" applyAlignment="1">
      <alignment horizontal="left"/>
    </xf>
    <xf numFmtId="0" fontId="54"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5" fillId="0" borderId="0" xfId="0" applyFont="1" applyAlignment="1">
      <alignment horizontal="right" vertical="top"/>
    </xf>
    <xf numFmtId="3" fontId="41" fillId="0" borderId="0" xfId="0" applyNumberFormat="1" applyFont="1"/>
    <xf numFmtId="3" fontId="56" fillId="0" borderId="0" xfId="0" applyNumberFormat="1" applyFont="1" applyAlignment="1">
      <alignment horizontal="right" vertical="top"/>
    </xf>
    <xf numFmtId="0" fontId="57" fillId="36" borderId="0" xfId="0" applyFont="1" applyFill="1" applyAlignment="1">
      <alignment horizontal="right"/>
    </xf>
    <xf numFmtId="0" fontId="58" fillId="0" borderId="0" xfId="0" applyFont="1"/>
    <xf numFmtId="0" fontId="47" fillId="0" borderId="0" xfId="0" applyFont="1" applyAlignment="1">
      <alignment horizontal="right"/>
    </xf>
    <xf numFmtId="165" fontId="59" fillId="0" borderId="0" xfId="0" applyNumberFormat="1" applyFont="1" applyAlignment="1">
      <alignment horizontal="right" vertical="top"/>
    </xf>
    <xf numFmtId="165" fontId="57" fillId="36" borderId="0" xfId="0" applyNumberFormat="1" applyFont="1" applyFill="1" applyAlignment="1">
      <alignment horizontal="right"/>
    </xf>
    <xf numFmtId="3" fontId="7" fillId="0" borderId="0" xfId="0" applyNumberFormat="1" applyFont="1"/>
    <xf numFmtId="165" fontId="47" fillId="0" borderId="0" xfId="0" applyNumberFormat="1" applyFont="1" applyAlignment="1">
      <alignment horizontal="right"/>
    </xf>
    <xf numFmtId="3" fontId="47"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2"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1" fillId="39" borderId="0" xfId="0" applyFont="1" applyFill="1"/>
    <xf numFmtId="0" fontId="7" fillId="39" borderId="0" xfId="0" applyFont="1" applyFill="1"/>
    <xf numFmtId="0" fontId="60"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0" fillId="0" borderId="0" xfId="0" applyFont="1"/>
    <xf numFmtId="1" fontId="8" fillId="0" borderId="0" xfId="0" applyNumberFormat="1" applyFont="1" applyAlignment="1">
      <alignment vertical="top"/>
    </xf>
    <xf numFmtId="0" fontId="7" fillId="0" borderId="0" xfId="0" applyFont="1" applyAlignment="1">
      <alignment horizontal="right"/>
    </xf>
    <xf numFmtId="0" fontId="41" fillId="0" borderId="0" xfId="0" applyFont="1" applyAlignment="1">
      <alignment horizontal="right"/>
    </xf>
    <xf numFmtId="0" fontId="1" fillId="10" borderId="0" xfId="0" applyFont="1" applyFill="1" applyAlignment="1">
      <alignment wrapText="1"/>
    </xf>
    <xf numFmtId="0" fontId="8" fillId="10" borderId="0" xfId="0" applyFont="1" applyFill="1" applyAlignment="1">
      <alignment vertical="top"/>
    </xf>
    <xf numFmtId="0" fontId="8" fillId="10"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1" fillId="10" borderId="0" xfId="0" applyFont="1" applyFill="1" applyAlignment="1">
      <alignment horizontal="right"/>
    </xf>
    <xf numFmtId="0" fontId="7" fillId="10" borderId="0" xfId="0" applyFont="1" applyFill="1" applyAlignment="1">
      <alignment horizontal="right"/>
    </xf>
    <xf numFmtId="0" fontId="57" fillId="0" borderId="0" xfId="0" applyFont="1"/>
    <xf numFmtId="170" fontId="55" fillId="0" borderId="0" xfId="0" applyNumberFormat="1" applyFont="1" applyAlignment="1">
      <alignment horizontal="right" vertical="top"/>
    </xf>
    <xf numFmtId="1" fontId="7" fillId="0" borderId="0" xfId="0" applyNumberFormat="1" applyFont="1"/>
    <xf numFmtId="0" fontId="41" fillId="44" borderId="0" xfId="0" applyFont="1" applyFill="1" applyAlignment="1">
      <alignment wrapText="1"/>
    </xf>
    <xf numFmtId="0" fontId="1" fillId="44" borderId="0" xfId="0" applyFont="1" applyFill="1"/>
    <xf numFmtId="0" fontId="41"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2"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2" fillId="0" borderId="0" xfId="0" applyFont="1" applyAlignment="1">
      <alignment horizontal="center" wrapText="1"/>
    </xf>
    <xf numFmtId="0" fontId="7" fillId="15" borderId="0" xfId="0" applyFont="1" applyFill="1"/>
    <xf numFmtId="168" fontId="69" fillId="0" borderId="0" xfId="1" applyNumberFormat="1" applyFont="1"/>
    <xf numFmtId="168" fontId="69" fillId="32" borderId="0" xfId="1" applyNumberFormat="1" applyFont="1" applyFill="1"/>
    <xf numFmtId="1" fontId="69" fillId="0" borderId="0" xfId="1" applyNumberFormat="1" applyFont="1"/>
    <xf numFmtId="1" fontId="69" fillId="32" borderId="0" xfId="1" applyNumberFormat="1" applyFont="1" applyFill="1"/>
    <xf numFmtId="0" fontId="4" fillId="13" borderId="7" xfId="0" applyFont="1" applyFill="1" applyBorder="1" applyAlignment="1">
      <alignment horizontal="center" vertical="center"/>
    </xf>
    <xf numFmtId="0" fontId="4" fillId="13" borderId="3" xfId="0" applyFont="1" applyFill="1" applyBorder="1" applyAlignment="1">
      <alignment horizontal="center" vertical="center"/>
    </xf>
    <xf numFmtId="0" fontId="4" fillId="13" borderId="8" xfId="0" applyFont="1" applyFill="1" applyBorder="1" applyAlignment="1">
      <alignment horizontal="center" vertical="center"/>
    </xf>
    <xf numFmtId="178" fontId="4" fillId="0" borderId="0" xfId="314" applyNumberFormat="1" applyFont="1"/>
    <xf numFmtId="178" fontId="4" fillId="0" borderId="0" xfId="314" applyNumberFormat="1" applyFont="1" applyFill="1"/>
    <xf numFmtId="174" fontId="26" fillId="0" borderId="0" xfId="0" applyNumberFormat="1" applyFont="1" applyBorder="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Border="1" applyAlignment="1">
      <alignment horizontal="center"/>
    </xf>
    <xf numFmtId="178" fontId="4" fillId="0" borderId="40" xfId="314" applyNumberFormat="1" applyFont="1" applyFill="1" applyBorder="1"/>
    <xf numFmtId="1" fontId="4" fillId="0" borderId="40" xfId="0" applyNumberFormat="1" applyFont="1" applyFill="1" applyBorder="1" applyAlignment="1">
      <alignment horizontal="center"/>
    </xf>
    <xf numFmtId="0" fontId="26" fillId="0" borderId="1" xfId="0" applyFont="1" applyFill="1" applyBorder="1" applyAlignment="1">
      <alignment horizontal="left" indent="2"/>
    </xf>
    <xf numFmtId="37" fontId="4" fillId="0" borderId="0" xfId="0" applyNumberFormat="1" applyFont="1" applyFill="1" applyAlignment="1">
      <alignment horizontal="center" wrapText="1"/>
    </xf>
    <xf numFmtId="1" fontId="26" fillId="0" borderId="0" xfId="0" applyNumberFormat="1" applyFont="1" applyFill="1" applyAlignment="1">
      <alignment horizontal="center"/>
    </xf>
    <xf numFmtId="1" fontId="4" fillId="0" borderId="0" xfId="0" applyNumberFormat="1" applyFont="1" applyFill="1" applyAlignment="1">
      <alignment horizontal="center"/>
    </xf>
    <xf numFmtId="0" fontId="4" fillId="0" borderId="1" xfId="0" applyFont="1" applyFill="1" applyBorder="1"/>
    <xf numFmtId="0" fontId="4" fillId="0" borderId="1" xfId="0" applyFont="1" applyFill="1" applyBorder="1" applyAlignment="1">
      <alignment horizontal="left" indent="2"/>
    </xf>
    <xf numFmtId="178" fontId="4" fillId="0" borderId="0" xfId="314" applyNumberFormat="1" applyFont="1"/>
    <xf numFmtId="178" fontId="4" fillId="0" borderId="0" xfId="314" applyNumberFormat="1" applyFont="1" applyFill="1"/>
    <xf numFmtId="168" fontId="1" fillId="11" borderId="19" xfId="0" applyNumberFormat="1" applyFont="1" applyFill="1" applyBorder="1" applyAlignment="1">
      <alignment horizontal="center"/>
    </xf>
    <xf numFmtId="165" fontId="2" fillId="11" borderId="0" xfId="0" applyNumberFormat="1" applyFont="1" applyFill="1" applyBorder="1" applyAlignment="1">
      <alignment horizontal="right"/>
    </xf>
    <xf numFmtId="165" fontId="1" fillId="11" borderId="0" xfId="0" applyNumberFormat="1" applyFont="1" applyFill="1" applyBorder="1" applyAlignment="1">
      <alignment horizontal="right"/>
    </xf>
    <xf numFmtId="3" fontId="1" fillId="11" borderId="0" xfId="0" applyNumberFormat="1" applyFont="1" applyFill="1" applyBorder="1" applyAlignment="1">
      <alignment horizontal="right"/>
    </xf>
    <xf numFmtId="179" fontId="4" fillId="0" borderId="0" xfId="0" applyNumberFormat="1" applyFont="1" applyAlignment="1">
      <alignment horizontal="center"/>
    </xf>
    <xf numFmtId="0" fontId="96" fillId="12" borderId="0" xfId="0" applyFont="1" applyFill="1" applyAlignment="1">
      <alignment horizontal="right" vertical="center"/>
    </xf>
    <xf numFmtId="10" fontId="0" fillId="0" borderId="0" xfId="0" applyNumberForma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5" fillId="0" borderId="0" xfId="0" applyNumberFormat="1" applyFont="1" applyAlignment="1">
      <alignment horizontal="center"/>
    </xf>
    <xf numFmtId="0" fontId="2" fillId="0" borderId="25" xfId="0" applyFont="1" applyBorder="1" applyAlignment="1">
      <alignment horizontal="center"/>
    </xf>
    <xf numFmtId="168" fontId="1" fillId="0" borderId="23"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17" xfId="0" applyNumberFormat="1" applyFont="1" applyBorder="1" applyAlignment="1">
      <alignment horizontal="left" indent="1"/>
    </xf>
    <xf numFmtId="0" fontId="20"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2" fillId="13" borderId="2" xfId="0" applyFont="1" applyFill="1" applyBorder="1" applyAlignment="1">
      <alignment horizontal="center"/>
    </xf>
    <xf numFmtId="0" fontId="12" fillId="13" borderId="6"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8"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2" fillId="7" borderId="2"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6" xfId="0" applyFont="1" applyFill="1" applyBorder="1" applyAlignment="1">
      <alignment horizontal="center"/>
    </xf>
    <xf numFmtId="0" fontId="12" fillId="13" borderId="3" xfId="0" applyFont="1" applyFill="1" applyBorder="1" applyAlignment="1">
      <alignment horizontal="center"/>
    </xf>
    <xf numFmtId="0" fontId="12" fillId="13" borderId="0" xfId="0" applyFont="1" applyFill="1" applyAlignment="1">
      <alignment horizontal="center"/>
    </xf>
    <xf numFmtId="0" fontId="4" fillId="7" borderId="5"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4" fillId="13" borderId="2" xfId="0" applyFont="1" applyFill="1" applyBorder="1" applyAlignment="1">
      <alignment horizontal="right"/>
    </xf>
    <xf numFmtId="0" fontId="4" fillId="13" borderId="33" xfId="0" applyFont="1" applyFill="1" applyBorder="1" applyAlignment="1">
      <alignment horizontal="right"/>
    </xf>
    <xf numFmtId="0" fontId="4" fillId="0" borderId="4" xfId="0" applyFont="1" applyBorder="1" applyAlignment="1">
      <alignment horizontal="center" wrapText="1"/>
    </xf>
    <xf numFmtId="0" fontId="12" fillId="7" borderId="7" xfId="0" applyFont="1" applyFill="1" applyBorder="1" applyAlignment="1">
      <alignment horizontal="center"/>
    </xf>
    <xf numFmtId="0" fontId="12" fillId="7" borderId="3" xfId="0" applyFont="1" applyFill="1" applyBorder="1" applyAlignment="1">
      <alignment horizontal="center"/>
    </xf>
    <xf numFmtId="0" fontId="4" fillId="13" borderId="33" xfId="0" applyFont="1" applyFill="1" applyBorder="1" applyAlignment="1">
      <alignment horizontal="center"/>
    </xf>
    <xf numFmtId="0" fontId="12" fillId="8" borderId="38" xfId="0" applyFont="1" applyFill="1" applyBorder="1" applyAlignment="1">
      <alignment horizontal="center" vertical="center" wrapText="1"/>
    </xf>
    <xf numFmtId="0" fontId="12" fillId="8" borderId="3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33"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12" fillId="7" borderId="1" xfId="0" applyFont="1" applyFill="1" applyBorder="1" applyAlignment="1">
      <alignment horizontal="center"/>
    </xf>
    <xf numFmtId="0" fontId="12"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2" fillId="7" borderId="38" xfId="0" applyFont="1" applyFill="1" applyBorder="1" applyAlignment="1">
      <alignment horizontal="center"/>
    </xf>
    <xf numFmtId="0" fontId="12" fillId="7" borderId="32"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2" fillId="0" borderId="0" xfId="0" applyFont="1" applyAlignment="1">
      <alignment horizontal="left" wrapText="1"/>
    </xf>
    <xf numFmtId="0" fontId="12" fillId="14" borderId="0" xfId="0" applyFont="1" applyFill="1" applyAlignment="1">
      <alignment horizontal="center"/>
    </xf>
    <xf numFmtId="0" fontId="12" fillId="13" borderId="5" xfId="0" applyFont="1" applyFill="1" applyBorder="1" applyAlignment="1">
      <alignment horizontal="center"/>
    </xf>
    <xf numFmtId="0" fontId="12" fillId="13" borderId="2" xfId="0" applyFont="1" applyFill="1" applyBorder="1" applyAlignment="1">
      <alignment horizontal="center" vertical="center"/>
    </xf>
    <xf numFmtId="0" fontId="12" fillId="13" borderId="6"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0" xfId="0" applyFont="1" applyFill="1" applyAlignment="1">
      <alignment horizontal="center" vertic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12" fillId="0" borderId="0" xfId="0" applyFont="1" applyAlignment="1">
      <alignment horizontal="center" vertical="top" wrapText="1"/>
    </xf>
    <xf numFmtId="0" fontId="30" fillId="0" borderId="0" xfId="0" applyFont="1" applyAlignment="1">
      <alignment horizontal="left" vertical="top" wrapText="1"/>
    </xf>
    <xf numFmtId="0" fontId="4" fillId="13" borderId="5" xfId="0" applyFont="1" applyFill="1" applyBorder="1" applyAlignment="1">
      <alignment horizontal="right"/>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3" borderId="2" xfId="0" applyFont="1" applyFill="1" applyBorder="1" applyAlignment="1">
      <alignment horizontal="center" wrapText="1"/>
    </xf>
    <xf numFmtId="0" fontId="12" fillId="13" borderId="6"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2" fillId="8" borderId="0" xfId="0" applyFont="1" applyFill="1" applyAlignment="1">
      <alignment horizontal="center"/>
    </xf>
    <xf numFmtId="0" fontId="12" fillId="13" borderId="32" xfId="0" applyFont="1" applyFill="1" applyBorder="1" applyAlignment="1">
      <alignment horizontal="center"/>
    </xf>
    <xf numFmtId="0" fontId="1" fillId="0" borderId="0" xfId="0" applyFont="1" applyAlignment="1">
      <alignment horizontal="center" wrapText="1"/>
    </xf>
    <xf numFmtId="0" fontId="12" fillId="13" borderId="7" xfId="0" applyFont="1" applyFill="1" applyBorder="1" applyAlignment="1">
      <alignment horizontal="center" wrapText="1"/>
    </xf>
    <xf numFmtId="0" fontId="12" fillId="13" borderId="3" xfId="0" applyFont="1" applyFill="1" applyBorder="1" applyAlignment="1">
      <alignment horizontal="center" wrapText="1"/>
    </xf>
    <xf numFmtId="0" fontId="12" fillId="13" borderId="8" xfId="0" applyFont="1" applyFill="1" applyBorder="1" applyAlignment="1">
      <alignment horizontal="center" wrapText="1"/>
    </xf>
    <xf numFmtId="0" fontId="12" fillId="0" borderId="38" xfId="0" applyFont="1" applyBorder="1" applyAlignment="1">
      <alignment horizontal="center"/>
    </xf>
    <xf numFmtId="0" fontId="12" fillId="0" borderId="34" xfId="0" applyFont="1" applyBorder="1" applyAlignment="1">
      <alignment horizontal="center"/>
    </xf>
    <xf numFmtId="0" fontId="12" fillId="0" borderId="32" xfId="0" applyFont="1" applyBorder="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22" fillId="0" borderId="3" xfId="0" applyFont="1" applyBorder="1" applyAlignment="1">
      <alignment horizontal="left" vertical="top" wrapText="1"/>
    </xf>
    <xf numFmtId="0" fontId="22" fillId="0" borderId="7" xfId="0" applyFont="1" applyBorder="1" applyAlignment="1">
      <alignment horizontal="center"/>
    </xf>
    <xf numFmtId="0" fontId="22" fillId="0" borderId="3" xfId="0" applyFont="1" applyBorder="1" applyAlignment="1">
      <alignment horizontal="center"/>
    </xf>
    <xf numFmtId="0" fontId="22" fillId="0" borderId="8" xfId="0" applyFont="1" applyBorder="1" applyAlignment="1">
      <alignment horizontal="center"/>
    </xf>
    <xf numFmtId="0" fontId="1" fillId="0" borderId="0" xfId="0" applyFont="1" applyAlignment="1">
      <alignment horizontal="left" vertical="top" wrapText="1"/>
    </xf>
    <xf numFmtId="0" fontId="2" fillId="13" borderId="2" xfId="0" applyFont="1" applyFill="1" applyBorder="1" applyAlignment="1">
      <alignment horizontal="center" wrapText="1"/>
    </xf>
    <xf numFmtId="0" fontId="2" fillId="13" borderId="5"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2" xfId="0" applyFont="1" applyFill="1" applyBorder="1" applyAlignment="1">
      <alignment horizontal="center"/>
    </xf>
    <xf numFmtId="0" fontId="1" fillId="13" borderId="5" xfId="0" applyFont="1" applyFill="1" applyBorder="1" applyAlignment="1">
      <alignment horizontal="center"/>
    </xf>
    <xf numFmtId="0" fontId="1" fillId="13" borderId="2" xfId="0" applyFont="1" applyFill="1" applyBorder="1" applyAlignment="1">
      <alignment horizontal="center" wrapText="1"/>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44" fillId="13" borderId="2" xfId="0" applyFont="1" applyFill="1" applyBorder="1" applyAlignment="1">
      <alignment horizontal="center"/>
    </xf>
    <xf numFmtId="0" fontId="44" fillId="13" borderId="5" xfId="0" applyFont="1" applyFill="1" applyBorder="1" applyAlignment="1">
      <alignment horizontal="center"/>
    </xf>
    <xf numFmtId="0" fontId="44"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5" borderId="0" xfId="0" applyFont="1" applyFill="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0" borderId="0" xfId="0" applyFont="1" applyFill="1" applyAlignment="1">
      <alignment horizontal="left" vertical="top" wrapText="1"/>
    </xf>
    <xf numFmtId="1" fontId="48" fillId="0" borderId="49" xfId="0" applyNumberFormat="1" applyFont="1" applyBorder="1" applyAlignment="1">
      <alignment horizontal="center" vertical="top"/>
    </xf>
    <xf numFmtId="1" fontId="48" fillId="0" borderId="0" xfId="0" applyNumberFormat="1" applyFont="1" applyAlignment="1">
      <alignment horizontal="center" vertical="top"/>
    </xf>
    <xf numFmtId="1" fontId="48" fillId="0" borderId="38" xfId="0" applyNumberFormat="1" applyFont="1" applyBorder="1" applyAlignment="1">
      <alignment horizontal="center" vertical="top"/>
    </xf>
    <xf numFmtId="1" fontId="48" fillId="0" borderId="34" xfId="0" applyNumberFormat="1" applyFont="1" applyBorder="1" applyAlignment="1">
      <alignment horizontal="center" vertical="top"/>
    </xf>
    <xf numFmtId="1" fontId="48" fillId="0" borderId="32"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0"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331">
    <cellStyle name="20% - Accent1 2" xfId="192" xr:uid="{4B2140B3-C337-4A46-8C34-1052602F1EF2}"/>
    <cellStyle name="20% - Accent2 2" xfId="193" xr:uid="{143E3B68-0154-4517-9DE3-FB33AEB652FB}"/>
    <cellStyle name="20% - Accent3 2" xfId="194" xr:uid="{4917748D-D9DB-4171-BD32-0D0CFC7ADDF9}"/>
    <cellStyle name="20% - Accent4 2" xfId="195" xr:uid="{B9E83DEF-7CDE-4E70-9359-7D701D91848F}"/>
    <cellStyle name="20% - Accent5 2" xfId="196" xr:uid="{1440C966-986B-43DF-B51C-5B095B99C826}"/>
    <cellStyle name="20% - Accent6 2" xfId="197" xr:uid="{2A883C63-3633-432E-B1D9-BC7EE1F50E6A}"/>
    <cellStyle name="40% - Accent1 2" xfId="198" xr:uid="{3F41FE09-D2B5-438F-BE37-C6CCB8D6C7C7}"/>
    <cellStyle name="40% - Accent2 2" xfId="199" xr:uid="{B63D2686-73CB-447A-9C28-03DA2C79A573}"/>
    <cellStyle name="40% - Accent3 2" xfId="200" xr:uid="{D1B9FEF7-9377-4CE5-852A-C993639D113A}"/>
    <cellStyle name="40% - Accent4 2" xfId="201" xr:uid="{C928CCC7-4BBB-4D81-B2D8-75FCD99C9173}"/>
    <cellStyle name="40% - Accent5 2" xfId="202" xr:uid="{07E2C092-09C1-4C44-B582-F08858DE7CA5}"/>
    <cellStyle name="40% - Accent6 2" xfId="203" xr:uid="{D8180A9D-033D-4CD1-B745-7BC3FBD56958}"/>
    <cellStyle name="60% - Accent1 2" xfId="204" xr:uid="{6C2E2FCA-C501-4C4A-83BE-69729282EC23}"/>
    <cellStyle name="60% - Accent2 2" xfId="205" xr:uid="{4FEC05FE-AC90-4495-8746-B9AD52447B44}"/>
    <cellStyle name="60% - Accent3 2" xfId="206" xr:uid="{B339B7E5-5446-47ED-A683-8705B6FBA25D}"/>
    <cellStyle name="60% - Accent4 2" xfId="207" xr:uid="{A3521BC5-F386-4DEF-BF3D-6CA2F86EC940}"/>
    <cellStyle name="60% - Accent5 2" xfId="208" xr:uid="{2F433FC6-6104-4F15-BC0A-14003DD67840}"/>
    <cellStyle name="60% - Accent6 2" xfId="209" xr:uid="{F2ABAECD-5D05-48D2-AA5F-9DC148D9FA45}"/>
    <cellStyle name="Accent1 2" xfId="210" xr:uid="{8522FA2F-2E02-4C6E-8EA6-265C285D38DC}"/>
    <cellStyle name="Accent2 2" xfId="211" xr:uid="{618C7463-F484-489F-AE2E-73DCAAD6968F}"/>
    <cellStyle name="Accent3 2" xfId="212" xr:uid="{CD061ED5-E1E6-4C5A-B787-2461BD45675C}"/>
    <cellStyle name="Accent4 2" xfId="213" xr:uid="{F9946F5C-9ACE-48CB-937E-9FD4644E2771}"/>
    <cellStyle name="Accent5 2" xfId="214" xr:uid="{71F87A35-1D6D-40EF-9ED5-8E4C4838C51D}"/>
    <cellStyle name="Accent6 2" xfId="215" xr:uid="{0FF944E6-7D4D-4739-B756-05E51FC4AB18}"/>
    <cellStyle name="Bad 2" xfId="216" xr:uid="{2E8F5DCA-079F-4040-B788-8E2F5163EF72}"/>
    <cellStyle name="Calculation 2" xfId="217" xr:uid="{0400FDC0-D252-4816-86A5-CB260E077471}"/>
    <cellStyle name="Check Cell 2" xfId="218" xr:uid="{D71E8E2A-E6AD-4124-8400-F60A167422D0}"/>
    <cellStyle name="Comma 2" xfId="3" xr:uid="{4C26231F-96A3-4581-A8B1-12E22DBCC953}"/>
    <cellStyle name="Comma 2 2" xfId="12" xr:uid="{E6EDF86E-1608-473C-B668-9C98D37B1993}"/>
    <cellStyle name="Comma 2 3" xfId="219" xr:uid="{3F56E869-E9FF-40A9-A000-568613072C17}"/>
    <cellStyle name="Comma 2 4" xfId="220" xr:uid="{0F8B9975-D9EA-4A70-BAFB-491813A9899F}"/>
    <cellStyle name="Comma 2 5" xfId="221" xr:uid="{6632FA9E-E071-47B1-9BFD-00A59D814622}"/>
    <cellStyle name="Comma 2 6" xfId="222" xr:uid="{179C349C-5135-4611-B089-A33ED1CC0723}"/>
    <cellStyle name="Comma 3" xfId="13" xr:uid="{627455BC-2C86-4FDD-BFDE-9A46F45B8F33}"/>
    <cellStyle name="Comma 4" xfId="223" xr:uid="{89295723-5059-4F82-AA46-34789375E2E9}"/>
    <cellStyle name="Comma 5" xfId="314" xr:uid="{4B4AF8A9-A96D-4727-BD61-6F35A09CC1B5}"/>
    <cellStyle name="Comma 9" xfId="224" xr:uid="{CBD8F3E0-C508-4156-B231-9555254CBB36}"/>
    <cellStyle name="Comma0" xfId="225" xr:uid="{1617216A-A2DF-4618-8714-4A53F1C95BC5}"/>
    <cellStyle name="Currency 2" xfId="226" xr:uid="{56F26AC4-AFF3-43B7-B4C7-CAFF8CF22126}"/>
    <cellStyle name="Currency 3" xfId="227" xr:uid="{44383A24-0119-4286-A9C3-DB5AC5807C6C}"/>
    <cellStyle name="Currency 4" xfId="323" xr:uid="{303C5E9D-E52C-42CD-A9CC-C7D80D52DFC4}"/>
    <cellStyle name="Explanatory Text 2" xfId="228" xr:uid="{38DD536F-87F1-4697-A795-65323643FF54}"/>
    <cellStyle name="Good 2" xfId="229" xr:uid="{38F59F3C-7C5F-401C-9A24-C84E579EF05D}"/>
    <cellStyle name="Heading 1 2" xfId="230" xr:uid="{2E0CFF5C-FE18-4484-93B2-0145541C528B}"/>
    <cellStyle name="Heading 2 2" xfId="231" xr:uid="{70F65A86-0876-4BA1-91F5-63E966604C90}"/>
    <cellStyle name="Heading 3 2" xfId="232" xr:uid="{F551E814-CB5F-4D70-970D-84925534F4D6}"/>
    <cellStyle name="Heading 4 2" xfId="233" xr:uid="{F32B32AE-AAF5-4EDB-82BE-035270FBD41F}"/>
    <cellStyle name="Hyperlink 2" xfId="14" xr:uid="{798D80A0-47A3-4ADD-BE0C-67F06FC88294}"/>
    <cellStyle name="Hyperlink 2 2" xfId="325" xr:uid="{F6AF27D9-819F-45B1-B6AA-9C525DD5FE9C}"/>
    <cellStyle name="Hyperlink 3" xfId="16" xr:uid="{38B6A23D-9BE7-437E-AEF7-7DD9B576FF0B}"/>
    <cellStyle name="Hyperlink 4" xfId="21" xr:uid="{3A5A87A8-6B5B-4288-B159-F9C0A0881C43}"/>
    <cellStyle name="Hyperlink 5" xfId="316" xr:uid="{A5F59E9C-4E8E-4366-8810-4AB7A3F25676}"/>
    <cellStyle name="Hyperlink 6" xfId="324" xr:uid="{8535D662-7B55-42B4-B0BF-CCD9F75D5FD4}"/>
    <cellStyle name="Hyperlink 7" xfId="329" xr:uid="{6F6C1B32-4AAF-4D20-9D2D-F283CA83C6A3}"/>
    <cellStyle name="Hyperlink 8" xfId="6" xr:uid="{A883ECC7-7C91-42B5-BD40-A364098EDAFA}"/>
    <cellStyle name="Input 2" xfId="234" xr:uid="{8BC07135-889A-42E4-A249-F8CCAD2C5AC5}"/>
    <cellStyle name="Linked Cell 2" xfId="235" xr:uid="{31394221-6739-4DB6-8466-0C79B5B008C3}"/>
    <cellStyle name="Neutral 2" xfId="236" xr:uid="{AFCF4697-5F0B-4AD6-8325-3625A468449B}"/>
    <cellStyle name="Normal" xfId="0" builtinId="0"/>
    <cellStyle name="Normal 10" xfId="19" xr:uid="{1808C013-742A-4FBA-9219-4A4695862C96}"/>
    <cellStyle name="Normal 10 2" xfId="317" xr:uid="{320ACEDF-A49A-4967-B008-5C0E0C71DA87}"/>
    <cellStyle name="Normal 11" xfId="237" xr:uid="{AF74DF82-BC11-4663-88CD-C393815A8F47}"/>
    <cellStyle name="Normal 11 2" xfId="238" xr:uid="{38AF5B75-DF9C-4D19-A7C4-4C85889755F8}"/>
    <cellStyle name="Normal 11 3" xfId="239" xr:uid="{FD4E70DA-2BCB-43AC-9C9D-B7E6412025B0}"/>
    <cellStyle name="Normal 11 4" xfId="240" xr:uid="{9287F40B-AEA4-4518-A026-7D3B9AE4FD81}"/>
    <cellStyle name="Normal 12" xfId="241" xr:uid="{724FDA1D-FFEA-44DD-A299-4F1A1C39CCEE}"/>
    <cellStyle name="Normal 12 2" xfId="242" xr:uid="{FAF85AB8-480E-4B60-A993-C728FA82E2DA}"/>
    <cellStyle name="Normal 12 3" xfId="243" xr:uid="{5B976B69-0746-4AF9-84BA-70B655B8D6F2}"/>
    <cellStyle name="Normal 12 4" xfId="244" xr:uid="{5D70689A-AC6E-4D68-AA96-8B1B35E3AE05}"/>
    <cellStyle name="Normal 13" xfId="245" xr:uid="{2181006B-FEE3-4529-924A-026F5FE5570D}"/>
    <cellStyle name="Normal 13 2" xfId="246" xr:uid="{9FAFBC91-09E1-4C31-BF93-FD4E3B882C4D}"/>
    <cellStyle name="Normal 13 3" xfId="247" xr:uid="{CFE44ABD-F154-45D4-BFCB-C6398B4F8F51}"/>
    <cellStyle name="Normal 13 4" xfId="248" xr:uid="{E86F52D2-2F59-41A5-AF07-32F8F492F96E}"/>
    <cellStyle name="Normal 14" xfId="249" xr:uid="{F073A113-57E9-40AB-89F1-EAA06FD5FB34}"/>
    <cellStyle name="Normal 14 2" xfId="250" xr:uid="{A6AED7D2-00D6-4905-A413-90287FB1FF8F}"/>
    <cellStyle name="Normal 15" xfId="251" xr:uid="{9F225CBA-C5CC-4819-BA93-DEB57F6DCBE6}"/>
    <cellStyle name="Normal 16" xfId="252" xr:uid="{F3635424-34E1-4DAF-95F0-DC2820ED0C5D}"/>
    <cellStyle name="Normal 17" xfId="253" xr:uid="{F3F87C29-DF06-4A95-8F1C-D9E421FF8572}"/>
    <cellStyle name="Normal 18" xfId="313" xr:uid="{A5726C4A-ADFE-4F4D-88CE-2DE76AE8C963}"/>
    <cellStyle name="Normal 18 2" xfId="326" xr:uid="{50CCC99A-B92A-46CF-BEBB-8334281317C2}"/>
    <cellStyle name="Normal 19" xfId="319" xr:uid="{69A790B8-801E-43C8-83B9-D22E5599693F}"/>
    <cellStyle name="Normal 19 2" xfId="327" xr:uid="{E03E99DB-F2CC-458E-BA4A-43B421A8FA34}"/>
    <cellStyle name="Normal 2" xfId="4" xr:uid="{70D1EC15-C3F3-4B8A-A0A6-4E3F1712BB65}"/>
    <cellStyle name="Normal 2 10" xfId="22" xr:uid="{30725444-E071-47D0-BEE8-CE59DEC5141A}"/>
    <cellStyle name="Normal 2 11" xfId="23" xr:uid="{7D88788F-E4FE-436E-95D0-1DCABB55E441}"/>
    <cellStyle name="Normal 2 12" xfId="254" xr:uid="{49929861-8DA5-492F-8AFC-B30D2D54AB28}"/>
    <cellStyle name="Normal 2 13" xfId="255" xr:uid="{F30BE9D6-1A2C-4058-A736-6BA872AD4157}"/>
    <cellStyle name="Normal 2 14" xfId="256" xr:uid="{5D3232E7-82D2-48B9-89EB-2A0727A17E17}"/>
    <cellStyle name="Normal 2 15" xfId="257" xr:uid="{88E65C09-DD19-4257-98A5-0EB76C470F2C}"/>
    <cellStyle name="Normal 2 16" xfId="258" xr:uid="{B40A2C8E-80C4-4BDD-A869-4E1CD7B6983A}"/>
    <cellStyle name="Normal 2 17" xfId="259" xr:uid="{FDF583AF-19CF-4350-9235-906B273CFD6F}"/>
    <cellStyle name="Normal 2 18" xfId="260" xr:uid="{F95534B4-9ADB-4AF8-9490-786CBBF3187B}"/>
    <cellStyle name="Normal 2 19" xfId="261" xr:uid="{4BA825CF-5977-4B60-9660-F996A91D03A5}"/>
    <cellStyle name="Normal 2 2" xfId="8" xr:uid="{454884AF-F04B-4170-A8FA-3DD5EC37155B}"/>
    <cellStyle name="Normal 2 2 2" xfId="24" xr:uid="{599EC19A-58F1-46B2-8DE1-005C75DD8659}"/>
    <cellStyle name="Normal 2 2 2 2" xfId="25" xr:uid="{AE112F24-D1D5-44AA-A7FA-9531C6319476}"/>
    <cellStyle name="Normal 2 2 2 3" xfId="26" xr:uid="{C9FB4979-EDE9-49A6-9AD2-A11909931E94}"/>
    <cellStyle name="Normal 2 2 3" xfId="27" xr:uid="{BE22570F-DA07-4886-BCEA-25144001588E}"/>
    <cellStyle name="Normal 2 2 3 2" xfId="28" xr:uid="{EBC03694-C6E2-4A8F-8547-5A3BD9E91040}"/>
    <cellStyle name="Normal 2 2 4" xfId="29" xr:uid="{5F7D64F9-C07C-4003-90C9-D03C410FA954}"/>
    <cellStyle name="Normal 2 2 4 2" xfId="30" xr:uid="{0B05A4F8-FDBE-45B3-81A8-AC48652CC9C8}"/>
    <cellStyle name="Normal 2 2 5" xfId="31" xr:uid="{8ECBA9D7-D0E3-4FB4-ADF7-F7F548274E07}"/>
    <cellStyle name="Normal 2 2 5 2" xfId="32" xr:uid="{7F5F1157-15D1-49D9-A480-95D1D3E0FF58}"/>
    <cellStyle name="Normal 2 2 6" xfId="33" xr:uid="{6C6CC0A0-3122-4971-83B9-60ECD6B3C63C}"/>
    <cellStyle name="Normal 2 2 7" xfId="34" xr:uid="{AD54063B-8C39-4E85-B8C2-205E692F65D1}"/>
    <cellStyle name="Normal 2 2 8" xfId="35" xr:uid="{67C42BFD-ABFC-4390-8424-5E9B32A72FB6}"/>
    <cellStyle name="Normal 2 20" xfId="262" xr:uid="{C7DEADA5-9784-4E0C-AF9A-A4D008DEC947}"/>
    <cellStyle name="Normal 2 21" xfId="263" xr:uid="{EC5B1009-3F97-4FBA-814B-4E855E53099D}"/>
    <cellStyle name="Normal 2 22" xfId="264" xr:uid="{4B0D1AA4-56AD-46A8-A612-5C1064DFABDB}"/>
    <cellStyle name="Normal 2 23" xfId="265" xr:uid="{A37EEF9F-91EE-4FF1-ACD2-486D1755BA8E}"/>
    <cellStyle name="Normal 2 24" xfId="320" xr:uid="{8C6434E7-9F86-4335-B812-7FCA3BCCF867}"/>
    <cellStyle name="Normal 2 3" xfId="1" xr:uid="{A8F6EC27-A8DE-4D45-A4F1-21FBAB4C6D9C}"/>
    <cellStyle name="Normal 2 3 2" xfId="36" xr:uid="{B7ABB6E2-0BD3-4CF7-B698-C5F3B30B2DDA}"/>
    <cellStyle name="Normal 2 3 2 2" xfId="37" xr:uid="{B70CB202-CC2E-4BA0-BB9B-EF5FBBF1A77A}"/>
    <cellStyle name="Normal 2 3 2 3" xfId="38" xr:uid="{5AB08842-50B6-421F-9009-B5F9DF949661}"/>
    <cellStyle name="Normal 2 3 3" xfId="39" xr:uid="{C48E30A1-EB05-4E30-86DC-13C173F00D50}"/>
    <cellStyle name="Normal 2 3 4" xfId="40" xr:uid="{3D8B2AC9-7639-4BCB-8BD0-10F90556E92E}"/>
    <cellStyle name="Normal 2 3 5" xfId="41" xr:uid="{F76835EF-47AA-43F6-AC44-F37B88C829A4}"/>
    <cellStyle name="Normal 2 3 6" xfId="10" xr:uid="{08FB0AA4-7C43-4FFA-BD06-AF9D44EF4242}"/>
    <cellStyle name="Normal 2 4" xfId="42" xr:uid="{7D6601A4-8870-464B-8CC0-B5A125FA373B}"/>
    <cellStyle name="Normal 2 4 2" xfId="43" xr:uid="{1A220F74-1503-4C6C-819A-A4DA43733B37}"/>
    <cellStyle name="Normal 2 5" xfId="44" xr:uid="{42F6D637-8DAE-4CEA-AE2C-355228DA1813}"/>
    <cellStyle name="Normal 2 5 2" xfId="45" xr:uid="{0C0FB9EF-1BC4-4068-831C-456FD84601AD}"/>
    <cellStyle name="Normal 2 6" xfId="46" xr:uid="{95AC3DC9-06D4-499D-B8CA-8CC85C7AA32F}"/>
    <cellStyle name="Normal 2 6 2" xfId="47" xr:uid="{F7DC6AA4-B6E2-48B3-898E-9593DA35EA6A}"/>
    <cellStyle name="Normal 2 7" xfId="48" xr:uid="{04AC187D-6257-4366-BB0F-8A106DB6343F}"/>
    <cellStyle name="Normal 2 7 2" xfId="49" xr:uid="{5DBEDB4D-83BE-4289-A0C5-1C6910615E08}"/>
    <cellStyle name="Normal 2 8" xfId="50" xr:uid="{16D0DB45-D6F8-4538-954D-2708D71C4335}"/>
    <cellStyle name="Normal 2 8 2" xfId="51" xr:uid="{851C82CF-6B12-4B4B-9537-D53A3E09DD35}"/>
    <cellStyle name="Normal 2 9" xfId="52" xr:uid="{BE558DA0-BEF9-4F9C-925A-299398155A08}"/>
    <cellStyle name="Normal 20" xfId="321" xr:uid="{DC53654C-9147-4A94-B6AA-366AD9179EB9}"/>
    <cellStyle name="Normal 20 2" xfId="330" xr:uid="{EF72B430-993F-4459-ACC5-76ED8E61DB81}"/>
    <cellStyle name="Normal 3" xfId="2" xr:uid="{A9E219D6-58DA-49D6-BA1D-201DD2548CE2}"/>
    <cellStyle name="Normal 3 10" xfId="266" xr:uid="{3DABF365-FFA7-4778-8380-0EBEED01A090}"/>
    <cellStyle name="Normal 3 11" xfId="267" xr:uid="{CC085453-E82D-4FA2-94D6-58A52052B990}"/>
    <cellStyle name="Normal 3 12" xfId="268" xr:uid="{E97192DD-2EBF-47E1-A532-65AEC871AAF1}"/>
    <cellStyle name="Normal 3 13" xfId="269" xr:uid="{0C6AA176-6154-4BC1-B7A1-5F6A50CED827}"/>
    <cellStyle name="Normal 3 14" xfId="328" xr:uid="{50E8DE81-8D12-4BE5-905D-D813B60FE7CA}"/>
    <cellStyle name="Normal 3 2" xfId="11" xr:uid="{5801A27C-116D-443E-81C1-5C36312F5EEF}"/>
    <cellStyle name="Normal 3 2 2" xfId="20" xr:uid="{FC60BFC7-7ADE-4A9D-9CFB-D5E667F3DD1B}"/>
    <cellStyle name="Normal 3 2 2 2" xfId="53" xr:uid="{297FAB01-85C1-40B4-AEAC-0A1FEF7824D0}"/>
    <cellStyle name="Normal 3 2 3" xfId="54" xr:uid="{95A78AEE-0E33-4695-A958-E437F3B5BEE9}"/>
    <cellStyle name="Normal 3 2 4" xfId="55" xr:uid="{148312A5-6BEB-4B6F-8355-EC84E9125EE3}"/>
    <cellStyle name="Normal 3 3" xfId="56" xr:uid="{A671013C-F589-4EF8-9C43-078193A710DD}"/>
    <cellStyle name="Normal 3 3 2" xfId="57" xr:uid="{23F28468-CF72-4963-A45B-4A5888533743}"/>
    <cellStyle name="Normal 3 3 3" xfId="58" xr:uid="{29CA8093-4769-4382-B88A-5AEE82E5F24C}"/>
    <cellStyle name="Normal 3 4" xfId="59" xr:uid="{D7F20470-3BD2-4B13-A475-37169D4886DC}"/>
    <cellStyle name="Normal 3 4 2" xfId="60" xr:uid="{D7620360-1D0A-4C64-B731-A86FDB2CC57A}"/>
    <cellStyle name="Normal 3 5" xfId="61" xr:uid="{219CDE6A-60EA-4D49-8F4D-B69927395D20}"/>
    <cellStyle name="Normal 3 5 2" xfId="62" xr:uid="{038007D0-0C13-4CE3-B2EE-9F2FE83FD1E8}"/>
    <cellStyle name="Normal 3 6" xfId="63" xr:uid="{723EC9C6-9E3D-4A0C-BBBD-5AEFD8388669}"/>
    <cellStyle name="Normal 3 6 2" xfId="64" xr:uid="{798DC6C3-AC2B-418F-9EED-16807B9E21B0}"/>
    <cellStyle name="Normal 3 7" xfId="65" xr:uid="{EBBAD58E-2746-43FD-B923-8E6D0F34A347}"/>
    <cellStyle name="Normal 3 8" xfId="66" xr:uid="{9EDC9D43-1F8C-4A9A-B1F9-12126EA5CBA5}"/>
    <cellStyle name="Normal 3 9" xfId="67" xr:uid="{9F71F144-1DEB-4D2C-ABDD-7F41C54E5945}"/>
    <cellStyle name="Normal 4" xfId="5" xr:uid="{86EE3EC1-08DC-4B5F-95DF-52692CBF12C3}"/>
    <cellStyle name="Normal 4 10" xfId="68" xr:uid="{E447EA64-F678-4030-9D02-524190675E7D}"/>
    <cellStyle name="Normal 4 11" xfId="270" xr:uid="{07148FBD-45FB-442A-A59D-CCB6B8D98BC4}"/>
    <cellStyle name="Normal 4 12" xfId="271" xr:uid="{7B25A272-6BCC-4BD2-8C49-9A8834D2C8F8}"/>
    <cellStyle name="Normal 4 13" xfId="272" xr:uid="{0E9DB6A9-2D91-405C-8424-A6CDE5869931}"/>
    <cellStyle name="Normal 4 2" xfId="69" xr:uid="{3C7CFCE7-AAC7-4937-8607-02F11EC87785}"/>
    <cellStyle name="Normal 4 2 2" xfId="70" xr:uid="{2A5DFBE0-A5D4-4538-BAB4-025B4AEE2EA6}"/>
    <cellStyle name="Normal 4 2 2 2" xfId="71" xr:uid="{F0830DFB-F0E6-44C8-A57A-D6475C264CCE}"/>
    <cellStyle name="Normal 4 2 3" xfId="72" xr:uid="{5E54812F-3879-4D90-BCA0-E758B4FAD493}"/>
    <cellStyle name="Normal 4 2 4" xfId="73" xr:uid="{4805F378-C32B-482B-B6BA-798468BB58BF}"/>
    <cellStyle name="Normal 4 2 5" xfId="74" xr:uid="{82FB15C3-5279-49E6-A645-8322F1741076}"/>
    <cellStyle name="Normal 4 3" xfId="75" xr:uid="{5DCA7F6D-2747-4A40-B7B5-1D3005D93C38}"/>
    <cellStyle name="Normal 4 3 2" xfId="76" xr:uid="{813FAE74-A0B7-46AA-852D-07F5308700F5}"/>
    <cellStyle name="Normal 4 3 3" xfId="77" xr:uid="{5CC6C31E-27F8-43B5-AC77-362E7641ACB0}"/>
    <cellStyle name="Normal 4 3 4" xfId="78" xr:uid="{2A1E0773-A3D1-4F29-A431-940739D544C3}"/>
    <cellStyle name="Normal 4 4" xfId="79" xr:uid="{99D4F5A0-2200-4671-8F9F-119D0A472622}"/>
    <cellStyle name="Normal 4 4 2" xfId="80" xr:uid="{D219244F-DF38-44E8-ACE6-E26EC21F84B4}"/>
    <cellStyle name="Normal 4 5" xfId="81" xr:uid="{CF5E801C-ADED-4978-8FC4-F79206AA95B0}"/>
    <cellStyle name="Normal 4 5 2" xfId="82" xr:uid="{75D21287-EFFB-4F74-BFB7-639D24F1B0C6}"/>
    <cellStyle name="Normal 4 6" xfId="83" xr:uid="{E2EDD92B-8412-4A2C-8CA8-5E689700D4AF}"/>
    <cellStyle name="Normal 4 6 2" xfId="84" xr:uid="{E0B4251E-2E4E-484F-ADFC-1112C4C3DC10}"/>
    <cellStyle name="Normal 4 7" xfId="85" xr:uid="{10C6F16F-21B1-4FD5-9F74-4067F119C06D}"/>
    <cellStyle name="Normal 4 8" xfId="86" xr:uid="{0C88FAFD-6164-4826-B11D-17B37548D399}"/>
    <cellStyle name="Normal 4 9" xfId="87" xr:uid="{466A757A-FCF2-481E-9344-D6ADF06926D4}"/>
    <cellStyle name="Normal 5" xfId="7" xr:uid="{47DC518A-C60A-4D08-8AF4-18DA740F8277}"/>
    <cellStyle name="Normal 5 10" xfId="191" xr:uid="{1C7140D0-DC88-4BFF-939F-7DDD70FFE574}"/>
    <cellStyle name="Normal 5 11" xfId="273" xr:uid="{62BAAD37-14FB-455E-BD47-420E75717C94}"/>
    <cellStyle name="Normal 5 12" xfId="274" xr:uid="{8AFAA53C-7864-4BAF-88AD-1EE088EFC54A}"/>
    <cellStyle name="Normal 5 13" xfId="275" xr:uid="{72AA0D20-94B4-49E2-953E-7624F36819A7}"/>
    <cellStyle name="Normal 5 2" xfId="88" xr:uid="{0466B16C-93BC-4BF0-B5DB-F6F8F9D1A168}"/>
    <cellStyle name="Normal 5 2 2" xfId="89" xr:uid="{151A3547-F2C1-4DA9-A761-3D7DD47CD7CF}"/>
    <cellStyle name="Normal 5 2 2 2" xfId="90" xr:uid="{E65830AD-F313-45D3-8BB1-449C250389A7}"/>
    <cellStyle name="Normal 5 2 3" xfId="91" xr:uid="{AE78A390-A810-4C74-B870-7EE132F44A6C}"/>
    <cellStyle name="Normal 5 2 4" xfId="92" xr:uid="{698FBAD4-5AA2-4F5D-8163-80A1EBBDF0EF}"/>
    <cellStyle name="Normal 5 3" xfId="93" xr:uid="{5AC403D7-9DDE-4571-B609-073278ED2152}"/>
    <cellStyle name="Normal 5 3 2" xfId="94" xr:uid="{A7822385-B041-4862-8FB7-77BD454B1048}"/>
    <cellStyle name="Normal 5 3 3" xfId="95" xr:uid="{0D0D046F-45FF-4326-B8A9-A23CCA265513}"/>
    <cellStyle name="Normal 5 4" xfId="96" xr:uid="{7CDCD229-2F17-45FE-B3A6-DDDEAEA9C931}"/>
    <cellStyle name="Normal 5 4 2" xfId="97" xr:uid="{8F0B4AB1-AE0C-4CFB-8407-FBA2CA1FC785}"/>
    <cellStyle name="Normal 5 5" xfId="98" xr:uid="{2781A9A0-2CF3-4D9A-85ED-84F18FB3C9FA}"/>
    <cellStyle name="Normal 5 5 2" xfId="99" xr:uid="{ABEBABE1-658D-4D21-B79F-69553035B0AA}"/>
    <cellStyle name="Normal 5 6" xfId="100" xr:uid="{D54F1C4D-3114-48ED-AD67-E6571736F91C}"/>
    <cellStyle name="Normal 5 6 2" xfId="101" xr:uid="{DA3B68EF-800C-40ED-82A9-3E57C586185C}"/>
    <cellStyle name="Normal 5 7" xfId="102" xr:uid="{C89D3D26-1B0B-4705-BE1B-AD1E91729BC9}"/>
    <cellStyle name="Normal 5 8" xfId="103" xr:uid="{030FC72E-2981-4041-B58D-CAD25AB4C3C1}"/>
    <cellStyle name="Normal 5 9" xfId="104" xr:uid="{56D95180-86CB-401D-BFC7-67F076AC9DDC}"/>
    <cellStyle name="Normal 6" xfId="18" xr:uid="{F54411B4-DA3C-4486-96D2-14A7D8457056}"/>
    <cellStyle name="Normal 6 2" xfId="276" xr:uid="{96120425-CA20-489F-B2FF-470F99667EBB}"/>
    <cellStyle name="Normal 7" xfId="105" xr:uid="{6E00FB82-0CB7-4D29-9E35-F3C7C623FA3E}"/>
    <cellStyle name="Normal 7 2" xfId="106" xr:uid="{2BE0D2D6-2379-488D-A1BE-6808DB76A94B}"/>
    <cellStyle name="Normal 7 2 2" xfId="107" xr:uid="{E2736713-8FCF-4B64-8388-A0497D771C79}"/>
    <cellStyle name="Normal 7 2 3" xfId="108" xr:uid="{BF00A445-7894-4694-B394-18952FCC2682}"/>
    <cellStyle name="Normal 7 3" xfId="109" xr:uid="{D71C1B61-CE6A-4D62-AC6C-65C84B386C35}"/>
    <cellStyle name="Normal 7 3 2" xfId="110" xr:uid="{C1B559F6-E37A-4661-BEDB-8929C611FF53}"/>
    <cellStyle name="Normal 7 4" xfId="111" xr:uid="{17C1BEFA-78DE-441D-A499-9E6F73EA17C8}"/>
    <cellStyle name="Normal 7 4 2" xfId="112" xr:uid="{E1452F4C-7AEE-44C9-BAED-EC19880AE226}"/>
    <cellStyle name="Normal 7 5" xfId="113" xr:uid="{5ADBF8A1-49E2-44BF-A590-99A1F6C77FDF}"/>
    <cellStyle name="Normal 7 5 2" xfId="114" xr:uid="{3DA8676C-5E4F-492E-AD21-23920DA6EE1B}"/>
    <cellStyle name="Normal 7 6" xfId="115" xr:uid="{10E0707F-887A-4D01-82FD-0C819F11B630}"/>
    <cellStyle name="Normal 7 7" xfId="116" xr:uid="{A876250C-5EA0-44C1-B066-5200E8EBB952}"/>
    <cellStyle name="Normal 7 8" xfId="117" xr:uid="{E1CAE451-6DF4-4C18-BC64-F666ED898D84}"/>
    <cellStyle name="Normal 8" xfId="15" xr:uid="{69FCCE9D-F975-41CE-8AD8-E861B2E28E8C}"/>
    <cellStyle name="Normal 8 2" xfId="118" xr:uid="{381C0A0C-61AB-4D7B-BE7E-B1CA9BE961DE}"/>
    <cellStyle name="Normal 8 2 2" xfId="119" xr:uid="{08FB01F5-5185-47F9-A8CC-5F50914C2A37}"/>
    <cellStyle name="Normal 8 3" xfId="120" xr:uid="{E2C30B0B-0603-46CE-A702-57DDB0C6A856}"/>
    <cellStyle name="Normal 8 3 2" xfId="121" xr:uid="{A53FB284-A736-4520-A83D-F3C552B71E66}"/>
    <cellStyle name="Normal 8 4" xfId="122" xr:uid="{0A9CB0D3-1355-4166-BB39-CE591829BEA4}"/>
    <cellStyle name="Normal 8 4 2" xfId="123" xr:uid="{1D885FF9-0A18-45FA-AECA-2BD413E5A4B3}"/>
    <cellStyle name="Normal 8 5" xfId="124" xr:uid="{CF4D05CD-0D13-464C-ABD6-E4CE18FC1717}"/>
    <cellStyle name="Normal 9" xfId="125" xr:uid="{15E82FD1-3D47-42BC-9E09-0402970ABDFD}"/>
    <cellStyle name="Note 2" xfId="277" xr:uid="{DCBE6AC7-3425-42EA-8E3C-656687D40B39}"/>
    <cellStyle name="Note 2 2" xfId="322" xr:uid="{A9E264BD-0A17-48D7-9DF4-DA628F45A11C}"/>
    <cellStyle name="Note 3" xfId="278" xr:uid="{602EF174-88AB-4AB3-9762-3EF8BE7B193E}"/>
    <cellStyle name="Note 4" xfId="279" xr:uid="{8C85CA28-1A51-4E70-9EB0-C9E086015EE3}"/>
    <cellStyle name="Note 5" xfId="280" xr:uid="{1C40494B-C1C8-4E45-B8C1-AD67D027EC48}"/>
    <cellStyle name="Output 2" xfId="281" xr:uid="{07CC4FC9-90AB-44AD-8E5A-B99FCE4109CC}"/>
    <cellStyle name="Percent 2" xfId="9" xr:uid="{0DC94906-83B7-4456-8D49-161401D15C60}"/>
    <cellStyle name="Percent 2 2" xfId="126" xr:uid="{EA4708D1-3FDC-4D5E-8AD5-4D5BFB749FEE}"/>
    <cellStyle name="Percent 2 2 10" xfId="282" xr:uid="{F61A38FB-AC5F-4AF5-A016-F335A3135F09}"/>
    <cellStyle name="Percent 2 2 11" xfId="283" xr:uid="{ED73985E-306E-413C-A5E8-528F0CB12531}"/>
    <cellStyle name="Percent 2 2 12" xfId="284" xr:uid="{CC15EC00-7A26-451E-A0B8-9DDA464592CD}"/>
    <cellStyle name="Percent 2 2 2" xfId="127" xr:uid="{BCD66A18-B219-470A-8278-4949586A0075}"/>
    <cellStyle name="Percent 2 2 2 2" xfId="128" xr:uid="{42CCE3C0-6BE4-4BE9-85FA-C22250BBFF02}"/>
    <cellStyle name="Percent 2 2 3" xfId="129" xr:uid="{207FA17A-F6AC-4E1A-AA32-5C9C62987BE1}"/>
    <cellStyle name="Percent 2 2 4" xfId="130" xr:uid="{F8A47C52-BE73-4F33-AEA9-E29F50705AAD}"/>
    <cellStyle name="Percent 2 2 5" xfId="285" xr:uid="{4F0E3C63-8D84-4FA6-BEF9-2F146081773A}"/>
    <cellStyle name="Percent 2 2 6" xfId="286" xr:uid="{68D139DD-F420-4674-89C4-FC3FF3534849}"/>
    <cellStyle name="Percent 2 2 7" xfId="287" xr:uid="{DFD5D193-D720-4D97-A071-1D28392B64A0}"/>
    <cellStyle name="Percent 2 2 8" xfId="288" xr:uid="{058355B5-3E96-497D-AC3B-7150BFA75FA9}"/>
    <cellStyle name="Percent 2 2 9" xfId="289" xr:uid="{105B6846-75C5-4496-BEF3-C8D50328E70B}"/>
    <cellStyle name="Percent 2 3" xfId="131" xr:uid="{04E610D7-07B2-4FD4-BCB8-356AA81B5052}"/>
    <cellStyle name="Percent 2 3 10" xfId="290" xr:uid="{FC5944D2-4A60-497C-96E9-F84AD83205F6}"/>
    <cellStyle name="Percent 2 3 11" xfId="291" xr:uid="{BF372C14-5C0F-4403-B60C-7DB7B06744C9}"/>
    <cellStyle name="Percent 2 3 12" xfId="292" xr:uid="{CEE72651-FF4F-4700-BA40-7BAF19EA14A0}"/>
    <cellStyle name="Percent 2 3 2" xfId="132" xr:uid="{BA01027B-2734-44EA-9A8D-EB0A13D75289}"/>
    <cellStyle name="Percent 2 3 3" xfId="133" xr:uid="{2E566400-82C9-4500-A817-75A49EBDDA18}"/>
    <cellStyle name="Percent 2 3 4" xfId="293" xr:uid="{ADBF86AF-EF86-46A4-8296-82A74F669FA7}"/>
    <cellStyle name="Percent 2 3 5" xfId="294" xr:uid="{685BF59B-6BEE-4943-B89C-428F6952A492}"/>
    <cellStyle name="Percent 2 3 6" xfId="295" xr:uid="{37B5985E-63D8-47E4-881C-E39FDB7B5AA2}"/>
    <cellStyle name="Percent 2 3 7" xfId="296" xr:uid="{2EE2D517-ABE9-4F36-94F5-0901F9F8F5D1}"/>
    <cellStyle name="Percent 2 3 8" xfId="297" xr:uid="{B3322B7F-20C0-4D86-9EC3-B3BD69770898}"/>
    <cellStyle name="Percent 2 3 9" xfId="298" xr:uid="{3CB11EC9-1689-4575-B255-5825C56E631D}"/>
    <cellStyle name="Percent 2 4" xfId="134" xr:uid="{58080107-0D4D-4B7D-893D-F1CDCB992402}"/>
    <cellStyle name="Percent 2 4 10" xfId="299" xr:uid="{579296AA-347A-4A34-AED7-99F2FC90B172}"/>
    <cellStyle name="Percent 2 4 11" xfId="300" xr:uid="{0046A1DB-860A-478C-9455-DB425D0C4C17}"/>
    <cellStyle name="Percent 2 4 12" xfId="301" xr:uid="{268B9908-5C7C-4A90-AFF8-50FEFB27310A}"/>
    <cellStyle name="Percent 2 4 2" xfId="135" xr:uid="{5D6738A5-75E8-491F-91C7-B396DF9AB7E1}"/>
    <cellStyle name="Percent 2 4 3" xfId="302" xr:uid="{D37E73AA-82F3-45EF-BAE2-89FB5440DA5A}"/>
    <cellStyle name="Percent 2 4 4" xfId="303" xr:uid="{435EF1F5-40B0-4217-AAB5-002C0917296D}"/>
    <cellStyle name="Percent 2 4 5" xfId="304" xr:uid="{3C464743-8091-4D97-B91D-C99C55396423}"/>
    <cellStyle name="Percent 2 4 6" xfId="305" xr:uid="{83C5344C-D918-49F9-82A4-57D87721B2E4}"/>
    <cellStyle name="Percent 2 4 7" xfId="306" xr:uid="{D2D96035-D02E-4BC2-8E91-36040059B4DB}"/>
    <cellStyle name="Percent 2 4 8" xfId="307" xr:uid="{63D55480-D7B7-4289-834F-46DB0D5A0436}"/>
    <cellStyle name="Percent 2 4 9" xfId="308" xr:uid="{D2C765F4-8E30-45A2-8476-4E4DC6D6195F}"/>
    <cellStyle name="Percent 2 5" xfId="136" xr:uid="{D5F303C0-7631-48DF-BA75-452897940B5D}"/>
    <cellStyle name="Percent 2 5 2" xfId="137" xr:uid="{B96B487B-590E-4513-B1ED-BAACA0586AA9}"/>
    <cellStyle name="Percent 2 6" xfId="138" xr:uid="{239C4101-B956-4A91-A184-DA6C451C9E5E}"/>
    <cellStyle name="Percent 2 6 2" xfId="139" xr:uid="{C967F519-A7A7-4C22-B12A-9FD238A9216C}"/>
    <cellStyle name="Percent 2 7" xfId="140" xr:uid="{F1ED4562-CB0B-4C58-BA9A-368BA6A7D94E}"/>
    <cellStyle name="Percent 2 8" xfId="141" xr:uid="{1AC66C06-D7E3-4A55-B3DC-D7430C6A5AF2}"/>
    <cellStyle name="Percent 2 9" xfId="142" xr:uid="{0580AA50-BCC2-4B92-9111-4A3F6248C18F}"/>
    <cellStyle name="Percent 3" xfId="17" xr:uid="{1FB9C65E-B5D2-4F3A-80B6-518CE193EF4B}"/>
    <cellStyle name="Percent 3 2" xfId="143" xr:uid="{AC401F93-E959-41ED-BB75-457066C9C73E}"/>
    <cellStyle name="Percent 3 2 2" xfId="144" xr:uid="{A481ABB8-A9B7-4909-AEE1-352C3569C7B9}"/>
    <cellStyle name="Percent 3 2 2 2" xfId="145" xr:uid="{EDF592AD-A73F-4BFB-853D-D0E4E67403F1}"/>
    <cellStyle name="Percent 3 2 3" xfId="146" xr:uid="{843C6557-CA51-4D17-AB8F-7C8A17145436}"/>
    <cellStyle name="Percent 3 2 4" xfId="147" xr:uid="{999332E2-B650-4D99-A252-4980D4C82C2E}"/>
    <cellStyle name="Percent 3 3" xfId="148" xr:uid="{B1133436-C072-451B-A3EA-97C5DA0DDC7D}"/>
    <cellStyle name="Percent 3 3 2" xfId="149" xr:uid="{303DB5DF-D4CC-4690-A159-00134AE9909C}"/>
    <cellStyle name="Percent 3 3 3" xfId="150" xr:uid="{4CF0B1DE-11F6-46C7-A20A-1CFB9EEE2D5C}"/>
    <cellStyle name="Percent 3 4" xfId="151" xr:uid="{2CE66C48-736D-4784-867B-6B166B070EAE}"/>
    <cellStyle name="Percent 3 4 2" xfId="152" xr:uid="{09DACE9D-CBB4-40E2-8DC8-6420630AB958}"/>
    <cellStyle name="Percent 3 5" xfId="153" xr:uid="{F84E4B23-A2F5-4CA1-9F9F-81B217CCBC20}"/>
    <cellStyle name="Percent 3 5 2" xfId="154" xr:uid="{DFA4AC8C-FF4D-42A0-80EC-CB2D7C30819C}"/>
    <cellStyle name="Percent 3 6" xfId="155" xr:uid="{54515449-3A31-41F9-BA15-1BD4E69F6CD1}"/>
    <cellStyle name="Percent 3 6 2" xfId="156" xr:uid="{2549A5C1-708A-46F1-9DB7-14835C99FC24}"/>
    <cellStyle name="Percent 3 7" xfId="157" xr:uid="{0846B457-5E5A-42B5-85D2-6E5DCA537CC7}"/>
    <cellStyle name="Percent 3 8" xfId="158" xr:uid="{A10EDB6D-9305-42FB-8F41-4684770AF0BC}"/>
    <cellStyle name="Percent 3 9" xfId="159" xr:uid="{6CC1A9C1-CCF3-428A-8870-85FD03285D55}"/>
    <cellStyle name="Percent 4" xfId="160" xr:uid="{C77CBC7C-F007-4269-9C22-D39C9C40A23D}"/>
    <cellStyle name="Percent 4 2" xfId="161" xr:uid="{81EB63F0-D846-4341-BA3C-A60C178E4C47}"/>
    <cellStyle name="Percent 4 2 2" xfId="162" xr:uid="{395FFAF9-DA78-4573-8980-8BE735D36FA3}"/>
    <cellStyle name="Percent 4 2 2 2" xfId="163" xr:uid="{297C9363-2894-49F4-BB48-9DE033A5072D}"/>
    <cellStyle name="Percent 4 2 3" xfId="164" xr:uid="{508359D4-17C1-4694-8175-6F10758DC84F}"/>
    <cellStyle name="Percent 4 2 4" xfId="165" xr:uid="{061405DE-E425-494D-8510-655EF6BB2693}"/>
    <cellStyle name="Percent 4 3" xfId="166" xr:uid="{6B0DA8D3-EBA0-4C40-809F-C9667AB8EC7E}"/>
    <cellStyle name="Percent 4 3 2" xfId="167" xr:uid="{30DAF066-7392-477E-ABDA-6BEB087EEA99}"/>
    <cellStyle name="Percent 4 3 3" xfId="168" xr:uid="{10666060-6337-4B36-8BC9-73CACDA22F9D}"/>
    <cellStyle name="Percent 4 4" xfId="169" xr:uid="{AC844551-3A9E-49A1-AC6E-296029F8009A}"/>
    <cellStyle name="Percent 4 4 2" xfId="170" xr:uid="{870D291C-942B-4A01-9475-52F581D80FAA}"/>
    <cellStyle name="Percent 4 5" xfId="171" xr:uid="{8D48D2CF-2294-4A77-A729-663F6DEE32BF}"/>
    <cellStyle name="Percent 4 5 2" xfId="172" xr:uid="{D78CE045-5247-4A3B-A718-72DE0F4B458C}"/>
    <cellStyle name="Percent 4 6" xfId="173" xr:uid="{5C937C7B-0E26-4BAF-B37D-F79ADEEC3EFF}"/>
    <cellStyle name="Percent 4 6 2" xfId="174" xr:uid="{A9B7A000-2DB2-4D96-889B-B7B643813B26}"/>
    <cellStyle name="Percent 4 7" xfId="175" xr:uid="{D9D47ACB-2F90-4067-80D2-140EC71FC6F1}"/>
    <cellStyle name="Percent 4 8" xfId="176" xr:uid="{81B6863D-199C-4AED-AB0C-66F0A95E4A6F}"/>
    <cellStyle name="Percent 4 9" xfId="177" xr:uid="{11A55CBD-ECDF-4D28-8546-B5167C9FD573}"/>
    <cellStyle name="Percent 5" xfId="178" xr:uid="{9B61E2F2-2E30-4BFC-AD6E-E623ED9964ED}"/>
    <cellStyle name="Percent 5 2" xfId="179" xr:uid="{BAA6045B-7E93-4D4A-AE0E-1554FE295A76}"/>
    <cellStyle name="Percent 5 2 2" xfId="180" xr:uid="{4FA8D265-E0A5-4B36-A093-B2D6AB9F2369}"/>
    <cellStyle name="Percent 5 2 3" xfId="181" xr:uid="{9557799F-4901-4989-B01B-2105FDE475C8}"/>
    <cellStyle name="Percent 5 3" xfId="182" xr:uid="{8093AB51-680A-463F-B1EE-D7384AA12447}"/>
    <cellStyle name="Percent 5 3 2" xfId="183" xr:uid="{F7C5AE46-9CB5-4327-85E1-0183327115DF}"/>
    <cellStyle name="Percent 5 4" xfId="184" xr:uid="{FE0643AD-AC40-4CA3-B8F3-57E7EEEC1E7D}"/>
    <cellStyle name="Percent 5 4 2" xfId="185" xr:uid="{36FD484C-906A-40AB-BE8E-F21BD0B443BE}"/>
    <cellStyle name="Percent 5 5" xfId="186" xr:uid="{9E00B819-6CBD-42C9-89AF-756CDC56FC38}"/>
    <cellStyle name="Percent 5 5 2" xfId="187" xr:uid="{B61A2461-F042-4841-BA38-3BCF74EF832E}"/>
    <cellStyle name="Percent 5 6" xfId="188" xr:uid="{B77D378B-3CBC-4BC4-A3A4-3B5E0B53E979}"/>
    <cellStyle name="Percent 5 7" xfId="189" xr:uid="{B19B5714-CBD2-4848-8607-DB1C2BA36A0B}"/>
    <cellStyle name="Percent 5 8" xfId="190" xr:uid="{136A5270-768D-4209-98E2-15F241D0B530}"/>
    <cellStyle name="Percent 6" xfId="309" xr:uid="{E184E0E0-C305-4E9E-A3EA-3E35E59E662E}"/>
    <cellStyle name="Percent 7" xfId="315" xr:uid="{32219059-779A-4069-AE37-1057846041B1}"/>
    <cellStyle name="Percent 9" xfId="310" xr:uid="{26EEE145-A064-4D27-8D35-34962F3B794D}"/>
    <cellStyle name="Title 2" xfId="318" xr:uid="{FC75CCD5-F80D-4BF3-8B96-9E2D1D69EC67}"/>
    <cellStyle name="Total 2" xfId="311" xr:uid="{EB7AD3F1-83E2-436B-BF62-84F7BD64DE50}"/>
    <cellStyle name="Warning Text 2" xfId="312" xr:uid="{2B91DF83-F7BF-4E3D-9057-59469367A7A1}"/>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72</xdr:row>
      <xdr:rowOff>175387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44340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72</xdr:row>
      <xdr:rowOff>175387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101</xdr:row>
      <xdr:rowOff>182373</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111116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111116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137003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4</xdr:col>
      <xdr:colOff>800100</xdr:colOff>
      <xdr:row>75</xdr:row>
      <xdr:rowOff>100173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137648</xdr:rowOff>
    </xdr:from>
    <xdr:to>
      <xdr:col>21</xdr:col>
      <xdr:colOff>438150</xdr:colOff>
      <xdr:row>45</xdr:row>
      <xdr:rowOff>89256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338494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547661</xdr:rowOff>
    </xdr:from>
    <xdr:to>
      <xdr:col>13</xdr:col>
      <xdr:colOff>19050</xdr:colOff>
      <xdr:row>89</xdr:row>
      <xdr:rowOff>79625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91227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70644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51594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120650</xdr:colOff>
      <xdr:row>131</xdr:row>
      <xdr:rowOff>180975</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4</xdr:col>
      <xdr:colOff>800100</xdr:colOff>
      <xdr:row>53</xdr:row>
      <xdr:rowOff>120650</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38100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13</xdr:row>
      <xdr:rowOff>292100</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85</xdr:row>
      <xdr:rowOff>25400</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158750</xdr:rowOff>
    </xdr:from>
    <xdr:to>
      <xdr:col>33</xdr:col>
      <xdr:colOff>1409700</xdr:colOff>
      <xdr:row>85</xdr:row>
      <xdr:rowOff>171450</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158750</xdr:rowOff>
    </xdr:from>
    <xdr:to>
      <xdr:col>33</xdr:col>
      <xdr:colOff>1409700</xdr:colOff>
      <xdr:row>85</xdr:row>
      <xdr:rowOff>0</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108796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108796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215547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224225</xdr:rowOff>
    </xdr:from>
    <xdr:to>
      <xdr:col>4</xdr:col>
      <xdr:colOff>419100</xdr:colOff>
      <xdr:row>22</xdr:row>
      <xdr:rowOff>223166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224225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206022</xdr:rowOff>
    </xdr:from>
    <xdr:to>
      <xdr:col>4</xdr:col>
      <xdr:colOff>419100</xdr:colOff>
      <xdr:row>22</xdr:row>
      <xdr:rowOff>222955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136525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717334</xdr:rowOff>
    </xdr:from>
    <xdr:to>
      <xdr:col>8</xdr:col>
      <xdr:colOff>278088</xdr:colOff>
      <xdr:row>91</xdr:row>
      <xdr:rowOff>717334</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717334</xdr:rowOff>
    </xdr:from>
    <xdr:to>
      <xdr:col>8</xdr:col>
      <xdr:colOff>278088</xdr:colOff>
      <xdr:row>91</xdr:row>
      <xdr:rowOff>717334</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117858</xdr:rowOff>
    </xdr:from>
    <xdr:to>
      <xdr:col>8</xdr:col>
      <xdr:colOff>257496</xdr:colOff>
      <xdr:row>74</xdr:row>
      <xdr:rowOff>117858</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117858</xdr:rowOff>
    </xdr:from>
    <xdr:to>
      <xdr:col>11</xdr:col>
      <xdr:colOff>211562</xdr:colOff>
      <xdr:row>74</xdr:row>
      <xdr:rowOff>117858</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31935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99483</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20</xdr:col>
      <xdr:colOff>647700</xdr:colOff>
      <xdr:row>68</xdr:row>
      <xdr:rowOff>311150</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24</xdr:col>
      <xdr:colOff>647700</xdr:colOff>
      <xdr:row>68</xdr:row>
      <xdr:rowOff>311150</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28</xdr:col>
      <xdr:colOff>647700</xdr:colOff>
      <xdr:row>68</xdr:row>
      <xdr:rowOff>311150</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177800</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177800</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177800</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349250</xdr:rowOff>
    </xdr:from>
    <xdr:to>
      <xdr:col>25</xdr:col>
      <xdr:colOff>57150</xdr:colOff>
      <xdr:row>47</xdr:row>
      <xdr:rowOff>0</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50655</xdr:rowOff>
    </xdr:from>
    <xdr:to>
      <xdr:col>5</xdr:col>
      <xdr:colOff>190500</xdr:colOff>
      <xdr:row>79</xdr:row>
      <xdr:rowOff>75468</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126203</xdr:rowOff>
    </xdr:from>
    <xdr:to>
      <xdr:col>5</xdr:col>
      <xdr:colOff>190500</xdr:colOff>
      <xdr:row>80</xdr:row>
      <xdr:rowOff>76733</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178267</xdr:rowOff>
    </xdr:from>
    <xdr:to>
      <xdr:col>5</xdr:col>
      <xdr:colOff>190500</xdr:colOff>
      <xdr:row>81</xdr:row>
      <xdr:rowOff>54923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26251</xdr:rowOff>
    </xdr:from>
    <xdr:to>
      <xdr:col>5</xdr:col>
      <xdr:colOff>190500</xdr:colOff>
      <xdr:row>82</xdr:row>
      <xdr:rowOff>178123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153704</xdr:rowOff>
    </xdr:from>
    <xdr:to>
      <xdr:col>5</xdr:col>
      <xdr:colOff>190500</xdr:colOff>
      <xdr:row>128</xdr:row>
      <xdr:rowOff>183999</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75133</xdr:rowOff>
    </xdr:from>
    <xdr:to>
      <xdr:col>5</xdr:col>
      <xdr:colOff>190500</xdr:colOff>
      <xdr:row>113</xdr:row>
      <xdr:rowOff>66227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74</xdr:row>
      <xdr:rowOff>68707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69</xdr:row>
      <xdr:rowOff>6513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139722</xdr:rowOff>
    </xdr:from>
    <xdr:to>
      <xdr:col>5</xdr:col>
      <xdr:colOff>190500</xdr:colOff>
      <xdr:row>61</xdr:row>
      <xdr:rowOff>48679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107304</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46533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122447</xdr:rowOff>
    </xdr:from>
    <xdr:to>
      <xdr:col>5</xdr:col>
      <xdr:colOff>190500</xdr:colOff>
      <xdr:row>61</xdr:row>
      <xdr:rowOff>140365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179875</xdr:rowOff>
    </xdr:from>
    <xdr:to>
      <xdr:col>5</xdr:col>
      <xdr:colOff>190500</xdr:colOff>
      <xdr:row>62</xdr:row>
      <xdr:rowOff>162038</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197420</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35891</xdr:rowOff>
    </xdr:from>
    <xdr:to>
      <xdr:col>5</xdr:col>
      <xdr:colOff>190500</xdr:colOff>
      <xdr:row>108</xdr:row>
      <xdr:rowOff>38923</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8492</xdr:rowOff>
    </xdr:from>
    <xdr:to>
      <xdr:col>5</xdr:col>
      <xdr:colOff>190500</xdr:colOff>
      <xdr:row>94</xdr:row>
      <xdr:rowOff>103851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178336</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121646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106072</xdr:rowOff>
    </xdr:from>
    <xdr:to>
      <xdr:col>6</xdr:col>
      <xdr:colOff>38100</xdr:colOff>
      <xdr:row>92</xdr:row>
      <xdr:rowOff>237100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76</xdr:row>
      <xdr:rowOff>330907</xdr:rowOff>
    </xdr:from>
    <xdr:to>
      <xdr:col>5</xdr:col>
      <xdr:colOff>190500</xdr:colOff>
      <xdr:row>82</xdr:row>
      <xdr:rowOff>57138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116469</xdr:rowOff>
    </xdr:from>
    <xdr:to>
      <xdr:col>5</xdr:col>
      <xdr:colOff>190500</xdr:colOff>
      <xdr:row>83</xdr:row>
      <xdr:rowOff>36041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114786</xdr:rowOff>
    </xdr:from>
    <xdr:to>
      <xdr:col>5</xdr:col>
      <xdr:colOff>190500</xdr:colOff>
      <xdr:row>83</xdr:row>
      <xdr:rowOff>183396</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18968</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41123</xdr:rowOff>
    </xdr:from>
    <xdr:to>
      <xdr:col>5</xdr:col>
      <xdr:colOff>190500</xdr:colOff>
      <xdr:row>120</xdr:row>
      <xdr:rowOff>46400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86229</xdr:rowOff>
    </xdr:from>
    <xdr:to>
      <xdr:col>5</xdr:col>
      <xdr:colOff>190500</xdr:colOff>
      <xdr:row>79</xdr:row>
      <xdr:rowOff>10554</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28329</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85820</xdr:rowOff>
    </xdr:from>
    <xdr:to>
      <xdr:col>5</xdr:col>
      <xdr:colOff>190500</xdr:colOff>
      <xdr:row>68</xdr:row>
      <xdr:rowOff>12551</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41123</xdr:rowOff>
    </xdr:from>
    <xdr:to>
      <xdr:col>6</xdr:col>
      <xdr:colOff>38100</xdr:colOff>
      <xdr:row>118</xdr:row>
      <xdr:rowOff>106625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333190</xdr:rowOff>
    </xdr:from>
    <xdr:to>
      <xdr:col>5</xdr:col>
      <xdr:colOff>190500</xdr:colOff>
      <xdr:row>59</xdr:row>
      <xdr:rowOff>123031</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26359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92438</xdr:rowOff>
    </xdr:from>
    <xdr:to>
      <xdr:col>5</xdr:col>
      <xdr:colOff>190500</xdr:colOff>
      <xdr:row>94</xdr:row>
      <xdr:rowOff>101778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440264</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180743</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333190</xdr:rowOff>
    </xdr:from>
    <xdr:to>
      <xdr:col>5</xdr:col>
      <xdr:colOff>190500</xdr:colOff>
      <xdr:row>59</xdr:row>
      <xdr:rowOff>123031</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26359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92438</xdr:rowOff>
    </xdr:from>
    <xdr:to>
      <xdr:col>5</xdr:col>
      <xdr:colOff>190500</xdr:colOff>
      <xdr:row>94</xdr:row>
      <xdr:rowOff>101778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440264</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180743</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333190</xdr:rowOff>
    </xdr:from>
    <xdr:to>
      <xdr:col>5</xdr:col>
      <xdr:colOff>190500</xdr:colOff>
      <xdr:row>59</xdr:row>
      <xdr:rowOff>123031</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26359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66244</xdr:rowOff>
    </xdr:from>
    <xdr:to>
      <xdr:col>5</xdr:col>
      <xdr:colOff>190500</xdr:colOff>
      <xdr:row>94</xdr:row>
      <xdr:rowOff>101778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440264</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180743</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333190</xdr:rowOff>
    </xdr:from>
    <xdr:to>
      <xdr:col>5</xdr:col>
      <xdr:colOff>190500</xdr:colOff>
      <xdr:row>59</xdr:row>
      <xdr:rowOff>123031</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26359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66244</xdr:rowOff>
    </xdr:from>
    <xdr:to>
      <xdr:col>5</xdr:col>
      <xdr:colOff>190500</xdr:colOff>
      <xdr:row>94</xdr:row>
      <xdr:rowOff>101778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440264</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66244</xdr:rowOff>
    </xdr:from>
    <xdr:to>
      <xdr:col>6</xdr:col>
      <xdr:colOff>38100</xdr:colOff>
      <xdr:row>92</xdr:row>
      <xdr:rowOff>180743</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83898</xdr:rowOff>
    </xdr:from>
    <xdr:to>
      <xdr:col>5</xdr:col>
      <xdr:colOff>637540</xdr:colOff>
      <xdr:row>64</xdr:row>
      <xdr:rowOff>107666</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178001</xdr:rowOff>
    </xdr:from>
    <xdr:to>
      <xdr:col>5</xdr:col>
      <xdr:colOff>637540</xdr:colOff>
      <xdr:row>86</xdr:row>
      <xdr:rowOff>125694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637540</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83898</xdr:rowOff>
    </xdr:from>
    <xdr:to>
      <xdr:col>5</xdr:col>
      <xdr:colOff>637540</xdr:colOff>
      <xdr:row>64</xdr:row>
      <xdr:rowOff>107666</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178001</xdr:rowOff>
    </xdr:from>
    <xdr:to>
      <xdr:col>5</xdr:col>
      <xdr:colOff>637540</xdr:colOff>
      <xdr:row>86</xdr:row>
      <xdr:rowOff>125694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637540</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637540</xdr:colOff>
      <xdr:row>64</xdr:row>
      <xdr:rowOff>107666</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637540</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637540</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637540</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637540</xdr:colOff>
      <xdr:row>86</xdr:row>
      <xdr:rowOff>125694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637540</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125694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125694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125694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27339</xdr:rowOff>
    </xdr:from>
    <xdr:to>
      <xdr:col>6</xdr:col>
      <xdr:colOff>38100</xdr:colOff>
      <xdr:row>95</xdr:row>
      <xdr:rowOff>31553</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52</xdr:row>
      <xdr:rowOff>505298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52</xdr:row>
      <xdr:rowOff>292392</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122726</xdr:rowOff>
    </xdr:from>
    <xdr:to>
      <xdr:col>5</xdr:col>
      <xdr:colOff>609600</xdr:colOff>
      <xdr:row>68</xdr:row>
      <xdr:rowOff>28849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142284</xdr:rowOff>
    </xdr:from>
    <xdr:to>
      <xdr:col>5</xdr:col>
      <xdr:colOff>609600</xdr:colOff>
      <xdr:row>68</xdr:row>
      <xdr:rowOff>218404</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178082</xdr:rowOff>
    </xdr:from>
    <xdr:to>
      <xdr:col>5</xdr:col>
      <xdr:colOff>609600</xdr:colOff>
      <xdr:row>68</xdr:row>
      <xdr:rowOff>331257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142087</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142671</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95</xdr:row>
      <xdr:rowOff>144811</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239003</xdr:rowOff>
    </xdr:from>
    <xdr:to>
      <xdr:col>6</xdr:col>
      <xdr:colOff>66040</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56477</xdr:rowOff>
    </xdr:from>
    <xdr:to>
      <xdr:col>5</xdr:col>
      <xdr:colOff>609600</xdr:colOff>
      <xdr:row>78</xdr:row>
      <xdr:rowOff>94588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637540</xdr:colOff>
      <xdr:row>76</xdr:row>
      <xdr:rowOff>258068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124387</xdr:rowOff>
    </xdr:from>
    <xdr:to>
      <xdr:col>5</xdr:col>
      <xdr:colOff>609600</xdr:colOff>
      <xdr:row>70</xdr:row>
      <xdr:rowOff>163331</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146031</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126353</xdr:rowOff>
    </xdr:from>
    <xdr:to>
      <xdr:col>5</xdr:col>
      <xdr:colOff>609600</xdr:colOff>
      <xdr:row>72</xdr:row>
      <xdr:rowOff>44834</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139768</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145377</xdr:rowOff>
    </xdr:from>
    <xdr:to>
      <xdr:col>5</xdr:col>
      <xdr:colOff>609600</xdr:colOff>
      <xdr:row>92</xdr:row>
      <xdr:rowOff>86853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26867</xdr:rowOff>
    </xdr:from>
    <xdr:to>
      <xdr:col>5</xdr:col>
      <xdr:colOff>609600</xdr:colOff>
      <xdr:row>93</xdr:row>
      <xdr:rowOff>6939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130748</xdr:rowOff>
    </xdr:from>
    <xdr:to>
      <xdr:col>5</xdr:col>
      <xdr:colOff>609600</xdr:colOff>
      <xdr:row>112</xdr:row>
      <xdr:rowOff>130832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122019</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122019</xdr:rowOff>
    </xdr:from>
    <xdr:to>
      <xdr:col>5</xdr:col>
      <xdr:colOff>609600</xdr:colOff>
      <xdr:row>135</xdr:row>
      <xdr:rowOff>47573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142795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48133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124387</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123589</xdr:rowOff>
    </xdr:from>
    <xdr:to>
      <xdr:col>5</xdr:col>
      <xdr:colOff>628650</xdr:colOff>
      <xdr:row>73</xdr:row>
      <xdr:rowOff>126082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101864</xdr:rowOff>
    </xdr:from>
    <xdr:to>
      <xdr:col>5</xdr:col>
      <xdr:colOff>609600</xdr:colOff>
      <xdr:row>76</xdr:row>
      <xdr:rowOff>277965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18974</xdr:rowOff>
    </xdr:from>
    <xdr:to>
      <xdr:col>5</xdr:col>
      <xdr:colOff>609600</xdr:colOff>
      <xdr:row>94</xdr:row>
      <xdr:rowOff>122658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8826</xdr:rowOff>
    </xdr:from>
    <xdr:to>
      <xdr:col>5</xdr:col>
      <xdr:colOff>609600</xdr:colOff>
      <xdr:row>95</xdr:row>
      <xdr:rowOff>66741</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199378</xdr:rowOff>
    </xdr:from>
    <xdr:to>
      <xdr:col>5</xdr:col>
      <xdr:colOff>609600</xdr:colOff>
      <xdr:row>95</xdr:row>
      <xdr:rowOff>237525</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123581</xdr:rowOff>
    </xdr:from>
    <xdr:to>
      <xdr:col>5</xdr:col>
      <xdr:colOff>609600</xdr:colOff>
      <xdr:row>96</xdr:row>
      <xdr:rowOff>153229</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162416</xdr:rowOff>
    </xdr:from>
    <xdr:to>
      <xdr:col>5</xdr:col>
      <xdr:colOff>609600</xdr:colOff>
      <xdr:row>117</xdr:row>
      <xdr:rowOff>182282</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85670</xdr:rowOff>
    </xdr:from>
    <xdr:to>
      <xdr:col>5</xdr:col>
      <xdr:colOff>609600</xdr:colOff>
      <xdr:row>186</xdr:row>
      <xdr:rowOff>27000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85670</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54262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28243</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27891</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390617</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64931</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47780</xdr:rowOff>
    </xdr:from>
    <xdr:to>
      <xdr:col>5</xdr:col>
      <xdr:colOff>609600</xdr:colOff>
      <xdr:row>57</xdr:row>
      <xdr:rowOff>45547</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44839</xdr:rowOff>
    </xdr:from>
    <xdr:to>
      <xdr:col>5</xdr:col>
      <xdr:colOff>609600</xdr:colOff>
      <xdr:row>73</xdr:row>
      <xdr:rowOff>125849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27050</xdr:rowOff>
    </xdr:from>
    <xdr:to>
      <xdr:col>5</xdr:col>
      <xdr:colOff>609600</xdr:colOff>
      <xdr:row>74</xdr:row>
      <xdr:rowOff>106507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182707</xdr:rowOff>
    </xdr:from>
    <xdr:to>
      <xdr:col>5</xdr:col>
      <xdr:colOff>609600</xdr:colOff>
      <xdr:row>75</xdr:row>
      <xdr:rowOff>126350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179273</xdr:rowOff>
    </xdr:from>
    <xdr:to>
      <xdr:col>5</xdr:col>
      <xdr:colOff>609600</xdr:colOff>
      <xdr:row>76</xdr:row>
      <xdr:rowOff>126351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38517</xdr:rowOff>
    </xdr:from>
    <xdr:to>
      <xdr:col>5</xdr:col>
      <xdr:colOff>609600</xdr:colOff>
      <xdr:row>96</xdr:row>
      <xdr:rowOff>114444</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183852</xdr:rowOff>
    </xdr:from>
    <xdr:to>
      <xdr:col>6</xdr:col>
      <xdr:colOff>38100</xdr:colOff>
      <xdr:row>93</xdr:row>
      <xdr:rowOff>179962</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52</xdr:row>
      <xdr:rowOff>406750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256103</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70</xdr:row>
      <xdr:rowOff>182919</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84155</xdr:rowOff>
    </xdr:from>
    <xdr:to>
      <xdr:col>5</xdr:col>
      <xdr:colOff>609600</xdr:colOff>
      <xdr:row>92</xdr:row>
      <xdr:rowOff>142828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8210</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8210</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183852</xdr:rowOff>
    </xdr:from>
    <xdr:to>
      <xdr:col>6</xdr:col>
      <xdr:colOff>38100</xdr:colOff>
      <xdr:row>93</xdr:row>
      <xdr:rowOff>179962</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123302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183852</xdr:rowOff>
    </xdr:from>
    <xdr:to>
      <xdr:col>6</xdr:col>
      <xdr:colOff>38100</xdr:colOff>
      <xdr:row>93</xdr:row>
      <xdr:rowOff>179962</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123302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6940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93</xdr:row>
      <xdr:rowOff>182079</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95</xdr:row>
      <xdr:rowOff>66741</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6940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93</xdr:row>
      <xdr:rowOff>182079</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95</xdr:row>
      <xdr:rowOff>66741</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6940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93</xdr:row>
      <xdr:rowOff>182079</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95</xdr:row>
      <xdr:rowOff>66741</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6940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93</xdr:row>
      <xdr:rowOff>182079</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95</xdr:row>
      <xdr:rowOff>66741</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6940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93</xdr:row>
      <xdr:rowOff>182079</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95</xdr:row>
      <xdr:rowOff>66741</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6940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93</xdr:row>
      <xdr:rowOff>182079</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95</xdr:row>
      <xdr:rowOff>66741</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140472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609600</xdr:colOff>
      <xdr:row>98</xdr:row>
      <xdr:rowOff>114459</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609600</xdr:colOff>
      <xdr:row>100</xdr:row>
      <xdr:rowOff>94289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609600</xdr:colOff>
      <xdr:row>103</xdr:row>
      <xdr:rowOff>123411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609600</xdr:colOff>
      <xdr:row>104</xdr:row>
      <xdr:rowOff>111710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609600</xdr:colOff>
      <xdr:row>93</xdr:row>
      <xdr:rowOff>6940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609600</xdr:colOff>
      <xdr:row>93</xdr:row>
      <xdr:rowOff>182079</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94</xdr:row>
      <xdr:rowOff>141708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609600</xdr:colOff>
      <xdr:row>95</xdr:row>
      <xdr:rowOff>66741</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125765</xdr:rowOff>
    </xdr:from>
    <xdr:to>
      <xdr:col>6</xdr:col>
      <xdr:colOff>38100</xdr:colOff>
      <xdr:row>93</xdr:row>
      <xdr:rowOff>180174</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25434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116</xdr:row>
      <xdr:rowOff>142227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116</xdr:row>
      <xdr:rowOff>142227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84487</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46873</xdr:rowOff>
    </xdr:from>
    <xdr:to>
      <xdr:col>5</xdr:col>
      <xdr:colOff>609600</xdr:colOff>
      <xdr:row>193</xdr:row>
      <xdr:rowOff>84962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140655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141925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122270</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122905</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122904</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93</xdr:row>
      <xdr:rowOff>163029</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116</xdr:row>
      <xdr:rowOff>142862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116</xdr:row>
      <xdr:rowOff>142862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64336</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193</xdr:row>
      <xdr:rowOff>86988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196</xdr:row>
      <xdr:rowOff>122240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141290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121635</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107517</xdr:rowOff>
    </xdr:from>
    <xdr:to>
      <xdr:col>6</xdr:col>
      <xdr:colOff>38100</xdr:colOff>
      <xdr:row>94</xdr:row>
      <xdr:rowOff>122658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333189</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22084</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104720</xdr:rowOff>
    </xdr:from>
    <xdr:to>
      <xdr:col>5</xdr:col>
      <xdr:colOff>609600</xdr:colOff>
      <xdr:row>91</xdr:row>
      <xdr:rowOff>123770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106750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106750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140470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106008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122240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165050</xdr:rowOff>
    </xdr:from>
    <xdr:to>
      <xdr:col>5</xdr:col>
      <xdr:colOff>609600</xdr:colOff>
      <xdr:row>198</xdr:row>
      <xdr:rowOff>122241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47405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107730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107517</xdr:rowOff>
    </xdr:from>
    <xdr:to>
      <xdr:col>6</xdr:col>
      <xdr:colOff>38100</xdr:colOff>
      <xdr:row>94</xdr:row>
      <xdr:rowOff>122658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333189</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22084</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104720</xdr:rowOff>
    </xdr:from>
    <xdr:to>
      <xdr:col>5</xdr:col>
      <xdr:colOff>609600</xdr:colOff>
      <xdr:row>91</xdr:row>
      <xdr:rowOff>123770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106750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106750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140470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106008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122240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165050</xdr:rowOff>
    </xdr:from>
    <xdr:to>
      <xdr:col>5</xdr:col>
      <xdr:colOff>609600</xdr:colOff>
      <xdr:row>198</xdr:row>
      <xdr:rowOff>122241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47405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107730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235017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389626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85203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65532</xdr:rowOff>
    </xdr:from>
    <xdr:to>
      <xdr:col>5</xdr:col>
      <xdr:colOff>628650</xdr:colOff>
      <xdr:row>107</xdr:row>
      <xdr:rowOff>122116</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47032</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28073</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235017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389626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85203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65532</xdr:rowOff>
    </xdr:from>
    <xdr:to>
      <xdr:col>5</xdr:col>
      <xdr:colOff>628650</xdr:colOff>
      <xdr:row>107</xdr:row>
      <xdr:rowOff>122116</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47032</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28073</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235017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389626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85203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65532</xdr:rowOff>
    </xdr:from>
    <xdr:to>
      <xdr:col>5</xdr:col>
      <xdr:colOff>628650</xdr:colOff>
      <xdr:row>107</xdr:row>
      <xdr:rowOff>122116</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47032</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28073</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45380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12453</xdr:rowOff>
    </xdr:from>
    <xdr:to>
      <xdr:col>5</xdr:col>
      <xdr:colOff>609600</xdr:colOff>
      <xdr:row>222</xdr:row>
      <xdr:rowOff>140631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161652</xdr:rowOff>
    </xdr:from>
    <xdr:to>
      <xdr:col>5</xdr:col>
      <xdr:colOff>609600</xdr:colOff>
      <xdr:row>224</xdr:row>
      <xdr:rowOff>45380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161651</xdr:rowOff>
    </xdr:from>
    <xdr:to>
      <xdr:col>5</xdr:col>
      <xdr:colOff>609600</xdr:colOff>
      <xdr:row>211</xdr:row>
      <xdr:rowOff>158887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84273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83479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159270</xdr:rowOff>
    </xdr:from>
    <xdr:to>
      <xdr:col>5</xdr:col>
      <xdr:colOff>609600</xdr:colOff>
      <xdr:row>191</xdr:row>
      <xdr:rowOff>101737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102120</xdr:rowOff>
    </xdr:from>
    <xdr:to>
      <xdr:col>5</xdr:col>
      <xdr:colOff>609600</xdr:colOff>
      <xdr:row>198</xdr:row>
      <xdr:rowOff>46175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53</xdr:row>
      <xdr:rowOff>235017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26402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235017</xdr:rowOff>
    </xdr:from>
    <xdr:to>
      <xdr:col>5</xdr:col>
      <xdr:colOff>628650</xdr:colOff>
      <xdr:row>55</xdr:row>
      <xdr:rowOff>140757</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26402</xdr:rowOff>
    </xdr:from>
    <xdr:to>
      <xdr:col>5</xdr:col>
      <xdr:colOff>628650</xdr:colOff>
      <xdr:row>56</xdr:row>
      <xdr:rowOff>180239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140613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31661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164693</xdr:rowOff>
    </xdr:from>
    <xdr:to>
      <xdr:col>5</xdr:col>
      <xdr:colOff>628650</xdr:colOff>
      <xdr:row>76</xdr:row>
      <xdr:rowOff>9435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76</xdr:row>
      <xdr:rowOff>200619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76</xdr:row>
      <xdr:rowOff>368893</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160532</xdr:rowOff>
    </xdr:from>
    <xdr:to>
      <xdr:col>5</xdr:col>
      <xdr:colOff>628650</xdr:colOff>
      <xdr:row>97</xdr:row>
      <xdr:rowOff>77736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102288</xdr:rowOff>
    </xdr:from>
    <xdr:to>
      <xdr:col>5</xdr:col>
      <xdr:colOff>628650</xdr:colOff>
      <xdr:row>98</xdr:row>
      <xdr:rowOff>27176</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50722</xdr:rowOff>
    </xdr:from>
    <xdr:to>
      <xdr:col>5</xdr:col>
      <xdr:colOff>628650</xdr:colOff>
      <xdr:row>99</xdr:row>
      <xdr:rowOff>56253</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48965</xdr:rowOff>
    </xdr:from>
    <xdr:to>
      <xdr:col>5</xdr:col>
      <xdr:colOff>628650</xdr:colOff>
      <xdr:row>99</xdr:row>
      <xdr:rowOff>95200</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50143</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160474</xdr:rowOff>
    </xdr:from>
    <xdr:to>
      <xdr:col>5</xdr:col>
      <xdr:colOff>609600</xdr:colOff>
      <xdr:row>222</xdr:row>
      <xdr:rowOff>122375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160474</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160474</xdr:rowOff>
    </xdr:from>
    <xdr:to>
      <xdr:col>5</xdr:col>
      <xdr:colOff>609600</xdr:colOff>
      <xdr:row>211</xdr:row>
      <xdr:rowOff>122374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122374</xdr:rowOff>
    </xdr:from>
    <xdr:to>
      <xdr:col>5</xdr:col>
      <xdr:colOff>609600</xdr:colOff>
      <xdr:row>189</xdr:row>
      <xdr:rowOff>84274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83479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104117</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235017</xdr:rowOff>
    </xdr:from>
    <xdr:to>
      <xdr:col>5</xdr:col>
      <xdr:colOff>609600</xdr:colOff>
      <xdr:row>56</xdr:row>
      <xdr:rowOff>101694</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59</xdr:row>
      <xdr:rowOff>101960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49317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182156</xdr:rowOff>
    </xdr:from>
    <xdr:to>
      <xdr:col>5</xdr:col>
      <xdr:colOff>609600</xdr:colOff>
      <xdr:row>75</xdr:row>
      <xdr:rowOff>31661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76</xdr:row>
      <xdr:rowOff>200619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76</xdr:row>
      <xdr:rowOff>368893</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162914</xdr:rowOff>
    </xdr:from>
    <xdr:to>
      <xdr:col>5</xdr:col>
      <xdr:colOff>609600</xdr:colOff>
      <xdr:row>97</xdr:row>
      <xdr:rowOff>150911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107844</xdr:rowOff>
    </xdr:from>
    <xdr:to>
      <xdr:col>5</xdr:col>
      <xdr:colOff>609600</xdr:colOff>
      <xdr:row>97</xdr:row>
      <xdr:rowOff>150911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49928</xdr:rowOff>
    </xdr:from>
    <xdr:to>
      <xdr:col>5</xdr:col>
      <xdr:colOff>609600</xdr:colOff>
      <xdr:row>98</xdr:row>
      <xdr:rowOff>95939</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19532</xdr:rowOff>
    </xdr:from>
    <xdr:to>
      <xdr:col>5</xdr:col>
      <xdr:colOff>609600</xdr:colOff>
      <xdr:row>99</xdr:row>
      <xdr:rowOff>1484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44586</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160474</xdr:rowOff>
    </xdr:from>
    <xdr:to>
      <xdr:col>5</xdr:col>
      <xdr:colOff>609600</xdr:colOff>
      <xdr:row>223</xdr:row>
      <xdr:rowOff>122374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160474</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160475</xdr:rowOff>
    </xdr:from>
    <xdr:to>
      <xdr:col>5</xdr:col>
      <xdr:colOff>609600</xdr:colOff>
      <xdr:row>212</xdr:row>
      <xdr:rowOff>122374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123168</xdr:rowOff>
    </xdr:from>
    <xdr:to>
      <xdr:col>5</xdr:col>
      <xdr:colOff>609600</xdr:colOff>
      <xdr:row>190</xdr:row>
      <xdr:rowOff>44585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178730</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64431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83479</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239863</xdr:rowOff>
    </xdr:from>
    <xdr:to>
      <xdr:col>5</xdr:col>
      <xdr:colOff>609600</xdr:colOff>
      <xdr:row>53</xdr:row>
      <xdr:rowOff>48363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48363</xdr:rowOff>
    </xdr:from>
    <xdr:to>
      <xdr:col>5</xdr:col>
      <xdr:colOff>609600</xdr:colOff>
      <xdr:row>53</xdr:row>
      <xdr:rowOff>140625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57</xdr:row>
      <xdr:rowOff>121563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27589</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10422</xdr:rowOff>
    </xdr:from>
    <xdr:to>
      <xdr:col>5</xdr:col>
      <xdr:colOff>609600</xdr:colOff>
      <xdr:row>62</xdr:row>
      <xdr:rowOff>9245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76</xdr:row>
      <xdr:rowOff>200619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76</xdr:row>
      <xdr:rowOff>368893</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106272</xdr:rowOff>
    </xdr:from>
    <xdr:to>
      <xdr:col>5</xdr:col>
      <xdr:colOff>609600</xdr:colOff>
      <xdr:row>77</xdr:row>
      <xdr:rowOff>159536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107844</xdr:rowOff>
    </xdr:from>
    <xdr:to>
      <xdr:col>5</xdr:col>
      <xdr:colOff>609600</xdr:colOff>
      <xdr:row>99</xdr:row>
      <xdr:rowOff>38050</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49928</xdr:rowOff>
    </xdr:from>
    <xdr:to>
      <xdr:col>5</xdr:col>
      <xdr:colOff>609600</xdr:colOff>
      <xdr:row>99</xdr:row>
      <xdr:rowOff>38050</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1538</xdr:rowOff>
    </xdr:from>
    <xdr:to>
      <xdr:col>5</xdr:col>
      <xdr:colOff>609600</xdr:colOff>
      <xdr:row>99</xdr:row>
      <xdr:rowOff>49163</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199304</xdr:rowOff>
    </xdr:from>
    <xdr:to>
      <xdr:col>5</xdr:col>
      <xdr:colOff>609600</xdr:colOff>
      <xdr:row>99</xdr:row>
      <xdr:rowOff>158850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119</xdr:row>
      <xdr:rowOff>95413</xdr:rowOff>
    </xdr:from>
    <xdr:to>
      <xdr:col>21</xdr:col>
      <xdr:colOff>448469</xdr:colOff>
      <xdr:row>123</xdr:row>
      <xdr:rowOff>142245</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160474</xdr:rowOff>
    </xdr:from>
    <xdr:to>
      <xdr:col>5</xdr:col>
      <xdr:colOff>609600</xdr:colOff>
      <xdr:row>248</xdr:row>
      <xdr:rowOff>122374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160474</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160474</xdr:rowOff>
    </xdr:from>
    <xdr:to>
      <xdr:col>5</xdr:col>
      <xdr:colOff>609600</xdr:colOff>
      <xdr:row>237</xdr:row>
      <xdr:rowOff>122374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84274</xdr:rowOff>
    </xdr:from>
    <xdr:to>
      <xdr:col>5</xdr:col>
      <xdr:colOff>609600</xdr:colOff>
      <xdr:row>214</xdr:row>
      <xdr:rowOff>122374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160474</xdr:rowOff>
    </xdr:from>
    <xdr:to>
      <xdr:col>5</xdr:col>
      <xdr:colOff>609600</xdr:colOff>
      <xdr:row>215</xdr:row>
      <xdr:rowOff>160474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160474</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160474</xdr:rowOff>
    </xdr:from>
    <xdr:to>
      <xdr:col>5</xdr:col>
      <xdr:colOff>609600</xdr:colOff>
      <xdr:row>223</xdr:row>
      <xdr:rowOff>160474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76</xdr:row>
      <xdr:rowOff>277379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140486</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88577</xdr:rowOff>
    </xdr:from>
    <xdr:to>
      <xdr:col>5</xdr:col>
      <xdr:colOff>609600</xdr:colOff>
      <xdr:row>78</xdr:row>
      <xdr:rowOff>66886</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81</xdr:row>
      <xdr:rowOff>74093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9737</xdr:rowOff>
    </xdr:from>
    <xdr:to>
      <xdr:col>5</xdr:col>
      <xdr:colOff>609600</xdr:colOff>
      <xdr:row>87</xdr:row>
      <xdr:rowOff>7309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30795</xdr:rowOff>
    </xdr:from>
    <xdr:to>
      <xdr:col>5</xdr:col>
      <xdr:colOff>609600</xdr:colOff>
      <xdr:row>98</xdr:row>
      <xdr:rowOff>1536</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197538</xdr:rowOff>
    </xdr:from>
    <xdr:to>
      <xdr:col>5</xdr:col>
      <xdr:colOff>609600</xdr:colOff>
      <xdr:row>98</xdr:row>
      <xdr:rowOff>179720</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142797</xdr:rowOff>
    </xdr:from>
    <xdr:to>
      <xdr:col>5</xdr:col>
      <xdr:colOff>609600</xdr:colOff>
      <xdr:row>99</xdr:row>
      <xdr:rowOff>179721</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88057</xdr:rowOff>
    </xdr:from>
    <xdr:to>
      <xdr:col>5</xdr:col>
      <xdr:colOff>609600</xdr:colOff>
      <xdr:row>100</xdr:row>
      <xdr:rowOff>184101</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66045</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45407</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144</xdr:row>
      <xdr:rowOff>35882</xdr:rowOff>
    </xdr:from>
    <xdr:to>
      <xdr:col>21</xdr:col>
      <xdr:colOff>448469</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152787</xdr:rowOff>
    </xdr:from>
    <xdr:to>
      <xdr:col>5</xdr:col>
      <xdr:colOff>609600</xdr:colOff>
      <xdr:row>73</xdr:row>
      <xdr:rowOff>107127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152787</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69620</xdr:rowOff>
    </xdr:from>
    <xdr:to>
      <xdr:col>5</xdr:col>
      <xdr:colOff>609600</xdr:colOff>
      <xdr:row>75</xdr:row>
      <xdr:rowOff>124529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69621</xdr:rowOff>
    </xdr:from>
    <xdr:to>
      <xdr:col>5</xdr:col>
      <xdr:colOff>609600</xdr:colOff>
      <xdr:row>77</xdr:row>
      <xdr:rowOff>123024</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50711</xdr:rowOff>
    </xdr:from>
    <xdr:to>
      <xdr:col>5</xdr:col>
      <xdr:colOff>609600</xdr:colOff>
      <xdr:row>83</xdr:row>
      <xdr:rowOff>11278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94</xdr:row>
      <xdr:rowOff>107844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164688</xdr:rowOff>
    </xdr:from>
    <xdr:to>
      <xdr:col>5</xdr:col>
      <xdr:colOff>609600</xdr:colOff>
      <xdr:row>95</xdr:row>
      <xdr:rowOff>49928</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1538</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57289</xdr:rowOff>
    </xdr:from>
    <xdr:to>
      <xdr:col>5</xdr:col>
      <xdr:colOff>609600</xdr:colOff>
      <xdr:row>97</xdr:row>
      <xdr:rowOff>1537</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123021</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125374</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103943</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65843</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140</xdr:row>
      <xdr:rowOff>28739</xdr:rowOff>
    </xdr:from>
    <xdr:to>
      <xdr:col>21</xdr:col>
      <xdr:colOff>448469</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64431</xdr:rowOff>
    </xdr:from>
    <xdr:to>
      <xdr:col>5</xdr:col>
      <xdr:colOff>609600</xdr:colOff>
      <xdr:row>222</xdr:row>
      <xdr:rowOff>50144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164443</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10072</xdr:rowOff>
    </xdr:from>
    <xdr:to>
      <xdr:col>5</xdr:col>
      <xdr:colOff>609600</xdr:colOff>
      <xdr:row>223</xdr:row>
      <xdr:rowOff>50143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164443</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84274</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122374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178730</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66812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482899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82670</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126869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313571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181537</xdr:rowOff>
    </xdr:from>
    <xdr:to>
      <xdr:col>5</xdr:col>
      <xdr:colOff>609600</xdr:colOff>
      <xdr:row>96</xdr:row>
      <xdr:rowOff>162818</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96</xdr:row>
      <xdr:rowOff>162818</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26826</xdr:rowOff>
    </xdr:from>
    <xdr:to>
      <xdr:col>5</xdr:col>
      <xdr:colOff>609600</xdr:colOff>
      <xdr:row>96</xdr:row>
      <xdr:rowOff>162818</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1426</xdr:rowOff>
    </xdr:from>
    <xdr:to>
      <xdr:col>5</xdr:col>
      <xdr:colOff>609600</xdr:colOff>
      <xdr:row>96</xdr:row>
      <xdr:rowOff>162818</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117</xdr:row>
      <xdr:rowOff>103148</xdr:rowOff>
    </xdr:from>
    <xdr:to>
      <xdr:col>21</xdr:col>
      <xdr:colOff>448469</xdr:colOff>
      <xdr:row>121</xdr:row>
      <xdr:rowOff>143040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619919</xdr:colOff>
      <xdr:row>125</xdr:row>
      <xdr:rowOff>86683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124114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63860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162817</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26826</xdr:rowOff>
    </xdr:from>
    <xdr:to>
      <xdr:col>5</xdr:col>
      <xdr:colOff>609600</xdr:colOff>
      <xdr:row>97</xdr:row>
      <xdr:rowOff>162817</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162817</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184044</xdr:rowOff>
    </xdr:from>
    <xdr:to>
      <xdr:col>5</xdr:col>
      <xdr:colOff>609600</xdr:colOff>
      <xdr:row>97</xdr:row>
      <xdr:rowOff>162817</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124114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63860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162817</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26826</xdr:rowOff>
    </xdr:from>
    <xdr:to>
      <xdr:col>5</xdr:col>
      <xdr:colOff>609600</xdr:colOff>
      <xdr:row>97</xdr:row>
      <xdr:rowOff>162817</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162817</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184044</xdr:rowOff>
    </xdr:from>
    <xdr:to>
      <xdr:col>5</xdr:col>
      <xdr:colOff>609600</xdr:colOff>
      <xdr:row>97</xdr:row>
      <xdr:rowOff>162817</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124114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63860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162817</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26826</xdr:rowOff>
    </xdr:from>
    <xdr:to>
      <xdr:col>5</xdr:col>
      <xdr:colOff>609600</xdr:colOff>
      <xdr:row>97</xdr:row>
      <xdr:rowOff>162817</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162817</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184044</xdr:rowOff>
    </xdr:from>
    <xdr:to>
      <xdr:col>5</xdr:col>
      <xdr:colOff>609600</xdr:colOff>
      <xdr:row>97</xdr:row>
      <xdr:rowOff>162817</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161268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161268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88309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107359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105780</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80</xdr:row>
      <xdr:rowOff>178223</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104686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47536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142245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657225</xdr:colOff>
      <xdr:row>131</xdr:row>
      <xdr:rowOff>183903</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104686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47536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104686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47536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104686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47536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657225</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84302</xdr:rowOff>
    </xdr:from>
    <xdr:to>
      <xdr:col>5</xdr:col>
      <xdr:colOff>609600</xdr:colOff>
      <xdr:row>94</xdr:row>
      <xdr:rowOff>67441</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94</xdr:row>
      <xdr:rowOff>143641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95</xdr:row>
      <xdr:rowOff>101600</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422247</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84302</xdr:rowOff>
    </xdr:from>
    <xdr:to>
      <xdr:col>5</xdr:col>
      <xdr:colOff>609600</xdr:colOff>
      <xdr:row>94</xdr:row>
      <xdr:rowOff>67441</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94</xdr:row>
      <xdr:rowOff>143641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95</xdr:row>
      <xdr:rowOff>101600</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422247</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84302</xdr:rowOff>
    </xdr:from>
    <xdr:to>
      <xdr:col>5</xdr:col>
      <xdr:colOff>609600</xdr:colOff>
      <xdr:row>94</xdr:row>
      <xdr:rowOff>67441</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94</xdr:row>
      <xdr:rowOff>143641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95</xdr:row>
      <xdr:rowOff>101600</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422247</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86491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125358</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198383</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63500</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164881</xdr:rowOff>
    </xdr:from>
    <xdr:to>
      <xdr:col>5</xdr:col>
      <xdr:colOff>609600</xdr:colOff>
      <xdr:row>114</xdr:row>
      <xdr:rowOff>182116</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164881</xdr:rowOff>
    </xdr:from>
    <xdr:to>
      <xdr:col>5</xdr:col>
      <xdr:colOff>609600</xdr:colOff>
      <xdr:row>113</xdr:row>
      <xdr:rowOff>183138</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126781</xdr:rowOff>
    </xdr:from>
    <xdr:to>
      <xdr:col>5</xdr:col>
      <xdr:colOff>609600</xdr:colOff>
      <xdr:row>114</xdr:row>
      <xdr:rowOff>73217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86491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125358</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198383</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63500</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164881</xdr:rowOff>
    </xdr:from>
    <xdr:to>
      <xdr:col>5</xdr:col>
      <xdr:colOff>609600</xdr:colOff>
      <xdr:row>114</xdr:row>
      <xdr:rowOff>182116</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164881</xdr:rowOff>
    </xdr:from>
    <xdr:to>
      <xdr:col>5</xdr:col>
      <xdr:colOff>609600</xdr:colOff>
      <xdr:row>113</xdr:row>
      <xdr:rowOff>183138</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126781</xdr:rowOff>
    </xdr:from>
    <xdr:to>
      <xdr:col>5</xdr:col>
      <xdr:colOff>609600</xdr:colOff>
      <xdr:row>114</xdr:row>
      <xdr:rowOff>73217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86491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125358</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198383</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63500</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164881</xdr:rowOff>
    </xdr:from>
    <xdr:to>
      <xdr:col>5</xdr:col>
      <xdr:colOff>609600</xdr:colOff>
      <xdr:row>114</xdr:row>
      <xdr:rowOff>182116</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164881</xdr:rowOff>
    </xdr:from>
    <xdr:to>
      <xdr:col>5</xdr:col>
      <xdr:colOff>609600</xdr:colOff>
      <xdr:row>113</xdr:row>
      <xdr:rowOff>183138</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126781</xdr:rowOff>
    </xdr:from>
    <xdr:to>
      <xdr:col>5</xdr:col>
      <xdr:colOff>609600</xdr:colOff>
      <xdr:row>114</xdr:row>
      <xdr:rowOff>73217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88243</xdr:rowOff>
    </xdr:from>
    <xdr:to>
      <xdr:col>5</xdr:col>
      <xdr:colOff>609600</xdr:colOff>
      <xdr:row>238</xdr:row>
      <xdr:rowOff>69194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50143</xdr:rowOff>
    </xdr:from>
    <xdr:to>
      <xdr:col>5</xdr:col>
      <xdr:colOff>609600</xdr:colOff>
      <xdr:row>237</xdr:row>
      <xdr:rowOff>183493</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239</xdr:row>
      <xdr:rowOff>69193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50143</xdr:rowOff>
    </xdr:from>
    <xdr:to>
      <xdr:col>5</xdr:col>
      <xdr:colOff>609600</xdr:colOff>
      <xdr:row>226</xdr:row>
      <xdr:rowOff>183493</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164443</xdr:rowOff>
    </xdr:from>
    <xdr:to>
      <xdr:col>5</xdr:col>
      <xdr:colOff>609600</xdr:colOff>
      <xdr:row>203</xdr:row>
      <xdr:rowOff>183493</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50143</xdr:rowOff>
    </xdr:from>
    <xdr:to>
      <xdr:col>5</xdr:col>
      <xdr:colOff>609600</xdr:colOff>
      <xdr:row>205</xdr:row>
      <xdr:rowOff>69193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50143</xdr:rowOff>
    </xdr:from>
    <xdr:to>
      <xdr:col>5</xdr:col>
      <xdr:colOff>609600</xdr:colOff>
      <xdr:row>206</xdr:row>
      <xdr:rowOff>69194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50143</xdr:rowOff>
    </xdr:from>
    <xdr:to>
      <xdr:col>5</xdr:col>
      <xdr:colOff>609600</xdr:colOff>
      <xdr:row>213</xdr:row>
      <xdr:rowOff>69193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63</xdr:row>
      <xdr:rowOff>163567</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142984</xdr:rowOff>
    </xdr:from>
    <xdr:to>
      <xdr:col>5</xdr:col>
      <xdr:colOff>628650</xdr:colOff>
      <xdr:row>87</xdr:row>
      <xdr:rowOff>8102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84</xdr:row>
      <xdr:rowOff>122402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182617</xdr:rowOff>
    </xdr:from>
    <xdr:to>
      <xdr:col>5</xdr:col>
      <xdr:colOff>609600</xdr:colOff>
      <xdr:row>84</xdr:row>
      <xdr:rowOff>160502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236483</xdr:rowOff>
    </xdr:from>
    <xdr:to>
      <xdr:col>5</xdr:col>
      <xdr:colOff>609600</xdr:colOff>
      <xdr:row>87</xdr:row>
      <xdr:rowOff>46202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160501</xdr:rowOff>
    </xdr:from>
    <xdr:to>
      <xdr:col>5</xdr:col>
      <xdr:colOff>609600</xdr:colOff>
      <xdr:row>95</xdr:row>
      <xdr:rowOff>19050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84302</xdr:rowOff>
    </xdr:from>
    <xdr:to>
      <xdr:col>5</xdr:col>
      <xdr:colOff>609600</xdr:colOff>
      <xdr:row>94</xdr:row>
      <xdr:rowOff>67441</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94</xdr:row>
      <xdr:rowOff>143641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27152</xdr:rowOff>
    </xdr:from>
    <xdr:to>
      <xdr:col>5</xdr:col>
      <xdr:colOff>609600</xdr:colOff>
      <xdr:row>96</xdr:row>
      <xdr:rowOff>8759</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105760</xdr:rowOff>
    </xdr:from>
    <xdr:to>
      <xdr:col>5</xdr:col>
      <xdr:colOff>609600</xdr:colOff>
      <xdr:row>117</xdr:row>
      <xdr:rowOff>160502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164881</xdr:rowOff>
    </xdr:from>
    <xdr:to>
      <xdr:col>5</xdr:col>
      <xdr:colOff>609600</xdr:colOff>
      <xdr:row>115</xdr:row>
      <xdr:rowOff>46201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164881</xdr:rowOff>
    </xdr:from>
    <xdr:to>
      <xdr:col>5</xdr:col>
      <xdr:colOff>609600</xdr:colOff>
      <xdr:row>114</xdr:row>
      <xdr:rowOff>181522</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126781</xdr:rowOff>
    </xdr:from>
    <xdr:to>
      <xdr:col>5</xdr:col>
      <xdr:colOff>609600</xdr:colOff>
      <xdr:row>114</xdr:row>
      <xdr:rowOff>181522</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103352</xdr:rowOff>
    </xdr:from>
    <xdr:to>
      <xdr:col>21</xdr:col>
      <xdr:colOff>438150</xdr:colOff>
      <xdr:row>137</xdr:row>
      <xdr:rowOff>122402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122402</xdr:rowOff>
    </xdr:from>
    <xdr:to>
      <xdr:col>22</xdr:col>
      <xdr:colOff>609600</xdr:colOff>
      <xdr:row>141</xdr:row>
      <xdr:rowOff>103351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122402</xdr:rowOff>
    </xdr:from>
    <xdr:to>
      <xdr:col>24</xdr:col>
      <xdr:colOff>647700</xdr:colOff>
      <xdr:row>142</xdr:row>
      <xdr:rowOff>8102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141452</xdr:rowOff>
    </xdr:from>
    <xdr:to>
      <xdr:col>25</xdr:col>
      <xdr:colOff>647700</xdr:colOff>
      <xdr:row>141</xdr:row>
      <xdr:rowOff>181522</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463550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234950</xdr:rowOff>
    </xdr:from>
    <xdr:to>
      <xdr:col>5</xdr:col>
      <xdr:colOff>609600</xdr:colOff>
      <xdr:row>53</xdr:row>
      <xdr:rowOff>234950</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273050</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234950</xdr:rowOff>
    </xdr:from>
    <xdr:to>
      <xdr:col>5</xdr:col>
      <xdr:colOff>609600</xdr:colOff>
      <xdr:row>74</xdr:row>
      <xdr:rowOff>76200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234950</xdr:rowOff>
    </xdr:from>
    <xdr:to>
      <xdr:col>5</xdr:col>
      <xdr:colOff>609600</xdr:colOff>
      <xdr:row>74</xdr:row>
      <xdr:rowOff>114300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171450</xdr:rowOff>
    </xdr:from>
    <xdr:to>
      <xdr:col>5</xdr:col>
      <xdr:colOff>609600</xdr:colOff>
      <xdr:row>78</xdr:row>
      <xdr:rowOff>114300</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76200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114300</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114300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19050</xdr:rowOff>
    </xdr:from>
    <xdr:to>
      <xdr:col>5</xdr:col>
      <xdr:colOff>609600</xdr:colOff>
      <xdr:row>107</xdr:row>
      <xdr:rowOff>133350</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76200</xdr:rowOff>
    </xdr:from>
    <xdr:to>
      <xdr:col>5</xdr:col>
      <xdr:colOff>609600</xdr:colOff>
      <xdr:row>105</xdr:row>
      <xdr:rowOff>44450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76200</xdr:rowOff>
    </xdr:from>
    <xdr:to>
      <xdr:col>5</xdr:col>
      <xdr:colOff>609600</xdr:colOff>
      <xdr:row>105</xdr:row>
      <xdr:rowOff>44450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5</xdr:col>
      <xdr:colOff>609600</xdr:colOff>
      <xdr:row>105</xdr:row>
      <xdr:rowOff>44450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6350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53</xdr:row>
      <xdr:rowOff>330200</xdr:rowOff>
    </xdr:from>
    <xdr:to>
      <xdr:col>14</xdr:col>
      <xdr:colOff>571500</xdr:colOff>
      <xdr:row>56</xdr:row>
      <xdr:rowOff>19050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76200</xdr:rowOff>
    </xdr:from>
    <xdr:to>
      <xdr:col>14</xdr:col>
      <xdr:colOff>609600</xdr:colOff>
      <xdr:row>62</xdr:row>
      <xdr:rowOff>0</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55</xdr:row>
      <xdr:rowOff>101600</xdr:rowOff>
    </xdr:from>
    <xdr:to>
      <xdr:col>6</xdr:col>
      <xdr:colOff>44450</xdr:colOff>
      <xdr:row>59</xdr:row>
      <xdr:rowOff>76200</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D55" dT="2024-06-27T14:27:47.87" personId="{2C68A5A1-706F-4A3E-93A3-741BBABEC4EA}" id="{B8639833-1036-486E-B271-B2B70A5F4327}" parentId="{54F6D9F3-8868-417E-999A-B95E2C1FC589}">
    <text>June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6" dT="2024-06-27T14:28:28.14" personId="{2C68A5A1-706F-4A3E-93A3-741BBABEC4EA}" id="{AAC1A7F3-5101-4D77-A002-FBE231A1A27C}" parentId="{1FB99C5A-E921-4C2B-94A6-469F8368DE8C}">
    <text>June 2024 CBO Budget Projections Table 1-1 Row 11</text>
  </threadedComment>
  <threadedComment ref="D57" dT="2024-06-27T14:31:36.26" personId="{2C68A5A1-706F-4A3E-93A3-741BBABEC4EA}" id="{71B63C0C-A14A-4CAA-AD37-D99BE7060ACF}">
    <text>Not updated June 2024. I could not find in the budget projections.</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8" dT="2024-06-27T21:11:02.98" personId="{09FAC3F1-DFDB-4CF8-9903-358701529E2B}" id="{987C1579-7615-47DB-BE54-85464A342721}" parentId="{CE0F5DCB-3CCE-4E3D-A6E4-2AC8A4A5F19D}">
    <text>June 2024 CBO Revenue Projections by Category, Revenue Projections,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59" dT="2024-06-27T21:11:21.66" personId="{09FAC3F1-DFDB-4CF8-9903-358701529E2B}" id="{86CF1027-BCEB-4550-AD6D-A909A0CEF61D}" parentId="{B0E96582-484F-445D-8FF5-3592B5A172FA}">
    <text>June 2024 CBO Revenue Projections, Revenue Projections Sheet,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D60" dT="2024-06-27T14:32:38.18" personId="{2C68A5A1-706F-4A3E-93A3-741BBABEC4EA}" id="{0FB34D58-0EA7-45D9-9687-C1C4AAD9A17B}" parentId="{E6B5A35A-07FA-4F2B-9A9E-866D21A47917}">
    <text>June 2024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8" dT="2024-06-27T14:34:45.71" personId="{2C68A5A1-706F-4A3E-93A3-741BBABEC4EA}" id="{87A09169-659E-458F-A9F3-D0AB63E74083}" parentId="{BAC4C9C5-057D-4522-9D5B-345501733B13}">
    <text>June 2024 Econ projections Fiscal Year sheet row 94. Pasted for 2021 onward</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79" dT="2024-06-27T14:35:02.92" personId="{2C68A5A1-706F-4A3E-93A3-741BBABEC4EA}" id="{7727E27A-5B75-4F93-BBAF-2B2028A6DBD6}" parentId="{903D683D-E956-41A0-87A0-4A0ACF2A3EC0}">
    <text>June 2024 Econ projections Fiscal Year sheet row 98. Pasted for 2021 onward</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0" dT="2024-06-27T14:36:46.17" personId="{2C68A5A1-706F-4A3E-93A3-741BBABEC4EA}" id="{742D0AD1-132D-49B8-ACB8-D7A00789C5CC}" parentId="{3EBCE0D2-6A48-4CE9-BC8C-5855F5261D1F}">
    <text>June 2024 CBO Economic Projections, Fiscal Year Table, row 118 pasted from 2021 onward</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81" dT="2024-06-27T14:37:42.80" personId="{2C68A5A1-706F-4A3E-93A3-741BBABEC4EA}" id="{BDF2F21B-F60E-4F9C-A5EF-0E83248D90F2}" parentId="{48184811-5BD0-438A-8E38-4FDE0C8DFA8F}">
    <text>June 2024 CBO Economic Projections Fiscal Year Table, row 112 from 2021 onward</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2" dT="2024-06-27T14:40:11.35" personId="{2C68A5A1-706F-4A3E-93A3-741BBABEC4EA}" id="{A345901C-E565-4819-91C3-A4DED1F11875}" parentId="{D2748782-D0E6-49AC-8A19-1F2FBF9255CC}">
    <text>Ju 2024 economic projections quarterly table row 98 pasted from 2021 Q1 onward</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3" dT="2024-06-27T14:41:16.43" personId="{2C68A5A1-706F-4A3E-93A3-741BBABEC4EA}" id="{6425957B-D42C-489A-A538-4AA95EC109FD}" parentId="{A46F7C4F-6912-4219-A6BF-9B291D29572E}">
    <text>June 2024 CBO Economic Projections Quarterly table row 100 from 2021 Q1 onward</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4"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D105"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cols>
    <col min="2" max="2" width="34.1796875" customWidth="1"/>
    <col min="17" max="17" width="38.453125" customWidth="1"/>
  </cols>
  <sheetData>
    <row r="10" spans="2:17">
      <c r="B10" s="1249" t="s">
        <v>0</v>
      </c>
      <c r="C10" s="1250"/>
      <c r="D10" s="1250"/>
      <c r="E10" s="1250"/>
      <c r="F10" s="1250"/>
      <c r="G10" s="1250"/>
      <c r="H10" s="1250"/>
      <c r="I10" s="1250"/>
      <c r="J10" s="1250"/>
      <c r="K10" s="1250"/>
      <c r="L10" s="1250"/>
      <c r="M10" s="1250"/>
      <c r="N10" s="1250"/>
      <c r="O10" s="1250"/>
      <c r="P10" s="1250"/>
      <c r="Q10" s="1251"/>
    </row>
    <row r="11" spans="2:17">
      <c r="B11" s="1252"/>
      <c r="C11" s="1253"/>
      <c r="D11" s="1253"/>
      <c r="E11" s="1253"/>
      <c r="F11" s="1253"/>
      <c r="G11" s="1253"/>
      <c r="H11" s="1253"/>
      <c r="I11" s="1253"/>
      <c r="J11" s="1253"/>
      <c r="K11" s="1253"/>
      <c r="L11" s="1253"/>
      <c r="M11" s="1253"/>
      <c r="N11" s="1253"/>
      <c r="O11" s="1253"/>
      <c r="P11" s="1253"/>
      <c r="Q11" s="1254"/>
    </row>
    <row r="12" spans="2:17">
      <c r="B12" s="2" t="s">
        <v>1</v>
      </c>
      <c r="C12" s="11"/>
      <c r="D12" s="11"/>
      <c r="E12" s="11"/>
      <c r="F12" s="11"/>
      <c r="G12" s="11"/>
      <c r="H12" s="11"/>
      <c r="I12" s="11"/>
      <c r="J12" s="11"/>
      <c r="K12" s="11"/>
      <c r="L12" s="11"/>
      <c r="M12" s="11"/>
      <c r="N12" s="11"/>
      <c r="O12" s="11"/>
      <c r="P12" s="11"/>
      <c r="Q12" s="9"/>
    </row>
    <row r="13" spans="2:17">
      <c r="B13" s="13" t="s">
        <v>2</v>
      </c>
      <c r="C13" s="1255" t="s">
        <v>3</v>
      </c>
      <c r="D13" s="1255"/>
      <c r="E13" s="1255"/>
      <c r="F13" s="1255"/>
      <c r="G13" s="1255"/>
      <c r="H13" s="1255"/>
      <c r="I13" s="1255"/>
      <c r="J13" s="1255"/>
      <c r="K13" s="1255"/>
      <c r="L13" s="1255"/>
      <c r="M13" s="1255"/>
      <c r="N13" s="1255"/>
      <c r="O13" s="1255"/>
      <c r="P13" s="1255"/>
      <c r="Q13" s="1256"/>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831</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832</v>
      </c>
      <c r="C18" s="10" t="s">
        <v>11</v>
      </c>
      <c r="D18" s="10"/>
      <c r="E18" s="10"/>
      <c r="F18" s="10"/>
      <c r="G18" s="10"/>
      <c r="H18" s="10"/>
      <c r="I18" s="10"/>
      <c r="J18" s="10"/>
      <c r="K18" s="10"/>
      <c r="L18" s="10"/>
      <c r="M18" s="10"/>
      <c r="N18" s="10"/>
      <c r="O18" s="10"/>
      <c r="P18" s="10"/>
      <c r="Q18" s="5"/>
    </row>
    <row r="19" spans="2:17">
      <c r="B19" s="13" t="s">
        <v>12</v>
      </c>
      <c r="C19" s="10" t="s">
        <v>833</v>
      </c>
      <c r="D19" s="10"/>
      <c r="E19" s="10"/>
      <c r="F19" s="10"/>
      <c r="G19" s="10"/>
      <c r="H19" s="10"/>
      <c r="I19" s="10"/>
      <c r="J19" s="10"/>
      <c r="K19" s="10"/>
      <c r="L19" s="10"/>
      <c r="M19" s="10"/>
      <c r="N19" s="10"/>
      <c r="O19" s="10"/>
      <c r="P19" s="10"/>
      <c r="Q19" s="5"/>
    </row>
    <row r="20" spans="2:17" ht="30.75" customHeight="1">
      <c r="B20" s="13" t="s">
        <v>13</v>
      </c>
      <c r="C20" s="1247" t="s">
        <v>14</v>
      </c>
      <c r="D20" s="1247"/>
      <c r="E20" s="1247"/>
      <c r="F20" s="1247"/>
      <c r="G20" s="1247"/>
      <c r="H20" s="1247"/>
      <c r="I20" s="1247"/>
      <c r="J20" s="1247"/>
      <c r="K20" s="1247"/>
      <c r="L20" s="1247"/>
      <c r="M20" s="1247"/>
      <c r="N20" s="1247"/>
      <c r="O20" s="1247"/>
      <c r="P20" s="1247"/>
      <c r="Q20" s="1248"/>
    </row>
    <row r="21" spans="2:17">
      <c r="B21" s="13" t="s">
        <v>15</v>
      </c>
      <c r="C21" s="10" t="s">
        <v>16</v>
      </c>
      <c r="D21" s="10"/>
      <c r="E21" s="10"/>
      <c r="F21" s="10"/>
      <c r="G21" s="10"/>
      <c r="H21" s="10"/>
      <c r="I21" s="10"/>
      <c r="J21" s="10"/>
      <c r="K21" s="10"/>
      <c r="L21" s="10"/>
      <c r="M21" s="10"/>
      <c r="N21" s="10"/>
      <c r="O21" s="10"/>
      <c r="P21" s="10"/>
      <c r="Q21" s="5"/>
    </row>
    <row r="22" spans="2:17" ht="32.25" customHeight="1">
      <c r="B22" s="1" t="s">
        <v>835</v>
      </c>
      <c r="C22" s="1247" t="s">
        <v>834</v>
      </c>
      <c r="D22" s="1247"/>
      <c r="E22" s="1247"/>
      <c r="F22" s="1247"/>
      <c r="G22" s="1247"/>
      <c r="H22" s="1247"/>
      <c r="I22" s="1247"/>
      <c r="J22" s="1247"/>
      <c r="K22" s="1247"/>
      <c r="L22" s="1247"/>
      <c r="M22" s="1247"/>
      <c r="N22" s="1247"/>
      <c r="O22" s="1247"/>
      <c r="P22" s="1247"/>
      <c r="Q22" s="1248"/>
    </row>
    <row r="23" spans="2:17" ht="31.4" customHeight="1">
      <c r="B23" s="13" t="s">
        <v>17</v>
      </c>
      <c r="C23" s="1247" t="s">
        <v>836</v>
      </c>
      <c r="D23" s="1247"/>
      <c r="E23" s="1247"/>
      <c r="F23" s="1247"/>
      <c r="G23" s="1247"/>
      <c r="H23" s="1247"/>
      <c r="I23" s="1247"/>
      <c r="J23" s="1247"/>
      <c r="K23" s="1247"/>
      <c r="L23" s="1247"/>
      <c r="M23" s="1247"/>
      <c r="N23" s="1247"/>
      <c r="O23" s="1247"/>
      <c r="P23" s="1247"/>
      <c r="Q23" s="1248"/>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837</v>
      </c>
      <c r="D27" s="10"/>
      <c r="E27" s="10"/>
      <c r="F27" s="10"/>
      <c r="G27" s="10"/>
      <c r="H27" s="10"/>
      <c r="I27" s="10"/>
      <c r="J27" s="10"/>
      <c r="K27" s="10"/>
      <c r="L27" s="10"/>
      <c r="M27" s="10"/>
      <c r="N27" s="10"/>
      <c r="O27" s="10"/>
      <c r="P27" s="10"/>
      <c r="Q27" s="5"/>
    </row>
    <row r="28" spans="2:17">
      <c r="B28" s="13" t="s">
        <v>25</v>
      </c>
      <c r="C28" s="10" t="s">
        <v>838</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46" t="s">
        <v>839</v>
      </c>
      <c r="C33" s="1247"/>
      <c r="D33" s="1247"/>
      <c r="E33" s="1247"/>
      <c r="F33" s="1247"/>
      <c r="G33" s="1247"/>
      <c r="H33" s="1247"/>
      <c r="I33" s="1247"/>
      <c r="J33" s="1247"/>
      <c r="K33" s="1247"/>
      <c r="L33" s="1247"/>
      <c r="M33" s="1247"/>
      <c r="N33" s="1247"/>
      <c r="O33" s="1247"/>
      <c r="P33" s="1247"/>
      <c r="Q33" s="1248"/>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1640625" defaultRowHeight="14.5"/>
  <cols>
    <col min="1" max="1" width="44.1796875" customWidth="1"/>
    <col min="2" max="2" width="58.81640625" customWidth="1"/>
    <col min="3" max="3" width="56.453125" customWidth="1"/>
    <col min="5" max="5" width="42.81640625" customWidth="1"/>
    <col min="6" max="6" width="21.453125" customWidth="1"/>
  </cols>
  <sheetData>
    <row r="1" spans="1:7" ht="47.9" customHeight="1">
      <c r="A1" s="25" t="s">
        <v>33</v>
      </c>
      <c r="B1" s="26" t="s">
        <v>34</v>
      </c>
      <c r="C1" s="26" t="s">
        <v>35</v>
      </c>
      <c r="D1" s="27" t="s">
        <v>36</v>
      </c>
      <c r="E1" s="16"/>
      <c r="F1" s="16"/>
    </row>
    <row r="2" spans="1:7" ht="16.5" customHeight="1">
      <c r="A2" s="1259" t="s">
        <v>37</v>
      </c>
      <c r="B2" s="1260"/>
      <c r="C2" s="1260"/>
      <c r="D2" s="1261"/>
      <c r="E2" s="16"/>
      <c r="F2" s="16"/>
    </row>
    <row r="3" spans="1:7" ht="148.4" customHeight="1">
      <c r="A3" s="19" t="s">
        <v>852</v>
      </c>
      <c r="B3" s="14" t="s">
        <v>1749</v>
      </c>
      <c r="C3" s="14" t="s">
        <v>850</v>
      </c>
      <c r="D3" s="23" t="s">
        <v>922</v>
      </c>
    </row>
    <row r="4" spans="1:7" ht="85.5" customHeight="1">
      <c r="A4" s="19" t="s">
        <v>1826</v>
      </c>
      <c r="B4" s="14" t="s">
        <v>1827</v>
      </c>
      <c r="C4" s="14" t="s">
        <v>921</v>
      </c>
      <c r="D4" s="23" t="s">
        <v>922</v>
      </c>
      <c r="E4" s="14"/>
      <c r="F4" s="14"/>
    </row>
    <row r="5" spans="1:7" ht="168" customHeight="1">
      <c r="A5" s="19" t="s">
        <v>840</v>
      </c>
      <c r="B5" s="14" t="s">
        <v>841</v>
      </c>
      <c r="C5" s="14" t="s">
        <v>863</v>
      </c>
      <c r="D5" s="23" t="s">
        <v>922</v>
      </c>
      <c r="E5" s="14"/>
      <c r="F5" s="14"/>
    </row>
    <row r="6" spans="1:7" ht="105" customHeight="1">
      <c r="A6" s="19" t="s">
        <v>842</v>
      </c>
      <c r="B6" s="14" t="s">
        <v>38</v>
      </c>
      <c r="C6" s="14" t="s">
        <v>39</v>
      </c>
      <c r="D6" s="23" t="s">
        <v>922</v>
      </c>
      <c r="E6" s="14"/>
      <c r="F6" s="14"/>
    </row>
    <row r="7" spans="1:7" ht="61.5" customHeight="1">
      <c r="A7" s="19" t="s">
        <v>1829</v>
      </c>
      <c r="B7" s="14" t="s">
        <v>1830</v>
      </c>
      <c r="C7" s="14" t="s">
        <v>1834</v>
      </c>
      <c r="D7" s="23" t="s">
        <v>922</v>
      </c>
      <c r="E7" s="14"/>
      <c r="F7" s="14"/>
    </row>
    <row r="8" spans="1:7" ht="100.4" customHeight="1">
      <c r="A8" s="19" t="s">
        <v>42</v>
      </c>
      <c r="B8" s="14" t="s">
        <v>43</v>
      </c>
      <c r="C8" s="28" t="s">
        <v>44</v>
      </c>
      <c r="D8" s="23" t="s">
        <v>922</v>
      </c>
      <c r="E8" s="17"/>
      <c r="F8" s="14"/>
      <c r="G8" s="29"/>
    </row>
    <row r="9" spans="1:7" ht="78" customHeight="1">
      <c r="A9" s="19" t="s">
        <v>45</v>
      </c>
      <c r="B9" s="14" t="s">
        <v>46</v>
      </c>
      <c r="C9" s="14" t="s">
        <v>869</v>
      </c>
      <c r="D9" s="23" t="s">
        <v>922</v>
      </c>
      <c r="E9" s="14"/>
      <c r="F9" s="14"/>
    </row>
    <row r="10" spans="1:7" ht="67.5" customHeight="1">
      <c r="A10" s="19" t="s">
        <v>816</v>
      </c>
      <c r="B10" s="14" t="s">
        <v>826</v>
      </c>
      <c r="C10" s="14" t="s">
        <v>883</v>
      </c>
      <c r="D10" s="23" t="s">
        <v>922</v>
      </c>
      <c r="E10" s="14"/>
      <c r="F10" s="14"/>
    </row>
    <row r="11" spans="1:7" ht="63.65" customHeight="1">
      <c r="A11" s="19" t="s">
        <v>47</v>
      </c>
      <c r="B11" s="14" t="s">
        <v>48</v>
      </c>
      <c r="C11" s="14" t="s">
        <v>843</v>
      </c>
      <c r="D11" s="15"/>
      <c r="E11" s="14"/>
      <c r="F11" s="14"/>
    </row>
    <row r="12" spans="1:7" ht="15" customHeight="1">
      <c r="A12" s="1259" t="s">
        <v>844</v>
      </c>
      <c r="B12" s="1260"/>
      <c r="C12" s="1260"/>
      <c r="D12" s="1261"/>
      <c r="E12" s="16"/>
      <c r="F12" s="14"/>
    </row>
    <row r="13" spans="1:7" ht="29.9" customHeight="1">
      <c r="A13" s="20" t="s">
        <v>9</v>
      </c>
      <c r="B13" s="1265" t="s">
        <v>846</v>
      </c>
      <c r="C13" s="1265"/>
      <c r="D13" s="24"/>
      <c r="E13" s="16"/>
      <c r="F13" s="14"/>
    </row>
    <row r="14" spans="1:7" ht="48.65" customHeight="1">
      <c r="A14" s="18" t="s">
        <v>845</v>
      </c>
      <c r="B14" s="1265" t="s">
        <v>856</v>
      </c>
      <c r="C14" s="1265"/>
      <c r="D14" s="23"/>
      <c r="E14" s="16"/>
      <c r="F14" s="14"/>
    </row>
    <row r="15" spans="1:7" ht="48.65" customHeight="1">
      <c r="A15" s="18" t="s">
        <v>847</v>
      </c>
      <c r="B15" s="1265" t="s">
        <v>848</v>
      </c>
      <c r="C15" s="1265"/>
      <c r="D15" s="15"/>
      <c r="E15" s="16"/>
      <c r="F15" s="14"/>
    </row>
    <row r="16" spans="1:7">
      <c r="A16" s="1262" t="s">
        <v>59</v>
      </c>
      <c r="B16" s="1263"/>
      <c r="C16" s="1263"/>
      <c r="D16" s="1264"/>
      <c r="E16" s="14"/>
      <c r="F16" s="14"/>
    </row>
    <row r="17" spans="1:6" ht="36.65" customHeight="1">
      <c r="A17" s="1257" t="s">
        <v>849</v>
      </c>
      <c r="B17" s="1258"/>
      <c r="C17" s="1258"/>
      <c r="D17" s="24"/>
      <c r="E17" s="14"/>
      <c r="F17" s="14"/>
    </row>
    <row r="18" spans="1:6" ht="145.5" customHeight="1">
      <c r="A18" s="19" t="s">
        <v>60</v>
      </c>
      <c r="B18" s="14" t="s">
        <v>870</v>
      </c>
      <c r="C18" s="14" t="s">
        <v>877</v>
      </c>
      <c r="D18" s="23"/>
      <c r="E18" s="14"/>
      <c r="F18" s="14"/>
    </row>
    <row r="19" spans="1:6" ht="63.65" customHeight="1">
      <c r="A19" s="19" t="s">
        <v>61</v>
      </c>
      <c r="B19" s="14" t="s">
        <v>871</v>
      </c>
      <c r="C19" s="14" t="s">
        <v>872</v>
      </c>
      <c r="D19" s="23"/>
      <c r="E19" s="14"/>
      <c r="F19" s="14"/>
    </row>
    <row r="20" spans="1:6" ht="63.65" customHeight="1">
      <c r="A20" s="19" t="s">
        <v>873</v>
      </c>
      <c r="B20" s="14" t="s">
        <v>874</v>
      </c>
      <c r="C20" s="14" t="s">
        <v>875</v>
      </c>
      <c r="D20" s="23"/>
      <c r="E20" s="14"/>
      <c r="F20" s="14"/>
    </row>
    <row r="21" spans="1:6" ht="34.4" customHeight="1">
      <c r="A21" s="1257" t="s">
        <v>823</v>
      </c>
      <c r="B21" s="1258"/>
      <c r="C21" s="1258"/>
      <c r="D21" s="15"/>
      <c r="E21" s="14"/>
      <c r="F21" s="14"/>
    </row>
    <row r="22" spans="1:6">
      <c r="A22" s="1262" t="s">
        <v>62</v>
      </c>
      <c r="B22" s="1263"/>
      <c r="C22" s="1263"/>
      <c r="D22" s="1264"/>
      <c r="E22" s="14"/>
      <c r="F22" s="14"/>
    </row>
    <row r="23" spans="1:6" ht="29.15" customHeight="1">
      <c r="A23" s="19" t="s">
        <v>63</v>
      </c>
      <c r="B23" s="14"/>
      <c r="C23" s="14" t="s">
        <v>64</v>
      </c>
      <c r="D23" s="24"/>
      <c r="E23" s="14"/>
      <c r="F23" s="14"/>
    </row>
    <row r="24" spans="1:6" ht="57.65" customHeight="1">
      <c r="A24" s="19" t="s">
        <v>65</v>
      </c>
      <c r="B24" s="14" t="s">
        <v>66</v>
      </c>
      <c r="C24" s="14" t="s">
        <v>67</v>
      </c>
      <c r="D24" s="23"/>
      <c r="E24" s="14"/>
      <c r="F24" s="14"/>
    </row>
    <row r="25" spans="1:6" ht="29.15" customHeight="1">
      <c r="A25" s="19" t="s">
        <v>68</v>
      </c>
      <c r="B25" s="14" t="s">
        <v>69</v>
      </c>
      <c r="C25" s="14" t="s">
        <v>862</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1640625" defaultRowHeight="14.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c r="A1" s="25" t="s">
        <v>33</v>
      </c>
      <c r="B1" s="26" t="s">
        <v>34</v>
      </c>
      <c r="C1" s="26" t="s">
        <v>35</v>
      </c>
      <c r="D1" s="27" t="s">
        <v>36</v>
      </c>
      <c r="E1" s="30"/>
      <c r="F1" s="30"/>
    </row>
    <row r="2" spans="1:6" ht="16.5" customHeight="1">
      <c r="A2" s="1259" t="s">
        <v>37</v>
      </c>
      <c r="B2" s="1260"/>
      <c r="C2" s="1260"/>
      <c r="D2" s="1261"/>
      <c r="E2" s="30"/>
      <c r="F2" s="30"/>
    </row>
    <row r="3" spans="1:6" ht="148.4" customHeight="1">
      <c r="A3" s="19" t="s">
        <v>852</v>
      </c>
      <c r="B3" s="14" t="s">
        <v>851</v>
      </c>
      <c r="C3" s="14" t="s">
        <v>850</v>
      </c>
      <c r="D3" s="23" t="s">
        <v>1924</v>
      </c>
    </row>
    <row r="4" spans="1:6" ht="148.4" customHeight="1">
      <c r="A4" s="19" t="s">
        <v>79</v>
      </c>
      <c r="B4" s="14" t="s">
        <v>40</v>
      </c>
      <c r="C4" s="14" t="s">
        <v>906</v>
      </c>
      <c r="D4" s="23" t="s">
        <v>1924</v>
      </c>
      <c r="E4" s="14"/>
      <c r="F4" s="14"/>
    </row>
    <row r="5" spans="1:6" ht="61.5" customHeight="1">
      <c r="A5" s="19" t="s">
        <v>73</v>
      </c>
      <c r="B5" s="14" t="s">
        <v>74</v>
      </c>
      <c r="C5" s="32" t="s">
        <v>44</v>
      </c>
      <c r="D5" s="23" t="s">
        <v>919</v>
      </c>
    </row>
    <row r="6" spans="1:6" ht="78" customHeight="1">
      <c r="A6" s="19" t="s">
        <v>45</v>
      </c>
      <c r="B6" s="14" t="s">
        <v>46</v>
      </c>
      <c r="C6" s="14" t="s">
        <v>869</v>
      </c>
      <c r="D6" s="23" t="s">
        <v>1925</v>
      </c>
      <c r="E6" s="14"/>
      <c r="F6" s="14"/>
    </row>
    <row r="7" spans="1:6" ht="50.9" customHeight="1">
      <c r="A7" s="19" t="s">
        <v>816</v>
      </c>
      <c r="B7" s="14" t="s">
        <v>826</v>
      </c>
      <c r="C7" s="14" t="s">
        <v>1435</v>
      </c>
      <c r="D7" s="23" t="s">
        <v>919</v>
      </c>
      <c r="E7" s="16"/>
      <c r="F7" s="14"/>
    </row>
    <row r="8" spans="1:6" ht="78.650000000000006" customHeight="1">
      <c r="A8" s="19" t="s">
        <v>75</v>
      </c>
      <c r="B8" s="14" t="s">
        <v>76</v>
      </c>
      <c r="C8" s="14" t="s">
        <v>77</v>
      </c>
      <c r="D8" s="23" t="s">
        <v>919</v>
      </c>
      <c r="E8" s="16"/>
      <c r="F8" s="14"/>
    </row>
    <row r="9" spans="1:6" ht="96.65" customHeight="1">
      <c r="A9" s="19" t="s">
        <v>47</v>
      </c>
      <c r="B9" s="14" t="s">
        <v>48</v>
      </c>
      <c r="C9" s="14" t="s">
        <v>843</v>
      </c>
      <c r="D9" s="23" t="s">
        <v>919</v>
      </c>
      <c r="E9" s="16"/>
      <c r="F9" s="14"/>
    </row>
    <row r="10" spans="1:6" ht="22.5" customHeight="1">
      <c r="A10" s="1259" t="s">
        <v>844</v>
      </c>
      <c r="B10" s="1260"/>
      <c r="C10" s="1260"/>
      <c r="D10" s="1261"/>
      <c r="E10" s="16"/>
      <c r="F10" s="14"/>
    </row>
    <row r="11" spans="1:6" ht="22.5" customHeight="1">
      <c r="A11" s="20" t="s">
        <v>75</v>
      </c>
      <c r="B11" s="1272" t="s">
        <v>854</v>
      </c>
      <c r="C11" s="1273"/>
      <c r="D11" s="31"/>
      <c r="E11" s="16"/>
      <c r="F11" s="14"/>
    </row>
    <row r="12" spans="1:6" ht="33" customHeight="1">
      <c r="A12" s="20" t="s">
        <v>853</v>
      </c>
      <c r="B12" s="1265" t="s">
        <v>855</v>
      </c>
      <c r="C12" s="1265"/>
      <c r="D12" s="23"/>
      <c r="E12" s="14"/>
      <c r="F12" s="14"/>
    </row>
    <row r="13" spans="1:6" ht="39.65" customHeight="1">
      <c r="A13" s="18" t="s">
        <v>845</v>
      </c>
      <c r="B13" s="1265" t="s">
        <v>856</v>
      </c>
      <c r="C13" s="1265"/>
      <c r="D13" s="23"/>
    </row>
    <row r="14" spans="1:6" ht="38.9" customHeight="1">
      <c r="A14" s="18" t="s">
        <v>847</v>
      </c>
      <c r="B14" s="1265" t="s">
        <v>848</v>
      </c>
      <c r="C14" s="1265"/>
      <c r="D14" s="23"/>
    </row>
    <row r="15" spans="1:6" ht="20.149999999999999" customHeight="1">
      <c r="A15" s="1262" t="s">
        <v>59</v>
      </c>
      <c r="B15" s="1263"/>
      <c r="C15" s="1263"/>
      <c r="D15" s="1264"/>
    </row>
    <row r="16" spans="1:6" ht="24.65" customHeight="1">
      <c r="A16" s="1266" t="s">
        <v>824</v>
      </c>
      <c r="B16" s="1267"/>
      <c r="C16" s="1268"/>
      <c r="D16" s="23"/>
    </row>
    <row r="17" spans="1:7" ht="101.9" customHeight="1">
      <c r="A17" s="18" t="s">
        <v>60</v>
      </c>
      <c r="B17" s="33" t="s">
        <v>870</v>
      </c>
      <c r="C17" s="33" t="s">
        <v>877</v>
      </c>
      <c r="D17" s="34"/>
      <c r="E17" s="33"/>
      <c r="F17" s="33"/>
      <c r="G17" s="33"/>
    </row>
    <row r="18" spans="1:7" ht="101.15" customHeight="1">
      <c r="A18" s="18" t="s">
        <v>61</v>
      </c>
      <c r="B18" s="33" t="s">
        <v>871</v>
      </c>
      <c r="C18" s="33" t="s">
        <v>872</v>
      </c>
      <c r="D18" s="34"/>
      <c r="E18" s="33"/>
      <c r="F18" s="33"/>
      <c r="G18" s="33"/>
    </row>
    <row r="19" spans="1:7" ht="57.65" customHeight="1">
      <c r="A19" s="18" t="s">
        <v>873</v>
      </c>
      <c r="B19" s="33" t="s">
        <v>874</v>
      </c>
      <c r="C19" s="33" t="s">
        <v>875</v>
      </c>
      <c r="D19" s="34"/>
      <c r="E19" s="33"/>
      <c r="F19" s="33"/>
      <c r="G19" s="33"/>
    </row>
    <row r="20" spans="1:7" ht="37.5" customHeight="1">
      <c r="A20" s="1269" t="s">
        <v>823</v>
      </c>
      <c r="B20" s="1270"/>
      <c r="C20" s="1271"/>
      <c r="D20" s="23"/>
    </row>
    <row r="21" spans="1:7">
      <c r="A21" s="1262" t="s">
        <v>62</v>
      </c>
      <c r="B21" s="1263"/>
      <c r="C21" s="1263"/>
      <c r="D21" s="1264"/>
    </row>
    <row r="22" spans="1:7" ht="29.15" customHeight="1">
      <c r="A22" s="19" t="s">
        <v>63</v>
      </c>
      <c r="B22" s="14" t="s">
        <v>78</v>
      </c>
      <c r="C22" s="14" t="s">
        <v>64</v>
      </c>
      <c r="D22" s="23"/>
    </row>
    <row r="23" spans="1:7" ht="72" customHeight="1">
      <c r="A23" s="19" t="s">
        <v>65</v>
      </c>
      <c r="B23" s="14" t="s">
        <v>66</v>
      </c>
      <c r="C23" s="14" t="s">
        <v>67</v>
      </c>
      <c r="D23" s="23"/>
    </row>
    <row r="24" spans="1:7" ht="29.15" customHeight="1">
      <c r="A24" s="19" t="s">
        <v>68</v>
      </c>
      <c r="B24" s="14" t="s">
        <v>69</v>
      </c>
      <c r="C24" s="14" t="s">
        <v>862</v>
      </c>
      <c r="D24" s="23"/>
    </row>
    <row r="25" spans="1:7" ht="101.15"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I9" sqref="I9"/>
    </sheetView>
  </sheetViews>
  <sheetFormatPr defaultColWidth="10.81640625" defaultRowHeight="14.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c r="A1" s="46" t="s">
        <v>85</v>
      </c>
      <c r="B1" s="46" t="s">
        <v>86</v>
      </c>
      <c r="C1" s="46" t="s">
        <v>87</v>
      </c>
      <c r="D1" s="46" t="s">
        <v>88</v>
      </c>
      <c r="E1" s="46" t="s">
        <v>89</v>
      </c>
      <c r="F1" s="46" t="s">
        <v>90</v>
      </c>
    </row>
    <row r="2" spans="1:11">
      <c r="C2" s="42" t="str">
        <f>'Haver Pivoted'!A1</f>
        <v>name</v>
      </c>
      <c r="D2" s="47" t="s">
        <v>1944</v>
      </c>
      <c r="E2" s="47" t="s">
        <v>1945</v>
      </c>
      <c r="F2" s="47"/>
      <c r="H2" s="48"/>
    </row>
    <row r="3" spans="1:11">
      <c r="B3" s="42" t="s">
        <v>91</v>
      </c>
      <c r="C3" s="42" t="str">
        <f>'Haver Pivoted'!A2</f>
        <v>gdp</v>
      </c>
      <c r="D3">
        <v>27610.1</v>
      </c>
      <c r="E3" s="42">
        <f>'Haver Pivoted'!HH2</f>
        <v>27610.1</v>
      </c>
      <c r="F3" s="42">
        <f>E3-D3</f>
        <v>0</v>
      </c>
      <c r="G3" s="49">
        <f>F3/D3</f>
        <v>0</v>
      </c>
      <c r="H3" s="50"/>
    </row>
    <row r="4" spans="1:11">
      <c r="B4" s="42" t="s">
        <v>92</v>
      </c>
      <c r="C4" s="42" t="str">
        <f>'Haver Pivoted'!A3</f>
        <v>gdph</v>
      </c>
      <c r="D4">
        <v>22490.7</v>
      </c>
      <c r="E4" s="42">
        <f>'Haver Pivoted'!HH3</f>
        <v>22490.7</v>
      </c>
      <c r="F4" s="42">
        <f t="shared" ref="F4:F67" si="0">E4-D4</f>
        <v>0</v>
      </c>
      <c r="G4" s="49">
        <f t="shared" ref="G4:G67" si="1">F4/D4</f>
        <v>0</v>
      </c>
      <c r="H4" s="50"/>
    </row>
    <row r="5" spans="1:11">
      <c r="B5" s="42" t="s">
        <v>93</v>
      </c>
      <c r="C5" s="42" t="str">
        <f>'Haver Pivoted'!A4</f>
        <v>jgdp</v>
      </c>
      <c r="D5">
        <v>122.792</v>
      </c>
      <c r="E5" s="42">
        <f>'Haver Pivoted'!HH4</f>
        <v>122.792</v>
      </c>
      <c r="F5" s="42">
        <f t="shared" si="0"/>
        <v>0</v>
      </c>
      <c r="G5" s="49">
        <f t="shared" si="1"/>
        <v>0</v>
      </c>
      <c r="H5" s="51"/>
    </row>
    <row r="6" spans="1:11">
      <c r="B6" s="42" t="s">
        <v>94</v>
      </c>
      <c r="C6" s="42" t="str">
        <f>'Haver Pivoted'!A5</f>
        <v>c</v>
      </c>
      <c r="D6">
        <v>18679.5</v>
      </c>
      <c r="E6" s="42">
        <f>'Haver Pivoted'!HH5</f>
        <v>18679.5</v>
      </c>
      <c r="F6" s="42">
        <f t="shared" si="0"/>
        <v>0</v>
      </c>
      <c r="G6" s="49">
        <f t="shared" si="1"/>
        <v>0</v>
      </c>
    </row>
    <row r="7" spans="1:11">
      <c r="B7" s="42" t="s">
        <v>95</v>
      </c>
      <c r="C7" s="42" t="str">
        <f>'Haver Pivoted'!A6</f>
        <v>ch</v>
      </c>
      <c r="D7">
        <v>15461.4</v>
      </c>
      <c r="E7" s="42">
        <f>'Haver Pivoted'!HH6</f>
        <v>15461.4</v>
      </c>
      <c r="F7" s="42">
        <f t="shared" si="0"/>
        <v>0</v>
      </c>
      <c r="G7" s="49">
        <f t="shared" si="1"/>
        <v>0</v>
      </c>
      <c r="K7" s="51"/>
    </row>
    <row r="8" spans="1:11">
      <c r="B8" s="42" t="s">
        <v>96</v>
      </c>
      <c r="C8" s="42" t="str">
        <f>'Haver Pivoted'!A7</f>
        <v>jc</v>
      </c>
      <c r="D8">
        <v>120.81399999999999</v>
      </c>
      <c r="E8" s="42">
        <f>'Haver Pivoted'!HH7</f>
        <v>120.81399999999999</v>
      </c>
      <c r="F8" s="42">
        <f t="shared" si="0"/>
        <v>0</v>
      </c>
      <c r="G8" s="49">
        <f t="shared" si="1"/>
        <v>0</v>
      </c>
    </row>
    <row r="9" spans="1:11">
      <c r="B9" s="42" t="s">
        <v>97</v>
      </c>
      <c r="C9" s="42" t="str">
        <f>'Haver Pivoted'!A8</f>
        <v>jgf</v>
      </c>
      <c r="D9">
        <v>120.09699999999999</v>
      </c>
      <c r="E9" s="42">
        <f>'Haver Pivoted'!HH8</f>
        <v>120.09699999999999</v>
      </c>
      <c r="F9" s="42">
        <f t="shared" si="0"/>
        <v>0</v>
      </c>
      <c r="G9" s="49">
        <f t="shared" si="1"/>
        <v>0</v>
      </c>
    </row>
    <row r="10" spans="1:11">
      <c r="B10" s="42" t="s">
        <v>98</v>
      </c>
      <c r="C10" s="42" t="str">
        <f>'Haver Pivoted'!A9</f>
        <v>jgs</v>
      </c>
      <c r="D10">
        <v>127.717</v>
      </c>
      <c r="E10" s="42">
        <f>'Haver Pivoted'!HH9</f>
        <v>127.717</v>
      </c>
      <c r="F10" s="42">
        <f t="shared" si="0"/>
        <v>0</v>
      </c>
      <c r="G10" s="49">
        <f t="shared" si="1"/>
        <v>0</v>
      </c>
    </row>
    <row r="11" spans="1:11">
      <c r="B11" s="42" t="s">
        <v>99</v>
      </c>
      <c r="C11" s="42" t="str">
        <f>'Haver Pivoted'!A10</f>
        <v>jgse</v>
      </c>
      <c r="D11">
        <v>127.176</v>
      </c>
      <c r="E11" s="42">
        <f>'Haver Pivoted'!HH10</f>
        <v>127.176</v>
      </c>
      <c r="F11" s="42">
        <f t="shared" si="0"/>
        <v>0</v>
      </c>
      <c r="G11" s="49">
        <f t="shared" si="1"/>
        <v>0</v>
      </c>
    </row>
    <row r="12" spans="1:11">
      <c r="B12" s="42" t="s">
        <v>100</v>
      </c>
      <c r="C12" s="42" t="str">
        <f>'Haver Pivoted'!A11</f>
        <v>jgsi</v>
      </c>
      <c r="D12">
        <v>130.56700000000001</v>
      </c>
      <c r="E12" s="42">
        <f>'Haver Pivoted'!HH11</f>
        <v>130.56700000000001</v>
      </c>
      <c r="F12" s="42">
        <f t="shared" si="0"/>
        <v>0</v>
      </c>
      <c r="G12" s="49">
        <f t="shared" si="1"/>
        <v>0</v>
      </c>
    </row>
    <row r="13" spans="1:11">
      <c r="A13" s="42" t="s">
        <v>55</v>
      </c>
      <c r="B13" s="42" t="s">
        <v>55</v>
      </c>
      <c r="C13" s="42" t="str">
        <f>'Haver Pivoted'!A12</f>
        <v>yptmr</v>
      </c>
      <c r="D13">
        <v>946.3</v>
      </c>
      <c r="E13" s="42">
        <f>'Haver Pivoted'!HH12</f>
        <v>946.3</v>
      </c>
      <c r="F13" s="42">
        <f t="shared" si="0"/>
        <v>0</v>
      </c>
      <c r="G13" s="49">
        <f t="shared" si="1"/>
        <v>0</v>
      </c>
      <c r="I13" s="52"/>
    </row>
    <row r="14" spans="1:11">
      <c r="A14" s="42" t="s">
        <v>54</v>
      </c>
      <c r="B14" s="42" t="s">
        <v>101</v>
      </c>
      <c r="C14" s="42" t="str">
        <f>'Haver Pivoted'!A13</f>
        <v>yptmd</v>
      </c>
      <c r="D14">
        <v>880.6</v>
      </c>
      <c r="E14" s="42">
        <f>'Haver Pivoted'!HH13</f>
        <v>880.6</v>
      </c>
      <c r="F14" s="42">
        <f t="shared" si="0"/>
        <v>0</v>
      </c>
      <c r="G14" s="49">
        <f t="shared" si="1"/>
        <v>0</v>
      </c>
    </row>
    <row r="15" spans="1:11">
      <c r="A15" s="42" t="s">
        <v>53</v>
      </c>
      <c r="B15" s="42" t="s">
        <v>102</v>
      </c>
      <c r="C15" s="42" t="str">
        <f>'Haver Pivoted'!A14</f>
        <v>yptu</v>
      </c>
      <c r="D15">
        <v>21</v>
      </c>
      <c r="E15" s="42">
        <f>'Haver Pivoted'!HH14</f>
        <v>21</v>
      </c>
      <c r="F15" s="42">
        <f t="shared" si="0"/>
        <v>0</v>
      </c>
      <c r="G15" s="49">
        <f t="shared" si="1"/>
        <v>0</v>
      </c>
    </row>
    <row r="16" spans="1:11">
      <c r="B16" s="42" t="s">
        <v>57</v>
      </c>
      <c r="C16" s="42" t="str">
        <f>'Haver Pivoted'!A15</f>
        <v>gtfp</v>
      </c>
      <c r="D16">
        <v>3987.8</v>
      </c>
      <c r="E16" s="42">
        <f>'Haver Pivoted'!HH15</f>
        <v>3987.8</v>
      </c>
      <c r="F16" s="42">
        <f t="shared" si="0"/>
        <v>0</v>
      </c>
      <c r="G16" s="49">
        <f t="shared" si="1"/>
        <v>0</v>
      </c>
    </row>
    <row r="17" spans="1:7">
      <c r="B17" s="42" t="s">
        <v>103</v>
      </c>
      <c r="C17" s="42" t="str">
        <f>'Haver Pivoted'!A16</f>
        <v>ypog</v>
      </c>
      <c r="D17">
        <v>131.19999999999999</v>
      </c>
      <c r="E17" s="42">
        <f>'Haver Pivoted'!HH16</f>
        <v>131.19999999999999</v>
      </c>
      <c r="F17" s="42">
        <f t="shared" si="0"/>
        <v>0</v>
      </c>
      <c r="G17" s="49">
        <f t="shared" si="1"/>
        <v>0</v>
      </c>
    </row>
    <row r="18" spans="1:7">
      <c r="B18" s="42" t="s">
        <v>104</v>
      </c>
      <c r="C18" s="42" t="str">
        <f>'Haver Pivoted'!A17</f>
        <v>yptx</v>
      </c>
      <c r="D18">
        <v>2765.3</v>
      </c>
      <c r="E18" s="42">
        <f>'Haver Pivoted'!HH17</f>
        <v>2765.3</v>
      </c>
      <c r="F18" s="42">
        <f t="shared" si="0"/>
        <v>0</v>
      </c>
      <c r="G18" s="49">
        <f t="shared" si="1"/>
        <v>0</v>
      </c>
    </row>
    <row r="19" spans="1:7">
      <c r="B19" s="42" t="s">
        <v>105</v>
      </c>
      <c r="C19" s="42" t="str">
        <f>'Haver Pivoted'!A18</f>
        <v>ytpi</v>
      </c>
      <c r="D19">
        <v>1830.7</v>
      </c>
      <c r="E19" s="42">
        <f>'Haver Pivoted'!HH18</f>
        <v>1830.7</v>
      </c>
      <c r="F19" s="42">
        <f t="shared" si="0"/>
        <v>0</v>
      </c>
      <c r="G19" s="49">
        <f t="shared" si="1"/>
        <v>0</v>
      </c>
    </row>
    <row r="20" spans="1:7">
      <c r="B20" s="42" t="s">
        <v>106</v>
      </c>
      <c r="C20" s="42" t="str">
        <f>'Haver Pivoted'!A19</f>
        <v>yctlg</v>
      </c>
      <c r="D20">
        <v>566.70000000000005</v>
      </c>
      <c r="E20" s="42">
        <f>'Haver Pivoted'!HH19</f>
        <v>566.70000000000005</v>
      </c>
      <c r="F20" s="42">
        <f t="shared" si="0"/>
        <v>0</v>
      </c>
      <c r="G20" s="49">
        <f t="shared" si="1"/>
        <v>0</v>
      </c>
    </row>
    <row r="21" spans="1:7">
      <c r="B21" s="42" t="s">
        <v>107</v>
      </c>
      <c r="C21" s="42" t="str">
        <f>'Haver Pivoted'!A20</f>
        <v>g</v>
      </c>
      <c r="D21">
        <v>4794.8</v>
      </c>
      <c r="E21" s="42">
        <f>'Haver Pivoted'!HH20</f>
        <v>4794.8</v>
      </c>
      <c r="F21" s="42">
        <f t="shared" si="0"/>
        <v>0</v>
      </c>
      <c r="G21" s="49">
        <f t="shared" si="1"/>
        <v>0</v>
      </c>
    </row>
    <row r="22" spans="1:7">
      <c r="B22" s="42" t="s">
        <v>108</v>
      </c>
      <c r="C22" s="42" t="str">
        <f>'Haver Pivoted'!A21</f>
        <v>grcsi</v>
      </c>
      <c r="D22">
        <v>1823.3</v>
      </c>
      <c r="E22" s="42">
        <f>'Haver Pivoted'!HH21</f>
        <v>1823.3</v>
      </c>
      <c r="F22" s="42">
        <f t="shared" si="0"/>
        <v>0</v>
      </c>
      <c r="G22" s="49">
        <f t="shared" si="1"/>
        <v>0</v>
      </c>
    </row>
    <row r="23" spans="1:7">
      <c r="B23" s="42" t="s">
        <v>96</v>
      </c>
      <c r="C23" s="42" t="str">
        <f>'Haver Pivoted'!A22</f>
        <v>dc</v>
      </c>
      <c r="D23">
        <v>120.81399999999999</v>
      </c>
      <c r="E23" s="42">
        <f>'Haver Pivoted'!HH22</f>
        <v>120.81399999999999</v>
      </c>
      <c r="F23" s="42">
        <f t="shared" si="0"/>
        <v>0</v>
      </c>
      <c r="G23" s="49">
        <f t="shared" si="1"/>
        <v>0</v>
      </c>
    </row>
    <row r="24" spans="1:7">
      <c r="A24" s="42" t="s">
        <v>109</v>
      </c>
      <c r="B24" s="42" t="s">
        <v>110</v>
      </c>
      <c r="C24" s="42" t="str">
        <f>'Haver Pivoted'!A23</f>
        <v>gf</v>
      </c>
      <c r="D24">
        <v>1791.9</v>
      </c>
      <c r="E24" s="42">
        <f>'Haver Pivoted'!HH23</f>
        <v>1791.9</v>
      </c>
      <c r="F24" s="42">
        <f t="shared" si="0"/>
        <v>0</v>
      </c>
      <c r="G24" s="49">
        <f t="shared" si="1"/>
        <v>0</v>
      </c>
    </row>
    <row r="25" spans="1:7">
      <c r="A25" s="42" t="s">
        <v>109</v>
      </c>
      <c r="B25" s="42" t="s">
        <v>111</v>
      </c>
      <c r="C25" s="42" t="str">
        <f>'Haver Pivoted'!A24</f>
        <v>gs</v>
      </c>
      <c r="D25">
        <v>3002.9</v>
      </c>
      <c r="E25" s="42">
        <f>'Haver Pivoted'!HH24</f>
        <v>3002.9</v>
      </c>
      <c r="F25" s="42">
        <f t="shared" si="0"/>
        <v>0</v>
      </c>
      <c r="G25" s="49">
        <f t="shared" si="1"/>
        <v>0</v>
      </c>
    </row>
    <row r="26" spans="1:7">
      <c r="B26" s="42" t="s">
        <v>112</v>
      </c>
      <c r="C26" s="42" t="str">
        <f>'Haver Pivoted'!A25</f>
        <v>gfh</v>
      </c>
      <c r="D26">
        <v>1492.3</v>
      </c>
      <c r="E26" s="42">
        <f>'Haver Pivoted'!HH25</f>
        <v>1492.3</v>
      </c>
      <c r="F26" s="42">
        <f t="shared" si="0"/>
        <v>0</v>
      </c>
      <c r="G26" s="49">
        <f t="shared" si="1"/>
        <v>0</v>
      </c>
    </row>
    <row r="27" spans="1:7">
      <c r="B27" s="42" t="s">
        <v>113</v>
      </c>
      <c r="C27" s="42" t="str">
        <f>'Haver Pivoted'!A26</f>
        <v>gsh</v>
      </c>
      <c r="D27">
        <v>2351.4</v>
      </c>
      <c r="E27" s="42">
        <f>'Haver Pivoted'!HH26</f>
        <v>2351.4</v>
      </c>
      <c r="F27" s="42">
        <f t="shared" si="0"/>
        <v>0</v>
      </c>
      <c r="G27" s="49">
        <f t="shared" si="1"/>
        <v>0</v>
      </c>
    </row>
    <row r="28" spans="1:7">
      <c r="A28" s="42" t="s">
        <v>58</v>
      </c>
      <c r="B28" s="42" t="s">
        <v>114</v>
      </c>
      <c r="C28" s="42" t="s">
        <v>115</v>
      </c>
      <c r="D28">
        <v>2188.6999999999998</v>
      </c>
      <c r="E28" s="42">
        <f>'Haver Pivoted'!HH27</f>
        <v>2188.6999999999998</v>
      </c>
      <c r="F28" s="42">
        <f t="shared" si="0"/>
        <v>0</v>
      </c>
      <c r="G28" s="49">
        <f t="shared" si="1"/>
        <v>0</v>
      </c>
    </row>
    <row r="29" spans="1:7">
      <c r="A29" s="42" t="s">
        <v>58</v>
      </c>
      <c r="B29" s="42" t="s">
        <v>116</v>
      </c>
      <c r="C29" s="42" t="s">
        <v>117</v>
      </c>
      <c r="D29">
        <v>171.6</v>
      </c>
      <c r="E29" s="42">
        <f>'Haver Pivoted'!HH28</f>
        <v>171.6</v>
      </c>
      <c r="F29" s="42">
        <f t="shared" si="0"/>
        <v>0</v>
      </c>
      <c r="G29" s="49">
        <f t="shared" si="1"/>
        <v>0</v>
      </c>
    </row>
    <row r="30" spans="1:7">
      <c r="A30" s="42" t="s">
        <v>58</v>
      </c>
      <c r="B30" s="42" t="s">
        <v>118</v>
      </c>
      <c r="C30" s="42" t="s">
        <v>119</v>
      </c>
      <c r="D30">
        <v>418</v>
      </c>
      <c r="E30" s="42">
        <f>'Haver Pivoted'!HH29</f>
        <v>418</v>
      </c>
      <c r="F30" s="42">
        <f t="shared" si="0"/>
        <v>0</v>
      </c>
      <c r="G30" s="49">
        <f t="shared" si="1"/>
        <v>0</v>
      </c>
    </row>
    <row r="31" spans="1:7">
      <c r="A31" s="42" t="s">
        <v>58</v>
      </c>
      <c r="B31" s="42" t="s">
        <v>120</v>
      </c>
      <c r="C31" s="42" t="s">
        <v>121</v>
      </c>
      <c r="D31">
        <v>1801.4</v>
      </c>
      <c r="E31" s="42">
        <f>'Haver Pivoted'!HH30</f>
        <v>1801.4</v>
      </c>
      <c r="F31" s="42">
        <f t="shared" si="0"/>
        <v>0</v>
      </c>
      <c r="G31" s="49">
        <f t="shared" si="1"/>
        <v>0</v>
      </c>
    </row>
    <row r="32" spans="1:7">
      <c r="A32" s="42" t="s">
        <v>122</v>
      </c>
      <c r="B32" s="42" t="s">
        <v>123</v>
      </c>
      <c r="C32" s="42" t="str">
        <f>'Haver Pivoted'!A31</f>
        <v>gftfp</v>
      </c>
      <c r="D32">
        <v>2930.1</v>
      </c>
      <c r="E32" s="42">
        <f>'Haver Pivoted'!HH31</f>
        <v>2930.1</v>
      </c>
      <c r="F32" s="42">
        <f t="shared" si="0"/>
        <v>0</v>
      </c>
      <c r="G32" s="49">
        <f t="shared" si="1"/>
        <v>0</v>
      </c>
    </row>
    <row r="33" spans="1:10">
      <c r="A33" s="42" t="s">
        <v>51</v>
      </c>
      <c r="B33" s="41" t="s">
        <v>124</v>
      </c>
      <c r="C33" s="42" t="str">
        <f>'Haver Pivoted'!A32</f>
        <v>gfeg</v>
      </c>
      <c r="D33">
        <v>918.5</v>
      </c>
      <c r="E33" s="42">
        <f>'Haver Pivoted'!HH32</f>
        <v>918.5</v>
      </c>
      <c r="F33" s="42">
        <f t="shared" si="0"/>
        <v>0</v>
      </c>
      <c r="G33" s="49">
        <f t="shared" si="1"/>
        <v>0</v>
      </c>
    </row>
    <row r="34" spans="1:10">
      <c r="A34" s="42" t="s">
        <v>58</v>
      </c>
      <c r="B34" s="42" t="s">
        <v>125</v>
      </c>
      <c r="C34" s="42" t="str">
        <f>'Haver Pivoted'!A33</f>
        <v>gsrpt</v>
      </c>
      <c r="D34">
        <v>576.6</v>
      </c>
      <c r="E34" s="42">
        <f>'Haver Pivoted'!HH33</f>
        <v>576.6</v>
      </c>
      <c r="F34" s="42">
        <f t="shared" si="0"/>
        <v>0</v>
      </c>
      <c r="G34" s="49">
        <f t="shared" si="1"/>
        <v>0</v>
      </c>
    </row>
    <row r="35" spans="1:10">
      <c r="A35" s="42" t="s">
        <v>58</v>
      </c>
      <c r="B35" s="42" t="s">
        <v>126</v>
      </c>
      <c r="C35" s="42" t="str">
        <f>'Haver Pivoted'!A34</f>
        <v>gsrpri</v>
      </c>
      <c r="D35">
        <v>1659.2</v>
      </c>
      <c r="E35" s="42">
        <f>'Haver Pivoted'!HH34</f>
        <v>1659.2</v>
      </c>
      <c r="F35" s="42">
        <f t="shared" si="0"/>
        <v>0</v>
      </c>
      <c r="G35" s="49">
        <f t="shared" si="1"/>
        <v>0</v>
      </c>
    </row>
    <row r="36" spans="1:10">
      <c r="A36" s="42" t="s">
        <v>58</v>
      </c>
      <c r="B36" s="42" t="s">
        <v>127</v>
      </c>
      <c r="C36" s="42" t="str">
        <f>'Haver Pivoted'!A35</f>
        <v>gsrcp</v>
      </c>
      <c r="D36">
        <v>148.69999999999999</v>
      </c>
      <c r="E36" s="42">
        <f>'Haver Pivoted'!HH35</f>
        <v>148.69999999999999</v>
      </c>
      <c r="F36" s="42">
        <f t="shared" si="0"/>
        <v>0</v>
      </c>
      <c r="G36" s="49">
        <f t="shared" si="1"/>
        <v>0</v>
      </c>
    </row>
    <row r="37" spans="1:10">
      <c r="A37" s="42" t="s">
        <v>58</v>
      </c>
      <c r="B37" s="42" t="s">
        <v>128</v>
      </c>
      <c r="C37" s="42" t="str">
        <f>'Haver Pivoted'!A36</f>
        <v>gsrs</v>
      </c>
      <c r="D37">
        <v>21.9</v>
      </c>
      <c r="E37" s="42">
        <f>'Haver Pivoted'!HH36</f>
        <v>21.9</v>
      </c>
      <c r="F37" s="42">
        <f t="shared" si="0"/>
        <v>0</v>
      </c>
      <c r="G37" s="49">
        <f t="shared" si="1"/>
        <v>0</v>
      </c>
    </row>
    <row r="38" spans="1:10">
      <c r="A38" s="42" t="s">
        <v>57</v>
      </c>
      <c r="B38" s="42" t="s">
        <v>129</v>
      </c>
      <c r="C38" s="42" t="str">
        <f>'Haver Pivoted'!A37</f>
        <v>gstfp</v>
      </c>
      <c r="D38">
        <v>1057.5999999999999</v>
      </c>
      <c r="E38" s="42">
        <f>'Haver Pivoted'!HH37</f>
        <v>1057.5999999999999</v>
      </c>
      <c r="F38" s="42">
        <f t="shared" si="0"/>
        <v>0</v>
      </c>
      <c r="G38" s="49">
        <f t="shared" si="1"/>
        <v>0</v>
      </c>
    </row>
    <row r="39" spans="1:10">
      <c r="B39" s="42" t="s">
        <v>130</v>
      </c>
      <c r="C39" s="42" t="str">
        <f>'Haver Pivoted'!A38</f>
        <v>gset</v>
      </c>
      <c r="D39">
        <v>3985.3</v>
      </c>
      <c r="E39" s="42">
        <f>'Haver Pivoted'!HH38</f>
        <v>3985.3</v>
      </c>
      <c r="F39" s="42">
        <f t="shared" si="0"/>
        <v>0</v>
      </c>
      <c r="G39" s="49">
        <f t="shared" si="1"/>
        <v>0</v>
      </c>
    </row>
    <row r="40" spans="1:10">
      <c r="B40" s="42" t="s">
        <v>131</v>
      </c>
      <c r="C40" s="42" t="str">
        <f>'Haver Pivoted'!A39</f>
        <v>gfeghhx</v>
      </c>
      <c r="D40">
        <v>622.95699999999999</v>
      </c>
      <c r="E40" s="42">
        <f>'Haver Pivoted'!HH39</f>
        <v>622.95699999999999</v>
      </c>
      <c r="F40" s="42">
        <f t="shared" si="0"/>
        <v>0</v>
      </c>
      <c r="G40" s="49">
        <f t="shared" si="1"/>
        <v>0</v>
      </c>
    </row>
    <row r="41" spans="1:10">
      <c r="A41" s="42" t="s">
        <v>132</v>
      </c>
      <c r="B41" s="42" t="s">
        <v>133</v>
      </c>
      <c r="C41" s="42" t="str">
        <f>'Haver Pivoted'!A40</f>
        <v>gfeghdx</v>
      </c>
      <c r="D41">
        <v>590.947</v>
      </c>
      <c r="E41" s="42">
        <f>'Haver Pivoted'!HH40</f>
        <v>590.947</v>
      </c>
      <c r="F41" s="42">
        <f t="shared" si="0"/>
        <v>0</v>
      </c>
      <c r="G41" s="49">
        <f t="shared" si="1"/>
        <v>0</v>
      </c>
    </row>
    <row r="42" spans="1:10">
      <c r="A42" s="42" t="s">
        <v>51</v>
      </c>
      <c r="B42" s="42" t="s">
        <v>134</v>
      </c>
      <c r="C42" s="42" t="str">
        <f>'Haver Pivoted'!A41</f>
        <v>gfeigx</v>
      </c>
      <c r="D42">
        <v>90.495000000000005</v>
      </c>
      <c r="E42" s="42">
        <f>'Haver Pivoted'!HH41</f>
        <v>90.495000000000005</v>
      </c>
      <c r="F42" s="42">
        <f t="shared" si="0"/>
        <v>0</v>
      </c>
      <c r="G42" s="49">
        <f t="shared" si="1"/>
        <v>0</v>
      </c>
    </row>
    <row r="43" spans="1:10">
      <c r="B43" s="42" t="s">
        <v>135</v>
      </c>
      <c r="C43" s="42" t="str">
        <f>'Haver Pivoted'!A42</f>
        <v>gfsub</v>
      </c>
      <c r="D43">
        <v>102.4</v>
      </c>
      <c r="E43" s="42">
        <f>'Haver Pivoted'!HH42</f>
        <v>102.4</v>
      </c>
      <c r="F43" s="42">
        <f t="shared" si="0"/>
        <v>0</v>
      </c>
      <c r="G43" s="49">
        <f t="shared" si="1"/>
        <v>0</v>
      </c>
      <c r="I43" s="53"/>
      <c r="J43" s="50"/>
    </row>
    <row r="44" spans="1:10">
      <c r="B44" s="42" t="s">
        <v>136</v>
      </c>
      <c r="C44" s="42" t="str">
        <f>'Haver Pivoted'!A43</f>
        <v>gssub</v>
      </c>
      <c r="D44">
        <v>0.7</v>
      </c>
      <c r="E44" s="42">
        <f>'Haver Pivoted'!HH43</f>
        <v>0.7</v>
      </c>
      <c r="F44" s="42">
        <f t="shared" si="0"/>
        <v>0</v>
      </c>
      <c r="G44" s="49">
        <f t="shared" si="1"/>
        <v>0</v>
      </c>
      <c r="I44" s="43"/>
      <c r="J44" s="50"/>
    </row>
    <row r="45" spans="1:10">
      <c r="B45" s="42" t="s">
        <v>52</v>
      </c>
      <c r="C45" s="42" t="str">
        <f>'Haver Pivoted'!A44</f>
        <v>gsub</v>
      </c>
      <c r="D45">
        <v>103.1</v>
      </c>
      <c r="E45" s="42">
        <f>'Haver Pivoted'!HH44</f>
        <v>103.1</v>
      </c>
      <c r="F45" s="42">
        <f t="shared" si="0"/>
        <v>0</v>
      </c>
      <c r="G45" s="49">
        <f t="shared" si="1"/>
        <v>0</v>
      </c>
      <c r="I45" s="43"/>
      <c r="J45" s="51"/>
    </row>
    <row r="46" spans="1:10">
      <c r="A46" s="42" t="s">
        <v>56</v>
      </c>
      <c r="B46" s="42" t="s">
        <v>56</v>
      </c>
      <c r="C46" s="42" t="str">
        <f>'Haver Pivoted'!A45</f>
        <v>gftfpe</v>
      </c>
      <c r="D46">
        <v>0</v>
      </c>
      <c r="E46" s="42">
        <f>'Haver Pivoted'!HH45</f>
        <v>0</v>
      </c>
      <c r="F46" s="42">
        <f t="shared" si="0"/>
        <v>0</v>
      </c>
      <c r="G46" s="49" t="e">
        <f t="shared" si="1"/>
        <v>#DIV/0!</v>
      </c>
      <c r="I46" s="43"/>
      <c r="J46" s="51"/>
    </row>
    <row r="47" spans="1:10">
      <c r="B47" s="42" t="s">
        <v>137</v>
      </c>
      <c r="C47" s="42" t="str">
        <f>'Haver Pivoted'!A46</f>
        <v>gftfpr</v>
      </c>
      <c r="D47">
        <v>0</v>
      </c>
      <c r="E47" s="42">
        <f>'Haver Pivoted'!HH46</f>
        <v>0</v>
      </c>
      <c r="F47" s="42">
        <f t="shared" si="0"/>
        <v>0</v>
      </c>
      <c r="G47" s="49" t="e">
        <f t="shared" si="1"/>
        <v>#DIV/0!</v>
      </c>
      <c r="I47" s="43"/>
      <c r="J47" s="51"/>
    </row>
    <row r="48" spans="1:10">
      <c r="A48" s="42" t="s">
        <v>50</v>
      </c>
      <c r="B48" s="42" t="s">
        <v>138</v>
      </c>
      <c r="C48" s="42" t="str">
        <f>'Haver Pivoted'!A47</f>
        <v>gftfpp</v>
      </c>
      <c r="D48">
        <v>0</v>
      </c>
      <c r="E48" s="42">
        <f>'Haver Pivoted'!HH47</f>
        <v>0</v>
      </c>
      <c r="F48" s="42">
        <f t="shared" si="0"/>
        <v>0</v>
      </c>
      <c r="G48" s="49" t="e">
        <f t="shared" si="1"/>
        <v>#DIV/0!</v>
      </c>
      <c r="J48" s="51"/>
    </row>
    <row r="49" spans="1:9">
      <c r="A49" s="42" t="s">
        <v>49</v>
      </c>
      <c r="B49" s="42" t="s">
        <v>139</v>
      </c>
      <c r="C49" s="42" t="str">
        <f>'Haver Pivoted'!A48</f>
        <v>gftfpv</v>
      </c>
      <c r="D49">
        <v>0</v>
      </c>
      <c r="E49" s="42">
        <f>'Haver Pivoted'!HH48</f>
        <v>0</v>
      </c>
      <c r="F49" s="42">
        <f t="shared" si="0"/>
        <v>0</v>
      </c>
      <c r="G49" s="49" t="e">
        <f t="shared" si="1"/>
        <v>#DIV/0!</v>
      </c>
      <c r="H49" s="44"/>
      <c r="I49" s="44"/>
    </row>
    <row r="50" spans="1:9">
      <c r="A50" s="42" t="s">
        <v>140</v>
      </c>
      <c r="B50" s="39" t="s">
        <v>141</v>
      </c>
      <c r="C50" s="42" t="str">
        <f>'Haver Pivoted'!A49</f>
        <v>gfsubp</v>
      </c>
      <c r="D50">
        <v>0</v>
      </c>
      <c r="E50" s="42">
        <f>'Haver Pivoted'!HH49</f>
        <v>0</v>
      </c>
      <c r="F50" s="42">
        <f t="shared" si="0"/>
        <v>0</v>
      </c>
      <c r="G50" s="49" t="e">
        <f t="shared" si="1"/>
        <v>#DIV/0!</v>
      </c>
      <c r="H50" s="35"/>
      <c r="I50" s="36"/>
    </row>
    <row r="51" spans="1:9">
      <c r="A51" s="42" t="s">
        <v>52</v>
      </c>
      <c r="B51" s="39" t="s">
        <v>142</v>
      </c>
      <c r="C51" s="42" t="str">
        <f>'Haver Pivoted'!A50</f>
        <v>gfsubg</v>
      </c>
      <c r="D51">
        <v>0</v>
      </c>
      <c r="E51" s="42">
        <f>'Haver Pivoted'!HH50</f>
        <v>0</v>
      </c>
      <c r="F51" s="42">
        <f t="shared" si="0"/>
        <v>0</v>
      </c>
      <c r="G51" s="49" t="e">
        <f t="shared" si="1"/>
        <v>#DIV/0!</v>
      </c>
      <c r="H51" s="55"/>
      <c r="I51" s="54"/>
    </row>
    <row r="52" spans="1:9">
      <c r="A52" s="42" t="s">
        <v>52</v>
      </c>
      <c r="B52" s="39" t="s">
        <v>143</v>
      </c>
      <c r="C52" s="42" t="str">
        <f>'Haver Pivoted'!A51</f>
        <v>gfsube</v>
      </c>
      <c r="D52">
        <v>0</v>
      </c>
      <c r="E52" s="42">
        <f>'Haver Pivoted'!HH51</f>
        <v>0</v>
      </c>
      <c r="F52" s="42">
        <f t="shared" si="0"/>
        <v>0</v>
      </c>
      <c r="G52" s="49" t="e">
        <f t="shared" si="1"/>
        <v>#DIV/0!</v>
      </c>
      <c r="H52" s="38"/>
      <c r="I52" s="36"/>
    </row>
    <row r="53" spans="1:9">
      <c r="A53" s="42" t="s">
        <v>52</v>
      </c>
      <c r="B53" s="39" t="s">
        <v>144</v>
      </c>
      <c r="C53" s="42" t="str">
        <f>'Haver Pivoted'!A52</f>
        <v>gfsubs</v>
      </c>
      <c r="D53">
        <v>0</v>
      </c>
      <c r="E53" s="42">
        <f>'Haver Pivoted'!HH52</f>
        <v>0</v>
      </c>
      <c r="F53" s="42">
        <f t="shared" si="0"/>
        <v>0</v>
      </c>
      <c r="G53" s="49" t="e">
        <f t="shared" si="1"/>
        <v>#DIV/0!</v>
      </c>
      <c r="H53" s="38"/>
      <c r="I53" s="36"/>
    </row>
    <row r="54" spans="1:9">
      <c r="A54" s="42" t="s">
        <v>52</v>
      </c>
      <c r="B54" s="39" t="s">
        <v>145</v>
      </c>
      <c r="C54" s="42" t="str">
        <f>'Haver Pivoted'!A53</f>
        <v>gfsubf</v>
      </c>
      <c r="D54">
        <v>0</v>
      </c>
      <c r="E54" s="42">
        <f>'Haver Pivoted'!HH53</f>
        <v>0</v>
      </c>
      <c r="F54" s="42">
        <f t="shared" si="0"/>
        <v>0</v>
      </c>
      <c r="G54" s="49" t="e">
        <f t="shared" si="1"/>
        <v>#DIV/0!</v>
      </c>
      <c r="H54" s="35"/>
      <c r="I54" s="36"/>
    </row>
    <row r="55" spans="1:9">
      <c r="A55" s="42" t="s">
        <v>146</v>
      </c>
      <c r="B55" s="39" t="s">
        <v>147</v>
      </c>
      <c r="C55" s="42" t="str">
        <f>'Haver Pivoted'!A54</f>
        <v>gfsubv</v>
      </c>
      <c r="D55">
        <v>0</v>
      </c>
      <c r="E55" s="42">
        <f>'Haver Pivoted'!HH54</f>
        <v>0</v>
      </c>
      <c r="F55" s="42">
        <f t="shared" si="0"/>
        <v>0</v>
      </c>
      <c r="G55" s="49" t="e">
        <f t="shared" si="1"/>
        <v>#DIV/0!</v>
      </c>
    </row>
    <row r="56" spans="1:9">
      <c r="A56" s="42" t="s">
        <v>52</v>
      </c>
      <c r="B56" s="39" t="s">
        <v>148</v>
      </c>
      <c r="C56" s="42" t="str">
        <f>'Haver Pivoted'!A55</f>
        <v>gfsubk</v>
      </c>
      <c r="D56">
        <v>0</v>
      </c>
      <c r="E56" s="42">
        <f>'Haver Pivoted'!HH55</f>
        <v>0</v>
      </c>
      <c r="F56" s="42">
        <f t="shared" si="0"/>
        <v>0</v>
      </c>
      <c r="G56" s="49" t="e">
        <f t="shared" si="1"/>
        <v>#DIV/0!</v>
      </c>
      <c r="H56" s="35"/>
      <c r="I56" s="36"/>
    </row>
    <row r="57" spans="1:9">
      <c r="A57" s="42" t="s">
        <v>51</v>
      </c>
      <c r="B57" s="41" t="s">
        <v>149</v>
      </c>
      <c r="C57" s="42" t="str">
        <f>'Haver Pivoted'!A56</f>
        <v>gfegc</v>
      </c>
      <c r="D57">
        <v>0</v>
      </c>
      <c r="E57" s="42">
        <f>'Haver Pivoted'!HH56</f>
        <v>0</v>
      </c>
      <c r="F57" s="42">
        <f t="shared" si="0"/>
        <v>0</v>
      </c>
      <c r="G57" s="49"/>
      <c r="H57" s="35"/>
      <c r="I57" s="36"/>
    </row>
    <row r="58" spans="1:9">
      <c r="A58" s="42" t="s">
        <v>51</v>
      </c>
      <c r="B58" s="41" t="s">
        <v>150</v>
      </c>
      <c r="C58" s="42" t="str">
        <f>'Haver Pivoted'!A57</f>
        <v>gfege</v>
      </c>
      <c r="D58">
        <v>0</v>
      </c>
      <c r="E58" s="42">
        <f>'Haver Pivoted'!HH57</f>
        <v>0</v>
      </c>
      <c r="F58" s="42">
        <f t="shared" si="0"/>
        <v>0</v>
      </c>
      <c r="G58" s="49" t="e">
        <f t="shared" si="1"/>
        <v>#DIV/0!</v>
      </c>
      <c r="H58" s="35"/>
      <c r="I58" s="36"/>
    </row>
    <row r="59" spans="1:9">
      <c r="A59" s="42" t="s">
        <v>151</v>
      </c>
      <c r="B59" s="41" t="s">
        <v>152</v>
      </c>
      <c r="C59" s="42" t="str">
        <f>'Haver Pivoted'!A58</f>
        <v>gfegv</v>
      </c>
      <c r="D59">
        <v>0</v>
      </c>
      <c r="E59" s="42">
        <f>'Haver Pivoted'!HH58</f>
        <v>0</v>
      </c>
      <c r="F59" s="42">
        <f t="shared" si="0"/>
        <v>0</v>
      </c>
      <c r="G59" s="49" t="e">
        <f t="shared" si="1"/>
        <v>#DIV/0!</v>
      </c>
    </row>
    <row r="60" spans="1:9">
      <c r="A60" s="42" t="s">
        <v>53</v>
      </c>
      <c r="B60" s="42" t="s">
        <v>153</v>
      </c>
      <c r="C60" s="42" t="str">
        <f>'Haver Pivoted'!A59</f>
        <v>yptue</v>
      </c>
      <c r="D60">
        <v>0</v>
      </c>
      <c r="E60" s="42">
        <f>'Haver Pivoted'!HH59</f>
        <v>0</v>
      </c>
      <c r="F60" s="42">
        <f t="shared" si="0"/>
        <v>0</v>
      </c>
      <c r="G60" s="49" t="e">
        <f t="shared" si="1"/>
        <v>#DIV/0!</v>
      </c>
    </row>
    <row r="61" spans="1:9">
      <c r="A61" s="42" t="s">
        <v>53</v>
      </c>
      <c r="B61" s="42" t="s">
        <v>154</v>
      </c>
      <c r="C61" s="42" t="str">
        <f>'Haver Pivoted'!A60</f>
        <v>yptup</v>
      </c>
      <c r="D61">
        <v>0</v>
      </c>
      <c r="E61" s="42">
        <f>'Haver Pivoted'!HH60</f>
        <v>0</v>
      </c>
      <c r="F61" s="42">
        <f t="shared" si="0"/>
        <v>0</v>
      </c>
      <c r="G61" s="49" t="e">
        <f t="shared" si="1"/>
        <v>#DIV/0!</v>
      </c>
    </row>
    <row r="62" spans="1:9">
      <c r="A62" s="42" t="s">
        <v>53</v>
      </c>
      <c r="B62" s="42" t="s">
        <v>155</v>
      </c>
      <c r="C62" s="42" t="str">
        <f>'Haver Pivoted'!A61</f>
        <v>yptuc</v>
      </c>
      <c r="D62">
        <v>0</v>
      </c>
      <c r="E62" s="42">
        <f>'Haver Pivoted'!HH61</f>
        <v>0</v>
      </c>
      <c r="F62" s="42">
        <f t="shared" si="0"/>
        <v>0</v>
      </c>
      <c r="G62" s="49" t="e">
        <f t="shared" si="1"/>
        <v>#DIV/0!</v>
      </c>
    </row>
    <row r="63" spans="1:9">
      <c r="B63" s="42" t="s">
        <v>156</v>
      </c>
      <c r="C63" s="42" t="str">
        <f>'Haver Pivoted'!A62</f>
        <v>gftfpu</v>
      </c>
      <c r="D63">
        <v>0</v>
      </c>
      <c r="E63" s="42">
        <f>'Haver Pivoted'!HH62</f>
        <v>0</v>
      </c>
      <c r="F63" s="42">
        <f t="shared" si="0"/>
        <v>0</v>
      </c>
      <c r="G63" s="49" t="e">
        <f t="shared" si="1"/>
        <v>#DIV/0!</v>
      </c>
      <c r="H63" s="41"/>
      <c r="I63" s="41"/>
    </row>
    <row r="64" spans="1:9">
      <c r="A64" s="42" t="s">
        <v>53</v>
      </c>
      <c r="B64" s="45" t="s">
        <v>157</v>
      </c>
      <c r="C64" s="42" t="str">
        <f>'Haver Pivoted'!A63</f>
        <v>yptub</v>
      </c>
      <c r="D64">
        <v>0</v>
      </c>
      <c r="E64" s="42">
        <f>'Haver Pivoted'!HH63</f>
        <v>0</v>
      </c>
      <c r="F64" s="42">
        <f t="shared" si="0"/>
        <v>0</v>
      </c>
      <c r="G64" s="49" t="e">
        <f t="shared" si="1"/>
        <v>#DIV/0!</v>
      </c>
      <c r="H64" s="41"/>
      <c r="I64" s="41"/>
    </row>
    <row r="65" spans="1:9">
      <c r="A65" s="42" t="s">
        <v>53</v>
      </c>
      <c r="B65" s="42" t="s">
        <v>158</v>
      </c>
      <c r="C65" s="42" t="str">
        <f>'Haver Pivoted'!A64</f>
        <v>yptol</v>
      </c>
      <c r="D65">
        <v>0</v>
      </c>
      <c r="E65" s="42">
        <f>'Haver Pivoted'!HH64</f>
        <v>0</v>
      </c>
      <c r="F65" s="42">
        <f t="shared" si="0"/>
        <v>0</v>
      </c>
      <c r="G65" s="49" t="e">
        <f t="shared" si="1"/>
        <v>#DIV/0!</v>
      </c>
      <c r="H65" s="41"/>
      <c r="I65" s="41"/>
    </row>
    <row r="66" spans="1:9">
      <c r="B66" s="42" t="s">
        <v>159</v>
      </c>
      <c r="C66" s="42" t="str">
        <f>'Haver Pivoted'!A65</f>
        <v>gfctp</v>
      </c>
      <c r="D66">
        <v>561.29999999999995</v>
      </c>
      <c r="E66" s="42">
        <f>'Haver Pivoted'!HH65</f>
        <v>561.29999999999995</v>
      </c>
      <c r="F66" s="42">
        <f t="shared" si="0"/>
        <v>0</v>
      </c>
      <c r="G66" s="49">
        <f t="shared" si="1"/>
        <v>0</v>
      </c>
      <c r="H66" s="41"/>
      <c r="I66" s="41"/>
    </row>
    <row r="67" spans="1:9">
      <c r="A67" s="42" t="s">
        <v>57</v>
      </c>
      <c r="B67" s="40" t="s">
        <v>160</v>
      </c>
      <c r="C67" s="42" t="str">
        <f>'Haver Pivoted'!A66</f>
        <v>gftffx</v>
      </c>
      <c r="D67">
        <v>103.06100000000001</v>
      </c>
      <c r="E67" s="42">
        <f>'Haver Pivoted'!HH66</f>
        <v>103.06100000000001</v>
      </c>
      <c r="F67" s="42">
        <f t="shared" si="0"/>
        <v>0</v>
      </c>
      <c r="G67" s="49">
        <f t="shared" si="1"/>
        <v>0</v>
      </c>
      <c r="H67" s="41"/>
      <c r="I67" s="41"/>
    </row>
    <row r="68" spans="1:9">
      <c r="B68" s="42" t="s">
        <v>161</v>
      </c>
      <c r="C68" s="42" t="str">
        <f>'Haver Pivoted'!A67</f>
        <v>cpiu</v>
      </c>
      <c r="D68">
        <v>306.034333333333</v>
      </c>
      <c r="E68" s="42">
        <f>'Haver Pivoted'!HH67</f>
        <v>306.034333333333</v>
      </c>
      <c r="F68" s="42">
        <f t="shared" ref="F68:F81" si="2">E68-D68</f>
        <v>0</v>
      </c>
      <c r="G68" s="49">
        <f t="shared" ref="G68:G81" si="3">F68/D68</f>
        <v>0</v>
      </c>
      <c r="H68" s="41"/>
      <c r="I68" s="41"/>
    </row>
    <row r="69" spans="1:9">
      <c r="C69" s="42" t="str">
        <f>'Haver Pivoted'!A68</f>
        <v>pcw</v>
      </c>
      <c r="D69">
        <v>300.327333333333</v>
      </c>
      <c r="E69" s="42">
        <f>'Haver Pivoted'!HH68</f>
        <v>300.327333333333</v>
      </c>
      <c r="F69" s="42">
        <f t="shared" si="2"/>
        <v>0</v>
      </c>
      <c r="G69" s="49">
        <f t="shared" si="3"/>
        <v>0</v>
      </c>
    </row>
    <row r="70" spans="1:9">
      <c r="B70" s="42" t="s">
        <v>162</v>
      </c>
      <c r="C70" s="42" t="str">
        <f>'Haver Pivoted'!A69</f>
        <v>gdppothq</v>
      </c>
      <c r="D70">
        <v>22369.7</v>
      </c>
      <c r="E70" s="42">
        <f>'Haver Pivoted'!HH69</f>
        <v>22338.799999999999</v>
      </c>
      <c r="F70" s="42">
        <f t="shared" si="2"/>
        <v>-30.900000000001455</v>
      </c>
      <c r="G70" s="49">
        <f t="shared" si="3"/>
        <v>-1.3813327849725948E-3</v>
      </c>
    </row>
    <row r="71" spans="1:9">
      <c r="B71" s="42" t="s">
        <v>163</v>
      </c>
      <c r="C71" s="42" t="str">
        <f>'Haver Pivoted'!A70</f>
        <v>gdppotq</v>
      </c>
      <c r="D71">
        <v>27476.6</v>
      </c>
      <c r="E71" s="42">
        <f>'Haver Pivoted'!HH70</f>
        <v>27423.599999999999</v>
      </c>
      <c r="F71" s="42">
        <f t="shared" si="2"/>
        <v>-53</v>
      </c>
      <c r="G71" s="49">
        <f t="shared" si="3"/>
        <v>-1.9289140577800749E-3</v>
      </c>
    </row>
    <row r="72" spans="1:9">
      <c r="B72" s="42" t="s">
        <v>164</v>
      </c>
      <c r="C72" s="42" t="str">
        <f>'Haver Pivoted'!A71</f>
        <v>recessq</v>
      </c>
      <c r="D72">
        <v>-1</v>
      </c>
      <c r="E72" s="42">
        <f>'Haver Pivoted'!HH71</f>
        <v>-1</v>
      </c>
      <c r="F72" s="42">
        <f t="shared" si="2"/>
        <v>0</v>
      </c>
      <c r="G72" s="49">
        <f t="shared" si="3"/>
        <v>0</v>
      </c>
    </row>
    <row r="73" spans="1:9">
      <c r="A73" s="42" t="s">
        <v>165</v>
      </c>
      <c r="B73" s="42" t="s">
        <v>166</v>
      </c>
      <c r="C73" s="42" t="str">
        <f>'Haver Pivoted'!A72</f>
        <v>lasgova</v>
      </c>
      <c r="D73">
        <v>5325.3333333333303</v>
      </c>
      <c r="E73" s="42">
        <f>'Haver Pivoted'!HH72</f>
        <v>5325.3333333333303</v>
      </c>
      <c r="F73" s="42">
        <f t="shared" si="2"/>
        <v>0</v>
      </c>
      <c r="G73" s="49">
        <f t="shared" si="3"/>
        <v>0</v>
      </c>
    </row>
    <row r="74" spans="1:9">
      <c r="A74" s="42" t="s">
        <v>165</v>
      </c>
      <c r="B74" s="42" t="s">
        <v>167</v>
      </c>
      <c r="C74" s="42" t="str">
        <f>'Haver Pivoted'!A73</f>
        <v>lalgova</v>
      </c>
      <c r="D74">
        <v>14587</v>
      </c>
      <c r="E74" s="42">
        <f>'Haver Pivoted'!HH73</f>
        <v>14587</v>
      </c>
      <c r="F74" s="42">
        <f t="shared" si="2"/>
        <v>0</v>
      </c>
      <c r="G74" s="49">
        <f t="shared" si="3"/>
        <v>0</v>
      </c>
    </row>
    <row r="75" spans="1:9">
      <c r="A75" s="42" t="s">
        <v>165</v>
      </c>
      <c r="B75" s="42" t="s">
        <v>168</v>
      </c>
      <c r="C75" s="42" t="str">
        <f>'Haver Pivoted'!A74</f>
        <v>cpgs</v>
      </c>
      <c r="D75">
        <v>410267.66666666698</v>
      </c>
      <c r="E75" s="42">
        <f>'Haver Pivoted'!HH74</f>
        <v>410267.66666666698</v>
      </c>
      <c r="F75" s="42">
        <f t="shared" si="2"/>
        <v>0</v>
      </c>
      <c r="G75" s="49">
        <f t="shared" si="3"/>
        <v>0</v>
      </c>
    </row>
    <row r="76" spans="1:9">
      <c r="B76" s="42" t="s">
        <v>169</v>
      </c>
      <c r="C76" s="42" t="str">
        <f>'Haver Pivoted'!A75</f>
        <v>jgdp_growth</v>
      </c>
      <c r="D76">
        <v>8.2355549351746903E-3</v>
      </c>
      <c r="E76" s="42">
        <f>'Haver Pivoted'!HH75</f>
        <v>8.2355549351746903E-3</v>
      </c>
      <c r="F76" s="37">
        <f t="shared" si="2"/>
        <v>0</v>
      </c>
      <c r="G76" s="49">
        <f t="shared" si="3"/>
        <v>0</v>
      </c>
    </row>
    <row r="77" spans="1:9">
      <c r="B77" s="42" t="s">
        <v>170</v>
      </c>
      <c r="C77" s="42" t="str">
        <f>'Haver Pivoted'!A76</f>
        <v>jc_growth</v>
      </c>
      <c r="D77">
        <v>6.4143147512578701E-3</v>
      </c>
      <c r="E77" s="42">
        <f>'Haver Pivoted'!HH76</f>
        <v>6.4143147512578701E-3</v>
      </c>
      <c r="F77" s="37">
        <f t="shared" si="2"/>
        <v>0</v>
      </c>
      <c r="G77" s="49">
        <f t="shared" si="3"/>
        <v>0</v>
      </c>
    </row>
    <row r="78" spans="1:9">
      <c r="B78" s="42" t="s">
        <v>171</v>
      </c>
      <c r="C78" s="42" t="str">
        <f>'Haver Pivoted'!A77</f>
        <v>jgf_growth</v>
      </c>
      <c r="D78">
        <v>9.7870229456919998E-3</v>
      </c>
      <c r="E78" s="42">
        <f>'Haver Pivoted'!HH77</f>
        <v>9.7870229456919998E-3</v>
      </c>
      <c r="F78" s="37">
        <f t="shared" si="2"/>
        <v>0</v>
      </c>
      <c r="G78" s="49">
        <f t="shared" si="3"/>
        <v>0</v>
      </c>
    </row>
    <row r="79" spans="1:9">
      <c r="B79" s="42" t="s">
        <v>172</v>
      </c>
      <c r="C79" s="42" t="str">
        <f>'Haver Pivoted'!A78</f>
        <v>jgs_growth</v>
      </c>
      <c r="D79">
        <v>1.4053530453285799E-2</v>
      </c>
      <c r="E79" s="42">
        <f>'Haver Pivoted'!HH78</f>
        <v>1.4053530453285799E-2</v>
      </c>
      <c r="F79" s="37">
        <f>E79/D79-1</f>
        <v>0</v>
      </c>
      <c r="G79" s="49">
        <f t="shared" si="3"/>
        <v>0</v>
      </c>
    </row>
    <row r="80" spans="1:9">
      <c r="B80" s="42" t="s">
        <v>173</v>
      </c>
      <c r="C80" s="42" t="str">
        <f>'Haver Pivoted'!A79</f>
        <v>jgse_growth</v>
      </c>
      <c r="D80">
        <v>1.6627230287139499E-2</v>
      </c>
      <c r="E80" s="42">
        <f>'Haver Pivoted'!HH79</f>
        <v>1.6627230287139499E-2</v>
      </c>
      <c r="F80" s="37">
        <f t="shared" si="2"/>
        <v>0</v>
      </c>
      <c r="G80" s="49">
        <f t="shared" si="3"/>
        <v>0</v>
      </c>
    </row>
    <row r="81" spans="2:7">
      <c r="B81" s="42" t="s">
        <v>174</v>
      </c>
      <c r="C81" s="42" t="str">
        <f>'Haver Pivoted'!A80</f>
        <v>jgsi_growth</v>
      </c>
      <c r="D81">
        <v>2.8033363542803199E-3</v>
      </c>
      <c r="E81" s="42">
        <f>'Haver Pivoted'!HH80</f>
        <v>2.8033363542803199E-3</v>
      </c>
      <c r="F81" s="37">
        <f t="shared" si="2"/>
        <v>0</v>
      </c>
      <c r="G81" s="49">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1640625" defaultRowHeight="14.5"/>
  <cols>
    <col min="1" max="1" width="23.81640625" customWidth="1"/>
    <col min="2" max="2" width="79.453125" customWidth="1"/>
    <col min="3" max="3" width="33.453125" customWidth="1"/>
  </cols>
  <sheetData>
    <row r="1" spans="1:4" ht="47.9" customHeight="1">
      <c r="A1" s="65" t="s">
        <v>33</v>
      </c>
      <c r="B1" s="66" t="s">
        <v>34</v>
      </c>
      <c r="C1" s="66" t="s">
        <v>35</v>
      </c>
      <c r="D1" s="67" t="s">
        <v>36</v>
      </c>
    </row>
    <row r="2" spans="1:4" ht="116.15" customHeight="1">
      <c r="A2" s="62" t="s">
        <v>876</v>
      </c>
      <c r="B2" s="63" t="s">
        <v>904</v>
      </c>
      <c r="C2" s="63" t="s">
        <v>905</v>
      </c>
      <c r="D2" s="59" t="s">
        <v>919</v>
      </c>
    </row>
    <row r="3" spans="1:4" ht="63.75" customHeight="1">
      <c r="A3" s="19" t="s">
        <v>79</v>
      </c>
      <c r="B3" s="58" t="s">
        <v>40</v>
      </c>
      <c r="C3" s="58" t="s">
        <v>41</v>
      </c>
      <c r="D3" s="60" t="s">
        <v>922</v>
      </c>
    </row>
    <row r="4" spans="1:4" ht="137.25" customHeight="1">
      <c r="A4" s="68" t="s">
        <v>80</v>
      </c>
      <c r="B4" s="58" t="s">
        <v>903</v>
      </c>
      <c r="C4" s="14" t="s">
        <v>878</v>
      </c>
      <c r="D4" s="60"/>
    </row>
    <row r="5" spans="1:4" ht="29.25" customHeight="1">
      <c r="A5" s="68" t="s">
        <v>81</v>
      </c>
      <c r="B5" s="69" t="s">
        <v>82</v>
      </c>
      <c r="C5" s="56" t="s">
        <v>83</v>
      </c>
      <c r="D5" s="60"/>
    </row>
    <row r="6" spans="1:4" ht="43.4" customHeight="1">
      <c r="A6" s="21" t="s">
        <v>84</v>
      </c>
      <c r="B6" s="64" t="s">
        <v>880</v>
      </c>
      <c r="C6" s="57" t="s">
        <v>879</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1640625" defaultRowHeight="14.5"/>
  <cols>
    <col min="1" max="218" width="11.7265625" customWidth="1"/>
  </cols>
  <sheetData>
    <row r="1" spans="1:218">
      <c r="A1" s="75" t="s">
        <v>1975</v>
      </c>
      <c r="B1" s="75" t="s">
        <v>1976</v>
      </c>
      <c r="C1" s="75" t="s">
        <v>1977</v>
      </c>
      <c r="D1" s="75" t="s">
        <v>1978</v>
      </c>
      <c r="E1" s="75" t="s">
        <v>1979</v>
      </c>
      <c r="F1" s="75" t="s">
        <v>1980</v>
      </c>
      <c r="G1" s="75" t="s">
        <v>1981</v>
      </c>
      <c r="H1" s="75" t="s">
        <v>1982</v>
      </c>
      <c r="I1" s="75" t="s">
        <v>1983</v>
      </c>
      <c r="J1" s="75" t="s">
        <v>1984</v>
      </c>
      <c r="K1" s="75" t="s">
        <v>1985</v>
      </c>
      <c r="L1" s="75" t="s">
        <v>1986</v>
      </c>
      <c r="M1" s="75" t="s">
        <v>1987</v>
      </c>
      <c r="N1" s="75" t="s">
        <v>1988</v>
      </c>
      <c r="O1" s="75" t="s">
        <v>1989</v>
      </c>
      <c r="P1" s="75" t="s">
        <v>1990</v>
      </c>
      <c r="Q1" s="75" t="s">
        <v>1991</v>
      </c>
      <c r="R1" s="75" t="s">
        <v>1992</v>
      </c>
      <c r="S1" s="75" t="s">
        <v>1993</v>
      </c>
      <c r="T1" s="75" t="s">
        <v>1994</v>
      </c>
      <c r="U1" s="75" t="s">
        <v>1995</v>
      </c>
      <c r="V1" s="75" t="s">
        <v>1996</v>
      </c>
      <c r="W1" s="75" t="s">
        <v>1997</v>
      </c>
      <c r="X1" s="75" t="s">
        <v>1998</v>
      </c>
      <c r="Y1" s="75" t="s">
        <v>1999</v>
      </c>
      <c r="Z1" s="75" t="s">
        <v>2000</v>
      </c>
      <c r="AA1" s="75" t="s">
        <v>2001</v>
      </c>
      <c r="AB1" s="75" t="s">
        <v>2002</v>
      </c>
      <c r="AC1" s="75" t="s">
        <v>2003</v>
      </c>
      <c r="AD1" s="75" t="s">
        <v>2004</v>
      </c>
      <c r="AE1" s="75" t="s">
        <v>2005</v>
      </c>
      <c r="AF1" s="75" t="s">
        <v>2006</v>
      </c>
      <c r="AG1" s="75" t="s">
        <v>2007</v>
      </c>
      <c r="AH1" s="75" t="s">
        <v>2008</v>
      </c>
      <c r="AI1" s="75" t="s">
        <v>2009</v>
      </c>
      <c r="AJ1" s="75" t="s">
        <v>2010</v>
      </c>
      <c r="AK1" s="75" t="s">
        <v>2011</v>
      </c>
      <c r="AL1" s="75" t="s">
        <v>2012</v>
      </c>
      <c r="AM1" s="75" t="s">
        <v>2013</v>
      </c>
      <c r="AN1" s="75" t="s">
        <v>2014</v>
      </c>
      <c r="AO1" s="75" t="s">
        <v>2015</v>
      </c>
      <c r="AP1" s="75" t="s">
        <v>2016</v>
      </c>
      <c r="AQ1" s="75" t="s">
        <v>2017</v>
      </c>
      <c r="AR1" s="75" t="s">
        <v>2018</v>
      </c>
      <c r="AS1" s="75" t="s">
        <v>2019</v>
      </c>
      <c r="AT1" s="75" t="s">
        <v>2020</v>
      </c>
      <c r="AU1" s="75" t="s">
        <v>2021</v>
      </c>
      <c r="AV1" s="75" t="s">
        <v>2022</v>
      </c>
      <c r="AW1" s="75" t="s">
        <v>2023</v>
      </c>
      <c r="AX1" s="75" t="s">
        <v>2024</v>
      </c>
      <c r="AY1" s="75" t="s">
        <v>2025</v>
      </c>
      <c r="AZ1" s="75" t="s">
        <v>2026</v>
      </c>
      <c r="BA1" s="75" t="s">
        <v>2027</v>
      </c>
      <c r="BB1" s="75" t="s">
        <v>2028</v>
      </c>
      <c r="BC1" s="75" t="s">
        <v>2029</v>
      </c>
      <c r="BD1" s="75" t="s">
        <v>2030</v>
      </c>
      <c r="BE1" s="75" t="s">
        <v>2031</v>
      </c>
      <c r="BF1" s="75" t="s">
        <v>2032</v>
      </c>
      <c r="BG1" s="75" t="s">
        <v>2033</v>
      </c>
      <c r="BH1" s="75" t="s">
        <v>2034</v>
      </c>
      <c r="BI1" s="75" t="s">
        <v>2035</v>
      </c>
      <c r="BJ1" s="75" t="s">
        <v>2036</v>
      </c>
      <c r="BK1" s="75" t="s">
        <v>2037</v>
      </c>
      <c r="BL1" s="75" t="s">
        <v>2038</v>
      </c>
      <c r="BM1" s="75" t="s">
        <v>2039</v>
      </c>
      <c r="BN1" s="75" t="s">
        <v>2040</v>
      </c>
      <c r="BO1" s="75" t="s">
        <v>2041</v>
      </c>
      <c r="BP1" s="75" t="s">
        <v>2042</v>
      </c>
      <c r="BQ1" s="75" t="s">
        <v>2043</v>
      </c>
      <c r="BR1" s="75" t="s">
        <v>2044</v>
      </c>
      <c r="BS1" s="75" t="s">
        <v>2045</v>
      </c>
      <c r="BT1" s="75" t="s">
        <v>2046</v>
      </c>
      <c r="BU1" s="75" t="s">
        <v>2047</v>
      </c>
      <c r="BV1" s="75" t="s">
        <v>2048</v>
      </c>
      <c r="BW1" s="75" t="s">
        <v>2049</v>
      </c>
      <c r="BX1" s="75" t="s">
        <v>2050</v>
      </c>
      <c r="BY1" s="75" t="s">
        <v>2051</v>
      </c>
      <c r="BZ1" s="75" t="s">
        <v>2052</v>
      </c>
      <c r="CA1" s="75" t="s">
        <v>2053</v>
      </c>
      <c r="CB1" s="75" t="s">
        <v>2054</v>
      </c>
      <c r="CC1" s="75" t="s">
        <v>2055</v>
      </c>
      <c r="CD1" s="75" t="s">
        <v>2056</v>
      </c>
      <c r="CE1" s="75" t="s">
        <v>2057</v>
      </c>
      <c r="CF1" s="75" t="s">
        <v>2058</v>
      </c>
      <c r="CG1" s="75" t="s">
        <v>2059</v>
      </c>
      <c r="CH1" s="75" t="s">
        <v>2060</v>
      </c>
      <c r="CI1" s="75" t="s">
        <v>2061</v>
      </c>
      <c r="CJ1" s="75" t="s">
        <v>2062</v>
      </c>
      <c r="CK1" s="75" t="s">
        <v>2063</v>
      </c>
      <c r="CL1" s="75" t="s">
        <v>2064</v>
      </c>
      <c r="CM1" s="75" t="s">
        <v>2065</v>
      </c>
      <c r="CN1" s="75" t="s">
        <v>2066</v>
      </c>
      <c r="CO1" s="75" t="s">
        <v>2067</v>
      </c>
      <c r="CP1" s="75" t="s">
        <v>2068</v>
      </c>
      <c r="CQ1" s="75" t="s">
        <v>2069</v>
      </c>
      <c r="CR1" s="75" t="s">
        <v>2070</v>
      </c>
      <c r="CS1" s="75" t="s">
        <v>2071</v>
      </c>
      <c r="CT1" s="75" t="s">
        <v>2072</v>
      </c>
      <c r="CU1" s="75" t="s">
        <v>2073</v>
      </c>
      <c r="CV1" s="75" t="s">
        <v>2074</v>
      </c>
      <c r="CW1" s="75" t="s">
        <v>2075</v>
      </c>
      <c r="CX1" s="75" t="s">
        <v>2076</v>
      </c>
      <c r="CY1" s="75" t="s">
        <v>2077</v>
      </c>
      <c r="CZ1" s="75" t="s">
        <v>2078</v>
      </c>
      <c r="DA1" s="75" t="s">
        <v>2079</v>
      </c>
      <c r="DB1" s="75" t="s">
        <v>2080</v>
      </c>
      <c r="DC1" s="75" t="s">
        <v>2081</v>
      </c>
      <c r="DD1" s="75" t="s">
        <v>2082</v>
      </c>
      <c r="DE1" s="75" t="s">
        <v>2083</v>
      </c>
      <c r="DF1" s="75" t="s">
        <v>2084</v>
      </c>
      <c r="DG1" s="75" t="s">
        <v>2085</v>
      </c>
      <c r="DH1" s="75" t="s">
        <v>2086</v>
      </c>
      <c r="DI1" s="75" t="s">
        <v>2087</v>
      </c>
      <c r="DJ1" s="75" t="s">
        <v>2088</v>
      </c>
      <c r="DK1" s="75" t="s">
        <v>2089</v>
      </c>
      <c r="DL1" s="75" t="s">
        <v>2090</v>
      </c>
      <c r="DM1" s="75" t="s">
        <v>2091</v>
      </c>
      <c r="DN1" s="75" t="s">
        <v>2092</v>
      </c>
      <c r="DO1" s="75" t="s">
        <v>2093</v>
      </c>
      <c r="DP1" s="75" t="s">
        <v>2094</v>
      </c>
      <c r="DQ1" s="75" t="s">
        <v>2095</v>
      </c>
      <c r="DR1" s="75" t="s">
        <v>2096</v>
      </c>
      <c r="DS1" s="75" t="s">
        <v>2097</v>
      </c>
      <c r="DT1" s="75" t="s">
        <v>2098</v>
      </c>
      <c r="DU1" s="75" t="s">
        <v>2099</v>
      </c>
      <c r="DV1" s="75" t="s">
        <v>2100</v>
      </c>
      <c r="DW1" s="75" t="s">
        <v>2101</v>
      </c>
      <c r="DX1" s="75" t="s">
        <v>2102</v>
      </c>
      <c r="DY1" s="75" t="s">
        <v>2103</v>
      </c>
      <c r="DZ1" s="75" t="s">
        <v>2104</v>
      </c>
      <c r="EA1" s="75" t="s">
        <v>2105</v>
      </c>
      <c r="EB1" s="75" t="s">
        <v>2106</v>
      </c>
      <c r="EC1" s="75" t="s">
        <v>2107</v>
      </c>
      <c r="ED1" s="75" t="s">
        <v>2108</v>
      </c>
      <c r="EE1" s="75" t="s">
        <v>2109</v>
      </c>
      <c r="EF1" s="75" t="s">
        <v>2110</v>
      </c>
      <c r="EG1" s="75" t="s">
        <v>2111</v>
      </c>
      <c r="EH1" s="75" t="s">
        <v>2112</v>
      </c>
      <c r="EI1" s="75" t="s">
        <v>2113</v>
      </c>
      <c r="EJ1" s="75" t="s">
        <v>2114</v>
      </c>
      <c r="EK1" s="75" t="s">
        <v>2115</v>
      </c>
      <c r="EL1" s="75" t="s">
        <v>2116</v>
      </c>
      <c r="EM1" s="75" t="s">
        <v>2117</v>
      </c>
      <c r="EN1" s="75" t="s">
        <v>2118</v>
      </c>
      <c r="EO1" s="75" t="s">
        <v>2119</v>
      </c>
      <c r="EP1" s="75" t="s">
        <v>2120</v>
      </c>
      <c r="EQ1" s="75" t="s">
        <v>2121</v>
      </c>
      <c r="ER1" s="75" t="s">
        <v>2122</v>
      </c>
      <c r="ES1" s="75" t="s">
        <v>2123</v>
      </c>
      <c r="ET1" s="75" t="s">
        <v>2124</v>
      </c>
      <c r="EU1" s="75" t="s">
        <v>2125</v>
      </c>
      <c r="EV1" s="75" t="s">
        <v>2126</v>
      </c>
      <c r="EW1" s="75" t="s">
        <v>2127</v>
      </c>
      <c r="EX1" s="75" t="s">
        <v>2128</v>
      </c>
      <c r="EY1" s="75" t="s">
        <v>2129</v>
      </c>
      <c r="EZ1" s="75" t="s">
        <v>2130</v>
      </c>
      <c r="FA1" s="75" t="s">
        <v>2131</v>
      </c>
      <c r="FB1" s="75" t="s">
        <v>2132</v>
      </c>
      <c r="FC1" s="75" t="s">
        <v>2133</v>
      </c>
      <c r="FD1" s="75" t="s">
        <v>2134</v>
      </c>
      <c r="FE1" s="75" t="s">
        <v>2135</v>
      </c>
      <c r="FF1" s="75" t="s">
        <v>2136</v>
      </c>
      <c r="FG1" s="75" t="s">
        <v>2137</v>
      </c>
      <c r="FH1" s="75" t="s">
        <v>2138</v>
      </c>
      <c r="FI1" s="75" t="s">
        <v>2139</v>
      </c>
      <c r="FJ1" s="75" t="s">
        <v>2140</v>
      </c>
      <c r="FK1" s="75" t="s">
        <v>2141</v>
      </c>
      <c r="FL1" s="75" t="s">
        <v>2142</v>
      </c>
      <c r="FM1" s="75" t="s">
        <v>2143</v>
      </c>
      <c r="FN1" s="75" t="s">
        <v>2144</v>
      </c>
      <c r="FO1" s="75" t="s">
        <v>2145</v>
      </c>
      <c r="FP1" s="75" t="s">
        <v>2146</v>
      </c>
      <c r="FQ1" s="75" t="s">
        <v>2147</v>
      </c>
      <c r="FR1" s="75" t="s">
        <v>2148</v>
      </c>
      <c r="FS1" s="75" t="s">
        <v>2149</v>
      </c>
      <c r="FT1" s="75" t="s">
        <v>2150</v>
      </c>
      <c r="FU1" s="75" t="s">
        <v>2151</v>
      </c>
      <c r="FV1" s="75" t="s">
        <v>2152</v>
      </c>
      <c r="FW1" s="75" t="s">
        <v>2153</v>
      </c>
      <c r="FX1" s="75" t="s">
        <v>2154</v>
      </c>
      <c r="FY1" s="75" t="s">
        <v>2155</v>
      </c>
      <c r="FZ1" s="75" t="s">
        <v>2156</v>
      </c>
      <c r="GA1" s="75" t="s">
        <v>2157</v>
      </c>
      <c r="GB1" s="75" t="s">
        <v>2158</v>
      </c>
      <c r="GC1" s="75" t="s">
        <v>2159</v>
      </c>
      <c r="GD1" s="75" t="s">
        <v>2160</v>
      </c>
      <c r="GE1" s="75" t="s">
        <v>2161</v>
      </c>
      <c r="GF1" s="75" t="s">
        <v>2162</v>
      </c>
      <c r="GG1" s="75" t="s">
        <v>2163</v>
      </c>
      <c r="GH1" s="75" t="s">
        <v>2164</v>
      </c>
      <c r="GI1" s="75" t="s">
        <v>2165</v>
      </c>
      <c r="GJ1" s="75" t="s">
        <v>2166</v>
      </c>
      <c r="GK1" s="75" t="s">
        <v>2167</v>
      </c>
      <c r="GL1" s="75" t="s">
        <v>2168</v>
      </c>
      <c r="GM1" s="75" t="s">
        <v>2169</v>
      </c>
      <c r="GN1" s="75" t="s">
        <v>2170</v>
      </c>
      <c r="GO1" s="75" t="s">
        <v>2171</v>
      </c>
      <c r="GP1" s="75" t="s">
        <v>2172</v>
      </c>
      <c r="GQ1" s="75" t="s">
        <v>2173</v>
      </c>
      <c r="GR1" s="75" t="s">
        <v>2174</v>
      </c>
      <c r="GS1" s="75" t="s">
        <v>2175</v>
      </c>
      <c r="GT1" s="75" t="s">
        <v>2176</v>
      </c>
      <c r="GU1" s="75" t="s">
        <v>2177</v>
      </c>
      <c r="GV1" s="75" t="s">
        <v>2178</v>
      </c>
      <c r="GW1" s="75" t="s">
        <v>2179</v>
      </c>
      <c r="GX1" s="75" t="s">
        <v>2180</v>
      </c>
      <c r="GY1" s="75" t="s">
        <v>2181</v>
      </c>
      <c r="GZ1" s="75" t="s">
        <v>2182</v>
      </c>
      <c r="HA1" s="75" t="s">
        <v>2183</v>
      </c>
      <c r="HB1" s="75" t="s">
        <v>2184</v>
      </c>
      <c r="HC1" s="75" t="s">
        <v>2185</v>
      </c>
      <c r="HD1" s="75" t="s">
        <v>2186</v>
      </c>
      <c r="HE1" s="75" t="s">
        <v>2187</v>
      </c>
      <c r="HF1" s="75" t="s">
        <v>2188</v>
      </c>
      <c r="HG1" s="75" t="s">
        <v>2189</v>
      </c>
      <c r="HH1" s="75" t="s">
        <v>2190</v>
      </c>
      <c r="HI1" s="75" t="s">
        <v>2191</v>
      </c>
      <c r="HJ1" s="75" t="s">
        <v>2192</v>
      </c>
    </row>
    <row r="2" spans="1:218">
      <c r="A2" s="56" t="s">
        <v>2193</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21104.1</v>
      </c>
      <c r="GQ2" s="56">
        <v>21384.799999999999</v>
      </c>
      <c r="GR2" s="56">
        <v>21694.3</v>
      </c>
      <c r="GS2" s="56">
        <v>21902.400000000001</v>
      </c>
      <c r="GT2" s="56">
        <v>21706.5</v>
      </c>
      <c r="GU2" s="56">
        <v>19913.099999999999</v>
      </c>
      <c r="GV2" s="56">
        <v>21647.599999999999</v>
      </c>
      <c r="GW2" s="56">
        <v>22024.5</v>
      </c>
      <c r="GX2" s="56">
        <v>22600.2</v>
      </c>
      <c r="GY2" s="56">
        <v>23292.400000000001</v>
      </c>
      <c r="GZ2" s="56">
        <v>23829</v>
      </c>
      <c r="HA2" s="56">
        <v>24654.6</v>
      </c>
      <c r="HB2" s="56">
        <v>25029.1</v>
      </c>
      <c r="HC2">
        <v>25544.3</v>
      </c>
      <c r="HD2">
        <v>25994.6</v>
      </c>
      <c r="HE2">
        <v>26408.400000000001</v>
      </c>
      <c r="HF2">
        <v>26813.599999999999</v>
      </c>
      <c r="HG2">
        <v>27063</v>
      </c>
      <c r="HH2">
        <v>27610.1</v>
      </c>
      <c r="HI2">
        <v>27957</v>
      </c>
      <c r="HJ2">
        <v>28269.200000000001</v>
      </c>
    </row>
    <row r="3" spans="1:218">
      <c r="A3" s="56" t="s">
        <v>2194</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20415.2</v>
      </c>
      <c r="GQ3" s="56">
        <v>20584.5</v>
      </c>
      <c r="GR3" s="56">
        <v>20817.599999999999</v>
      </c>
      <c r="GS3" s="56">
        <v>20951.099999999999</v>
      </c>
      <c r="GT3" s="56">
        <v>20665.599999999999</v>
      </c>
      <c r="GU3" s="56">
        <v>19034.8</v>
      </c>
      <c r="GV3" s="56">
        <v>20511.8</v>
      </c>
      <c r="GW3" s="56">
        <v>20724.099999999999</v>
      </c>
      <c r="GX3" s="56">
        <v>20990.5</v>
      </c>
      <c r="GY3" s="56">
        <v>21309.5</v>
      </c>
      <c r="GZ3" s="56">
        <v>21483.1</v>
      </c>
      <c r="HA3" s="56">
        <v>21847.599999999999</v>
      </c>
      <c r="HB3" s="56">
        <v>21738.9</v>
      </c>
      <c r="HC3">
        <v>21708.2</v>
      </c>
      <c r="HD3">
        <v>21851.1</v>
      </c>
      <c r="HE3">
        <v>21990</v>
      </c>
      <c r="HF3">
        <v>22112.3</v>
      </c>
      <c r="HG3">
        <v>22225.4</v>
      </c>
      <c r="HH3">
        <v>22490.7</v>
      </c>
      <c r="HI3">
        <v>22679.3</v>
      </c>
      <c r="HJ3">
        <v>22758.799999999999</v>
      </c>
    </row>
    <row r="4" spans="1:218">
      <c r="A4" s="56" t="s">
        <v>2195</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103.375</v>
      </c>
      <c r="GQ4" s="56">
        <v>103.878</v>
      </c>
      <c r="GR4" s="56">
        <v>104.21299999999999</v>
      </c>
      <c r="GS4" s="56">
        <v>104.566</v>
      </c>
      <c r="GT4" s="56">
        <v>105.042</v>
      </c>
      <c r="GU4" s="56">
        <v>104.661</v>
      </c>
      <c r="GV4" s="56">
        <v>105.593</v>
      </c>
      <c r="GW4" s="56">
        <v>106.33</v>
      </c>
      <c r="GX4" s="56">
        <v>107.73099999999999</v>
      </c>
      <c r="GY4" s="56">
        <v>109.33199999999999</v>
      </c>
      <c r="GZ4" s="56">
        <v>110.95699999999999</v>
      </c>
      <c r="HA4" s="56">
        <v>112.858</v>
      </c>
      <c r="HB4" s="56">
        <v>115.182</v>
      </c>
      <c r="HC4">
        <v>117.70399999999999</v>
      </c>
      <c r="HD4">
        <v>118.98</v>
      </c>
      <c r="HE4">
        <v>120.11499999999999</v>
      </c>
      <c r="HF4">
        <v>121.264</v>
      </c>
      <c r="HG4">
        <v>121.789</v>
      </c>
      <c r="HH4">
        <v>122.792</v>
      </c>
      <c r="HI4">
        <v>123.289</v>
      </c>
      <c r="HJ4">
        <v>124.227</v>
      </c>
    </row>
    <row r="5" spans="1:218">
      <c r="A5" s="56" t="s">
        <v>2196</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14148</v>
      </c>
      <c r="GQ5" s="56">
        <v>14336.8</v>
      </c>
      <c r="GR5" s="56">
        <v>14517.7</v>
      </c>
      <c r="GS5" s="56">
        <v>14668</v>
      </c>
      <c r="GT5" s="56">
        <v>14473.1</v>
      </c>
      <c r="GU5" s="56">
        <v>13168.9</v>
      </c>
      <c r="GV5" s="56">
        <v>14456.2</v>
      </c>
      <c r="GW5" s="56">
        <v>14726.7</v>
      </c>
      <c r="GX5" s="56">
        <v>15217.7</v>
      </c>
      <c r="GY5" s="56">
        <v>15950.9</v>
      </c>
      <c r="GZ5" s="56">
        <v>16285.1</v>
      </c>
      <c r="HA5" s="56">
        <v>16718.2</v>
      </c>
      <c r="HB5" s="56">
        <v>17030.599999999999</v>
      </c>
      <c r="HC5">
        <v>17415.099999999999</v>
      </c>
      <c r="HD5">
        <v>17684.2</v>
      </c>
      <c r="HE5">
        <v>17917</v>
      </c>
      <c r="HF5">
        <v>18269.599999999999</v>
      </c>
      <c r="HG5">
        <v>18419</v>
      </c>
      <c r="HH5">
        <v>18679.5</v>
      </c>
      <c r="HI5">
        <v>18914.5</v>
      </c>
      <c r="HJ5">
        <v>19142.5</v>
      </c>
    </row>
    <row r="6" spans="1:218">
      <c r="A6" s="56" t="s">
        <v>2197</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13752.6</v>
      </c>
      <c r="GQ6" s="56">
        <v>13862.8</v>
      </c>
      <c r="GR6" s="56">
        <v>14003.8</v>
      </c>
      <c r="GS6" s="56">
        <v>14093.9</v>
      </c>
      <c r="GT6" s="56">
        <v>13862.3</v>
      </c>
      <c r="GU6" s="56">
        <v>12668.7</v>
      </c>
      <c r="GV6" s="56">
        <v>13793.9</v>
      </c>
      <c r="GW6" s="56">
        <v>13982.9</v>
      </c>
      <c r="GX6" s="56">
        <v>14282.6</v>
      </c>
      <c r="GY6" s="56">
        <v>14745.6</v>
      </c>
      <c r="GZ6" s="56">
        <v>14848.8</v>
      </c>
      <c r="HA6" s="56">
        <v>14995.6</v>
      </c>
      <c r="HB6" s="56">
        <v>14995.2</v>
      </c>
      <c r="HC6">
        <v>15069.2</v>
      </c>
      <c r="HD6">
        <v>15127.4</v>
      </c>
      <c r="HE6">
        <v>15171.4</v>
      </c>
      <c r="HF6">
        <v>15312.9</v>
      </c>
      <c r="HG6">
        <v>15343.6</v>
      </c>
      <c r="HH6">
        <v>15461.4</v>
      </c>
      <c r="HI6">
        <v>15586.7</v>
      </c>
      <c r="HJ6">
        <v>15643</v>
      </c>
    </row>
    <row r="7" spans="1:218">
      <c r="A7" s="56" t="s">
        <v>2198</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102.877</v>
      </c>
      <c r="GQ7" s="56">
        <v>103.422</v>
      </c>
      <c r="GR7" s="56">
        <v>103.67400000000001</v>
      </c>
      <c r="GS7" s="56">
        <v>104.08</v>
      </c>
      <c r="GT7" s="56">
        <v>104.416</v>
      </c>
      <c r="GU7" s="56">
        <v>103.962</v>
      </c>
      <c r="GV7" s="56">
        <v>104.819</v>
      </c>
      <c r="GW7" s="56">
        <v>105.343</v>
      </c>
      <c r="GX7" s="56">
        <v>106.578</v>
      </c>
      <c r="GY7" s="56">
        <v>108.208</v>
      </c>
      <c r="GZ7" s="56">
        <v>109.705</v>
      </c>
      <c r="HA7" s="56">
        <v>111.514</v>
      </c>
      <c r="HB7" s="56">
        <v>113.59</v>
      </c>
      <c r="HC7">
        <v>115.577</v>
      </c>
      <c r="HD7">
        <v>116.905</v>
      </c>
      <c r="HE7">
        <v>118.098</v>
      </c>
      <c r="HF7">
        <v>119.309</v>
      </c>
      <c r="HG7">
        <v>120.044</v>
      </c>
      <c r="HH7">
        <v>120.81399999999999</v>
      </c>
      <c r="HI7">
        <v>121.351</v>
      </c>
      <c r="HJ7">
        <v>122.371</v>
      </c>
    </row>
    <row r="8" spans="1:218">
      <c r="A8" s="56" t="s">
        <v>2199</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104.85599999999999</v>
      </c>
      <c r="GQ8" s="56">
        <v>104.229</v>
      </c>
      <c r="GR8" s="56">
        <v>104.39700000000001</v>
      </c>
      <c r="GS8" s="56">
        <v>104.759</v>
      </c>
      <c r="GT8" s="56">
        <v>105.08799999999999</v>
      </c>
      <c r="GU8" s="56">
        <v>105.113</v>
      </c>
      <c r="GV8" s="56">
        <v>105.71299999999999</v>
      </c>
      <c r="GW8" s="56">
        <v>106.48099999999999</v>
      </c>
      <c r="GX8" s="56">
        <v>107.378</v>
      </c>
      <c r="GY8" s="56">
        <v>108.42400000000001</v>
      </c>
      <c r="GZ8" s="56">
        <v>109.523</v>
      </c>
      <c r="HA8" s="56">
        <v>110.771</v>
      </c>
      <c r="HB8" s="56">
        <v>112.724</v>
      </c>
      <c r="HC8">
        <v>114.607</v>
      </c>
      <c r="HD8">
        <v>115.96599999999999</v>
      </c>
      <c r="HE8">
        <v>117.13500000000001</v>
      </c>
      <c r="HF8">
        <v>118.327</v>
      </c>
      <c r="HG8">
        <v>118.93300000000001</v>
      </c>
      <c r="HH8">
        <v>120.09699999999999</v>
      </c>
      <c r="HI8">
        <v>121.268</v>
      </c>
      <c r="HJ8">
        <v>122.501</v>
      </c>
    </row>
    <row r="9" spans="1:218">
      <c r="A9" s="56" t="s">
        <v>2200</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104.74299999999999</v>
      </c>
      <c r="GQ9" s="56">
        <v>105.46</v>
      </c>
      <c r="GR9" s="56">
        <v>105.85599999999999</v>
      </c>
      <c r="GS9" s="56">
        <v>106.498</v>
      </c>
      <c r="GT9" s="56">
        <v>107.871</v>
      </c>
      <c r="GU9" s="56">
        <v>107.643</v>
      </c>
      <c r="GV9" s="56">
        <v>108.94</v>
      </c>
      <c r="GW9" s="56">
        <v>110.30200000000001</v>
      </c>
      <c r="GX9" s="56">
        <v>112.765</v>
      </c>
      <c r="GY9" s="56">
        <v>114.846</v>
      </c>
      <c r="GZ9" s="56">
        <v>116.664</v>
      </c>
      <c r="HA9" s="56">
        <v>118.892</v>
      </c>
      <c r="HB9" s="56">
        <v>121.509</v>
      </c>
      <c r="HC9">
        <v>125.49</v>
      </c>
      <c r="HD9">
        <v>126.015</v>
      </c>
      <c r="HE9">
        <v>126.86799999999999</v>
      </c>
      <c r="HF9">
        <v>126.866</v>
      </c>
      <c r="HG9">
        <v>125.947</v>
      </c>
      <c r="HH9">
        <v>127.717</v>
      </c>
      <c r="HI9">
        <v>127.92400000000001</v>
      </c>
      <c r="HJ9">
        <v>129.13200000000001</v>
      </c>
    </row>
    <row r="10" spans="1:218">
      <c r="A10" s="56" t="s">
        <v>2201</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104.602</v>
      </c>
      <c r="GQ10" s="56">
        <v>105.227</v>
      </c>
      <c r="GR10" s="56">
        <v>105.613</v>
      </c>
      <c r="GS10" s="56">
        <v>106.369</v>
      </c>
      <c r="GT10" s="56">
        <v>107.994</v>
      </c>
      <c r="GU10" s="56">
        <v>107.79300000000001</v>
      </c>
      <c r="GV10" s="56">
        <v>109.14</v>
      </c>
      <c r="GW10" s="56">
        <v>110.675</v>
      </c>
      <c r="GX10" s="56">
        <v>113.297</v>
      </c>
      <c r="GY10" s="56">
        <v>115.264</v>
      </c>
      <c r="GZ10" s="56">
        <v>116.973</v>
      </c>
      <c r="HA10" s="56">
        <v>119.054</v>
      </c>
      <c r="HB10" s="56">
        <v>121.578</v>
      </c>
      <c r="HC10">
        <v>125.643</v>
      </c>
      <c r="HD10">
        <v>125.80500000000001</v>
      </c>
      <c r="HE10">
        <v>126.575</v>
      </c>
      <c r="HF10">
        <v>126.235</v>
      </c>
      <c r="HG10">
        <v>125.096</v>
      </c>
      <c r="HH10">
        <v>127.176</v>
      </c>
      <c r="HI10">
        <v>127.35599999999999</v>
      </c>
      <c r="HJ10">
        <v>128.66300000000001</v>
      </c>
    </row>
    <row r="11" spans="1:218">
      <c r="A11" s="56" t="s">
        <v>2202</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105.355</v>
      </c>
      <c r="GQ11" s="56">
        <v>106.47199999999999</v>
      </c>
      <c r="GR11" s="56">
        <v>106.917</v>
      </c>
      <c r="GS11" s="56">
        <v>107.06100000000001</v>
      </c>
      <c r="GT11" s="56">
        <v>107.322</v>
      </c>
      <c r="GU11" s="56">
        <v>106.98099999999999</v>
      </c>
      <c r="GV11" s="56">
        <v>108.051</v>
      </c>
      <c r="GW11" s="56">
        <v>108.63</v>
      </c>
      <c r="GX11" s="56">
        <v>110.369</v>
      </c>
      <c r="GY11" s="56">
        <v>112.94199999999999</v>
      </c>
      <c r="GZ11" s="56">
        <v>115.264</v>
      </c>
      <c r="HA11" s="56">
        <v>118.19799999999999</v>
      </c>
      <c r="HB11" s="56">
        <v>121.27</v>
      </c>
      <c r="HC11">
        <v>124.827</v>
      </c>
      <c r="HD11">
        <v>127.185</v>
      </c>
      <c r="HE11">
        <v>128.44900000000001</v>
      </c>
      <c r="HF11">
        <v>130.08600000000001</v>
      </c>
      <c r="HG11">
        <v>130.202</v>
      </c>
      <c r="HH11">
        <v>130.56700000000001</v>
      </c>
      <c r="HI11">
        <v>130.893</v>
      </c>
      <c r="HJ11">
        <v>131.68299999999999</v>
      </c>
    </row>
    <row r="12" spans="1:218">
      <c r="A12" s="56" t="s">
        <v>2203</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771.9</v>
      </c>
      <c r="GQ12" s="56">
        <v>785.3</v>
      </c>
      <c r="GR12" s="56">
        <v>793.9</v>
      </c>
      <c r="GS12" s="56">
        <v>797.9</v>
      </c>
      <c r="GT12" s="56">
        <v>798.4</v>
      </c>
      <c r="GU12" s="56">
        <v>811.1</v>
      </c>
      <c r="GV12" s="56">
        <v>823.1</v>
      </c>
      <c r="GW12" s="56">
        <v>834.5</v>
      </c>
      <c r="GX12" s="56">
        <v>849.4</v>
      </c>
      <c r="GY12" s="56">
        <v>865.6</v>
      </c>
      <c r="GZ12" s="56">
        <v>882.6</v>
      </c>
      <c r="HA12" s="56">
        <v>900.3</v>
      </c>
      <c r="HB12" s="56">
        <v>918.2</v>
      </c>
      <c r="HC12">
        <v>924.7</v>
      </c>
      <c r="HD12">
        <v>927.2</v>
      </c>
      <c r="HE12">
        <v>934.2</v>
      </c>
      <c r="HF12">
        <v>938.1</v>
      </c>
      <c r="HG12">
        <v>941.9</v>
      </c>
      <c r="HH12">
        <v>946.3</v>
      </c>
      <c r="HI12">
        <v>951.3</v>
      </c>
      <c r="HJ12">
        <v>965.3</v>
      </c>
    </row>
    <row r="13" spans="1:218">
      <c r="A13" s="56" t="s">
        <v>2204</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606.4</v>
      </c>
      <c r="GU13" s="56">
        <v>654.6</v>
      </c>
      <c r="GV13" s="56">
        <v>690.8</v>
      </c>
      <c r="GW13" s="56">
        <v>678.6</v>
      </c>
      <c r="GX13" s="56">
        <v>705</v>
      </c>
      <c r="GY13" s="56">
        <v>745.7</v>
      </c>
      <c r="GZ13" s="56">
        <v>749.2</v>
      </c>
      <c r="HA13" s="56">
        <v>746.1</v>
      </c>
      <c r="HB13" s="56">
        <v>791.4</v>
      </c>
      <c r="HC13">
        <v>818.7</v>
      </c>
      <c r="HD13">
        <v>819</v>
      </c>
      <c r="HE13">
        <v>828.4</v>
      </c>
      <c r="HF13">
        <v>871.5</v>
      </c>
      <c r="HG13">
        <v>911.4</v>
      </c>
      <c r="HH13">
        <v>880.6</v>
      </c>
      <c r="HI13">
        <v>868.3</v>
      </c>
      <c r="HJ13">
        <v>916.9</v>
      </c>
    </row>
    <row r="14" spans="1:218">
      <c r="A14" s="56" t="s">
        <v>2205</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30.5</v>
      </c>
      <c r="GQ14" s="56">
        <v>27.7</v>
      </c>
      <c r="GR14" s="56">
        <v>25</v>
      </c>
      <c r="GS14" s="56">
        <v>26.7</v>
      </c>
      <c r="GT14" s="56">
        <v>40.9</v>
      </c>
      <c r="GU14" s="56">
        <v>951.4</v>
      </c>
      <c r="GV14" s="56">
        <v>802.3</v>
      </c>
      <c r="GW14" s="56">
        <v>323.5</v>
      </c>
      <c r="GX14" s="56">
        <v>583.5</v>
      </c>
      <c r="GY14" s="56">
        <v>451.8</v>
      </c>
      <c r="GZ14" s="56">
        <v>226.8</v>
      </c>
      <c r="HA14" s="56">
        <v>33.9</v>
      </c>
      <c r="HB14" s="56">
        <v>26.2</v>
      </c>
      <c r="HC14">
        <v>21.4</v>
      </c>
      <c r="HD14">
        <v>19.600000000000001</v>
      </c>
      <c r="HE14">
        <v>22.1</v>
      </c>
      <c r="HF14">
        <v>22</v>
      </c>
      <c r="HG14">
        <v>22.3</v>
      </c>
      <c r="HH14">
        <v>21</v>
      </c>
      <c r="HI14">
        <v>22.7</v>
      </c>
      <c r="HJ14">
        <v>22.7</v>
      </c>
    </row>
    <row r="15" spans="1:218">
      <c r="A15" s="56" t="s">
        <v>2206</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3047.8</v>
      </c>
      <c r="GQ15" s="56">
        <v>3082.2</v>
      </c>
      <c r="GR15" s="56">
        <v>3105.1</v>
      </c>
      <c r="GS15" s="56">
        <v>3119</v>
      </c>
      <c r="GT15" s="56">
        <v>3174.3</v>
      </c>
      <c r="GU15" s="56">
        <v>5464.2</v>
      </c>
      <c r="GV15" s="56">
        <v>4358.2</v>
      </c>
      <c r="GW15" s="56">
        <v>3734.2</v>
      </c>
      <c r="GX15" s="56">
        <v>5993.5</v>
      </c>
      <c r="GY15" s="56">
        <v>4311.8</v>
      </c>
      <c r="GZ15" s="56">
        <v>4050.6</v>
      </c>
      <c r="HA15" s="56">
        <v>3860.6</v>
      </c>
      <c r="HB15" s="56">
        <v>3863.6</v>
      </c>
      <c r="HC15">
        <v>3890.5</v>
      </c>
      <c r="HD15">
        <v>3882.9</v>
      </c>
      <c r="HE15">
        <v>3974.9</v>
      </c>
      <c r="HF15">
        <v>4001.5</v>
      </c>
      <c r="HG15">
        <v>4017.3</v>
      </c>
      <c r="HH15">
        <v>3987.8</v>
      </c>
      <c r="HI15">
        <v>3979.2</v>
      </c>
      <c r="HJ15">
        <v>4135</v>
      </c>
    </row>
    <row r="16" spans="1:218">
      <c r="A16" s="56" t="s">
        <v>2207</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114.2</v>
      </c>
      <c r="GQ16" s="56">
        <v>114.9</v>
      </c>
      <c r="GR16" s="56">
        <v>114.9</v>
      </c>
      <c r="GS16" s="56">
        <v>114.4</v>
      </c>
      <c r="GT16" s="56">
        <v>107</v>
      </c>
      <c r="GU16" s="56">
        <v>107.2</v>
      </c>
      <c r="GV16" s="56">
        <v>108.7</v>
      </c>
      <c r="GW16" s="56">
        <v>111.6</v>
      </c>
      <c r="GX16" s="56">
        <v>115.6</v>
      </c>
      <c r="GY16" s="56">
        <v>119.1</v>
      </c>
      <c r="GZ16" s="56">
        <v>121.9</v>
      </c>
      <c r="HA16" s="56">
        <v>124.2</v>
      </c>
      <c r="HB16" s="56">
        <v>125.9</v>
      </c>
      <c r="HC16">
        <v>127.3</v>
      </c>
      <c r="HD16">
        <v>128.4</v>
      </c>
      <c r="HE16">
        <v>129.19999999999999</v>
      </c>
      <c r="HF16">
        <v>129.69999999999999</v>
      </c>
      <c r="HG16">
        <v>130.4</v>
      </c>
      <c r="HH16">
        <v>131.19999999999999</v>
      </c>
      <c r="HI16">
        <v>132.1</v>
      </c>
      <c r="HJ16">
        <v>133.30000000000001</v>
      </c>
    </row>
    <row r="17" spans="1:218">
      <c r="A17" s="56" t="s">
        <v>2208</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2156.6999999999998</v>
      </c>
      <c r="GQ17" s="56">
        <v>2222.1999999999998</v>
      </c>
      <c r="GR17" s="56">
        <v>2197.9</v>
      </c>
      <c r="GS17" s="56">
        <v>2220.4</v>
      </c>
      <c r="GT17" s="56">
        <v>2255.9</v>
      </c>
      <c r="GU17" s="56">
        <v>2111.9</v>
      </c>
      <c r="GV17" s="56">
        <v>2263.3000000000002</v>
      </c>
      <c r="GW17" s="56">
        <v>2394.6999999999998</v>
      </c>
      <c r="GX17" s="56">
        <v>2577.6</v>
      </c>
      <c r="GY17" s="56">
        <v>2703.9</v>
      </c>
      <c r="GZ17" s="56">
        <v>2789.9</v>
      </c>
      <c r="HA17" s="56">
        <v>2901.6</v>
      </c>
      <c r="HB17" s="56">
        <v>3162.8</v>
      </c>
      <c r="HC17">
        <v>3157.8</v>
      </c>
      <c r="HD17">
        <v>3137</v>
      </c>
      <c r="HE17">
        <v>3095.7</v>
      </c>
      <c r="HF17">
        <v>2763.7</v>
      </c>
      <c r="HG17">
        <v>2703.8</v>
      </c>
      <c r="HH17">
        <v>2765.3</v>
      </c>
      <c r="HI17">
        <v>2792.5</v>
      </c>
      <c r="HJ17">
        <v>2949.1</v>
      </c>
    </row>
    <row r="18" spans="1:218">
      <c r="A18" s="56" t="s">
        <v>2209</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1507.5</v>
      </c>
      <c r="GQ18" s="56">
        <v>1519.2</v>
      </c>
      <c r="GR18" s="56">
        <v>1552</v>
      </c>
      <c r="GS18" s="56">
        <v>1553.8</v>
      </c>
      <c r="GT18" s="56">
        <v>1562.6</v>
      </c>
      <c r="GU18" s="56">
        <v>1420.9</v>
      </c>
      <c r="GV18" s="56">
        <v>1535.8</v>
      </c>
      <c r="GW18" s="56">
        <v>1562.7</v>
      </c>
      <c r="GX18" s="56">
        <v>1581.7</v>
      </c>
      <c r="GY18" s="56">
        <v>1675.1</v>
      </c>
      <c r="GZ18" s="56">
        <v>1685.4</v>
      </c>
      <c r="HA18" s="56">
        <v>1745.5</v>
      </c>
      <c r="HB18" s="56">
        <v>1784</v>
      </c>
      <c r="HC18">
        <v>1812.3</v>
      </c>
      <c r="HD18">
        <v>1824</v>
      </c>
      <c r="HE18">
        <v>1820.6</v>
      </c>
      <c r="HF18">
        <v>1831.1</v>
      </c>
      <c r="HG18">
        <v>1821.6</v>
      </c>
      <c r="HH18">
        <v>1830.7</v>
      </c>
      <c r="HI18">
        <v>1847.2</v>
      </c>
      <c r="HJ18">
        <v>1859.5</v>
      </c>
    </row>
    <row r="19" spans="1:218">
      <c r="A19" s="56" t="s">
        <v>2210</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273.3</v>
      </c>
      <c r="GQ19" s="56">
        <v>285.10000000000002</v>
      </c>
      <c r="GR19" s="56">
        <v>272.5</v>
      </c>
      <c r="GS19" s="56">
        <v>304.8</v>
      </c>
      <c r="GT19" s="56">
        <v>255.4</v>
      </c>
      <c r="GU19" s="56">
        <v>263.5</v>
      </c>
      <c r="GV19" s="56">
        <v>326.39999999999998</v>
      </c>
      <c r="GW19" s="56">
        <v>333.2</v>
      </c>
      <c r="GX19" s="56">
        <v>338.9</v>
      </c>
      <c r="GY19" s="56">
        <v>378.9</v>
      </c>
      <c r="GZ19" s="56">
        <v>391.5</v>
      </c>
      <c r="HA19" s="56">
        <v>454</v>
      </c>
      <c r="HB19">
        <v>513.9</v>
      </c>
      <c r="HC19">
        <v>532.29999999999995</v>
      </c>
      <c r="HD19">
        <v>529.79999999999995</v>
      </c>
      <c r="HE19">
        <v>534.1</v>
      </c>
      <c r="HF19">
        <v>561.1</v>
      </c>
      <c r="HG19">
        <v>554.1</v>
      </c>
      <c r="HH19">
        <v>566.70000000000005</v>
      </c>
      <c r="HI19">
        <v>595.1</v>
      </c>
      <c r="HJ19">
        <v>622.9</v>
      </c>
    </row>
    <row r="20" spans="1:218">
      <c r="A20" s="56" t="s">
        <v>2211</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3704.5</v>
      </c>
      <c r="GQ20" s="56">
        <v>3768.2</v>
      </c>
      <c r="GR20" s="56">
        <v>3821.5</v>
      </c>
      <c r="GS20" s="56">
        <v>3865.3</v>
      </c>
      <c r="GT20" s="56">
        <v>3943.7</v>
      </c>
      <c r="GU20" s="56">
        <v>4021.1</v>
      </c>
      <c r="GV20" s="56">
        <v>3996</v>
      </c>
      <c r="GW20" s="56">
        <v>4018.3</v>
      </c>
      <c r="GX20" s="56">
        <v>4143.8999999999996</v>
      </c>
      <c r="GY20" s="56">
        <v>4160.2</v>
      </c>
      <c r="GZ20" s="56">
        <v>4201.5</v>
      </c>
      <c r="HA20" s="56">
        <v>4266.6000000000004</v>
      </c>
      <c r="HB20" s="56">
        <v>4321.3999999999996</v>
      </c>
      <c r="HC20">
        <v>4415.7</v>
      </c>
      <c r="HD20">
        <v>4477.8999999999996</v>
      </c>
      <c r="HE20">
        <v>4572.3999999999996</v>
      </c>
      <c r="HF20">
        <v>4643.8999999999996</v>
      </c>
      <c r="HG20">
        <v>4669.8</v>
      </c>
      <c r="HH20">
        <v>4794.8</v>
      </c>
      <c r="HI20">
        <v>4871.8</v>
      </c>
      <c r="HJ20">
        <v>4941</v>
      </c>
    </row>
    <row r="21" spans="1:218">
      <c r="A21" s="56" t="s">
        <v>2212</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1416.8</v>
      </c>
      <c r="GQ21" s="56">
        <v>1424.1</v>
      </c>
      <c r="GR21" s="56">
        <v>1430.6</v>
      </c>
      <c r="GS21" s="56">
        <v>1448.4</v>
      </c>
      <c r="GT21" s="56">
        <v>1473.5</v>
      </c>
      <c r="GU21" s="56">
        <v>1402.7</v>
      </c>
      <c r="GV21" s="56">
        <v>1452.4</v>
      </c>
      <c r="GW21" s="56">
        <v>1489.7</v>
      </c>
      <c r="GX21" s="56">
        <v>1505.9</v>
      </c>
      <c r="GY21" s="56">
        <v>1541.8</v>
      </c>
      <c r="GZ21" s="56">
        <v>1579.4</v>
      </c>
      <c r="HA21" s="56">
        <v>1626.3</v>
      </c>
      <c r="HB21" s="56">
        <v>1668.8</v>
      </c>
      <c r="HC21">
        <v>1690.4</v>
      </c>
      <c r="HD21">
        <v>1731.9</v>
      </c>
      <c r="HE21">
        <v>1738.6</v>
      </c>
      <c r="HF21">
        <v>1779.9</v>
      </c>
      <c r="HG21">
        <v>1800.1</v>
      </c>
      <c r="HH21">
        <v>1823.3</v>
      </c>
      <c r="HI21">
        <v>1831.7</v>
      </c>
      <c r="HJ21">
        <v>1869.6</v>
      </c>
    </row>
    <row r="22" spans="1:218">
      <c r="A22" s="56" t="s">
        <v>2213</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102.875</v>
      </c>
      <c r="GQ22" s="56">
        <v>103.419</v>
      </c>
      <c r="GR22" s="56">
        <v>103.67</v>
      </c>
      <c r="GS22" s="56">
        <v>104.07299999999999</v>
      </c>
      <c r="GT22" s="56">
        <v>104.40600000000001</v>
      </c>
      <c r="GU22" s="56">
        <v>103.949</v>
      </c>
      <c r="GV22" s="56">
        <v>104.801</v>
      </c>
      <c r="GW22" s="56">
        <v>105.319</v>
      </c>
      <c r="GX22" s="56">
        <v>106.547</v>
      </c>
      <c r="GY22" s="56">
        <v>108.17400000000001</v>
      </c>
      <c r="GZ22" s="56">
        <v>109.673</v>
      </c>
      <c r="HA22" s="56">
        <v>111.48699999999999</v>
      </c>
      <c r="HB22" s="56">
        <v>113.574</v>
      </c>
      <c r="HC22">
        <v>115.568</v>
      </c>
      <c r="HD22">
        <v>116.902</v>
      </c>
      <c r="HE22">
        <v>118.098</v>
      </c>
      <c r="HF22">
        <v>119.309</v>
      </c>
      <c r="HG22">
        <v>120.044</v>
      </c>
      <c r="HH22">
        <v>120.81399999999999</v>
      </c>
      <c r="HI22">
        <v>121.35</v>
      </c>
      <c r="HJ22">
        <v>122.371</v>
      </c>
    </row>
    <row r="23" spans="1:218">
      <c r="A23" s="56" t="s">
        <v>2214</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1401.1</v>
      </c>
      <c r="GQ23" s="56">
        <v>1412.1</v>
      </c>
      <c r="GR23" s="56">
        <v>1433.6</v>
      </c>
      <c r="GS23" s="56">
        <v>1442</v>
      </c>
      <c r="GT23" s="56">
        <v>1464.7</v>
      </c>
      <c r="GU23" s="56">
        <v>1569.8</v>
      </c>
      <c r="GV23" s="56">
        <v>1527.7</v>
      </c>
      <c r="GW23" s="56">
        <v>1531.4</v>
      </c>
      <c r="GX23" s="56">
        <v>1609.9</v>
      </c>
      <c r="GY23" s="56">
        <v>1588.5</v>
      </c>
      <c r="GZ23" s="56">
        <v>1576.4</v>
      </c>
      <c r="HA23" s="56">
        <v>1602.5</v>
      </c>
      <c r="HB23" s="56">
        <v>1601.7</v>
      </c>
      <c r="HC23">
        <v>1612.3</v>
      </c>
      <c r="HD23">
        <v>1636.3</v>
      </c>
      <c r="HE23">
        <v>1691.8</v>
      </c>
      <c r="HF23">
        <v>1730.6</v>
      </c>
      <c r="HG23">
        <v>1744.3</v>
      </c>
      <c r="HH23">
        <v>1791.9</v>
      </c>
      <c r="HI23">
        <v>1820</v>
      </c>
      <c r="HJ23">
        <v>1837.4</v>
      </c>
    </row>
    <row r="24" spans="1:218">
      <c r="A24" s="56" t="s">
        <v>2215</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2303.5</v>
      </c>
      <c r="GQ24" s="56">
        <v>2356.1</v>
      </c>
      <c r="GR24" s="56">
        <v>2387.9</v>
      </c>
      <c r="GS24" s="56">
        <v>2423.4</v>
      </c>
      <c r="GT24" s="56">
        <v>2478.9</v>
      </c>
      <c r="GU24" s="56">
        <v>2451.3000000000002</v>
      </c>
      <c r="GV24" s="56">
        <v>2468.3000000000002</v>
      </c>
      <c r="GW24" s="56">
        <v>2486.9</v>
      </c>
      <c r="GX24" s="56">
        <v>2533.9</v>
      </c>
      <c r="GY24" s="56">
        <v>2571.6999999999998</v>
      </c>
      <c r="GZ24" s="56">
        <v>2625.1</v>
      </c>
      <c r="HA24" s="56">
        <v>2664.2</v>
      </c>
      <c r="HB24" s="56">
        <v>2719.7</v>
      </c>
      <c r="HC24">
        <v>2803.4</v>
      </c>
      <c r="HD24">
        <v>2841.5</v>
      </c>
      <c r="HE24">
        <v>2880.6</v>
      </c>
      <c r="HF24">
        <v>2913.2</v>
      </c>
      <c r="HG24">
        <v>2925.5</v>
      </c>
      <c r="HH24">
        <v>3002.9</v>
      </c>
      <c r="HI24">
        <v>3051.8</v>
      </c>
      <c r="HJ24">
        <v>3103.6</v>
      </c>
    </row>
    <row r="25" spans="1:218">
      <c r="A25" s="56" t="s">
        <v>2216</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1336.2</v>
      </c>
      <c r="GQ25" s="56">
        <v>1354.7</v>
      </c>
      <c r="GR25" s="56">
        <v>1373.2</v>
      </c>
      <c r="GS25" s="56">
        <v>1376.4</v>
      </c>
      <c r="GT25" s="56">
        <v>1393.8</v>
      </c>
      <c r="GU25" s="56">
        <v>1493.5</v>
      </c>
      <c r="GV25" s="56">
        <v>1445.2</v>
      </c>
      <c r="GW25" s="56">
        <v>1438.1</v>
      </c>
      <c r="GX25" s="56">
        <v>1499.1</v>
      </c>
      <c r="GY25" s="56">
        <v>1464.8</v>
      </c>
      <c r="GZ25" s="56">
        <v>1439.1</v>
      </c>
      <c r="HA25" s="56">
        <v>1446.5</v>
      </c>
      <c r="HB25" s="56">
        <v>1420.9</v>
      </c>
      <c r="HC25">
        <v>1406.9</v>
      </c>
      <c r="HD25">
        <v>1411.2</v>
      </c>
      <c r="HE25">
        <v>1444.5</v>
      </c>
      <c r="HF25">
        <v>1462.8</v>
      </c>
      <c r="HG25">
        <v>1466.9</v>
      </c>
      <c r="HH25">
        <v>1492.3</v>
      </c>
      <c r="HI25">
        <v>1501</v>
      </c>
      <c r="HJ25">
        <v>1500.1</v>
      </c>
    </row>
    <row r="26" spans="1:218">
      <c r="A26" s="56" t="s">
        <v>2217</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2199.3000000000002</v>
      </c>
      <c r="GQ26" s="56">
        <v>2234.3000000000002</v>
      </c>
      <c r="GR26" s="56">
        <v>2256</v>
      </c>
      <c r="GS26" s="56">
        <v>2275.6</v>
      </c>
      <c r="GT26" s="56">
        <v>2298</v>
      </c>
      <c r="GU26" s="56">
        <v>2277.1</v>
      </c>
      <c r="GV26" s="56">
        <v>2265.5</v>
      </c>
      <c r="GW26" s="56">
        <v>2254.5</v>
      </c>
      <c r="GX26" s="56">
        <v>2247</v>
      </c>
      <c r="GY26" s="56">
        <v>2239.1999999999998</v>
      </c>
      <c r="GZ26" s="56">
        <v>2250.1</v>
      </c>
      <c r="HA26" s="56">
        <v>2240.9</v>
      </c>
      <c r="HB26" s="56">
        <v>2238.4</v>
      </c>
      <c r="HC26">
        <v>2234.1</v>
      </c>
      <c r="HD26">
        <v>2255.1</v>
      </c>
      <c r="HE26">
        <v>2270.8000000000002</v>
      </c>
      <c r="HF26">
        <v>2296.5</v>
      </c>
      <c r="HG26">
        <v>2323</v>
      </c>
      <c r="HH26">
        <v>2351.4</v>
      </c>
      <c r="HI26">
        <v>2385.9</v>
      </c>
      <c r="HJ26">
        <v>2403.6999999999998</v>
      </c>
    </row>
    <row r="27" spans="1:218">
      <c r="A27" s="56" t="s">
        <v>2218</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1683.6</v>
      </c>
      <c r="GQ27" s="56">
        <v>1689.1</v>
      </c>
      <c r="GR27" s="56">
        <v>1700.3</v>
      </c>
      <c r="GS27" s="56">
        <v>1732.4</v>
      </c>
      <c r="GT27" s="56">
        <v>1767.8</v>
      </c>
      <c r="GU27" s="56">
        <v>1631.4</v>
      </c>
      <c r="GV27" s="56">
        <v>1747.9</v>
      </c>
      <c r="GW27" s="56">
        <v>1866.9</v>
      </c>
      <c r="GX27" s="56">
        <v>2013.4</v>
      </c>
      <c r="GY27" s="56">
        <v>2118.4</v>
      </c>
      <c r="GZ27" s="56">
        <v>2200</v>
      </c>
      <c r="HA27" s="56">
        <v>2265.3000000000002</v>
      </c>
      <c r="HB27" s="56">
        <v>2506.9</v>
      </c>
      <c r="HC27">
        <v>2502.6</v>
      </c>
      <c r="HD27">
        <v>2521.9</v>
      </c>
      <c r="HE27">
        <v>2490.1</v>
      </c>
      <c r="HF27">
        <v>2181</v>
      </c>
      <c r="HG27">
        <v>2175.1</v>
      </c>
      <c r="HH27">
        <v>2188.6999999999998</v>
      </c>
      <c r="HI27">
        <v>2199.8000000000002</v>
      </c>
      <c r="HJ27">
        <v>2364.6999999999998</v>
      </c>
    </row>
    <row r="28" spans="1:218">
      <c r="A28" s="56" t="s">
        <v>2219</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173.8</v>
      </c>
      <c r="GQ28" s="56">
        <v>170.4</v>
      </c>
      <c r="GR28" s="56">
        <v>177.8</v>
      </c>
      <c r="GS28" s="56">
        <v>177.7</v>
      </c>
      <c r="GT28" s="56">
        <v>183.2</v>
      </c>
      <c r="GU28" s="56">
        <v>130.4</v>
      </c>
      <c r="GV28" s="56">
        <v>150.1</v>
      </c>
      <c r="GW28" s="56">
        <v>157.80000000000001</v>
      </c>
      <c r="GX28" s="56">
        <v>160.9</v>
      </c>
      <c r="GY28" s="56">
        <v>180.5</v>
      </c>
      <c r="GZ28" s="56">
        <v>182.1</v>
      </c>
      <c r="HA28" s="56">
        <v>191</v>
      </c>
      <c r="HB28" s="56">
        <v>200.9</v>
      </c>
      <c r="HC28">
        <v>202.8</v>
      </c>
      <c r="HD28">
        <v>192.2</v>
      </c>
      <c r="HE28">
        <v>180.9</v>
      </c>
      <c r="HF28">
        <v>177</v>
      </c>
      <c r="HG28">
        <v>175.4</v>
      </c>
      <c r="HH28">
        <v>171.6</v>
      </c>
      <c r="HI28">
        <v>169.6</v>
      </c>
      <c r="HJ28">
        <v>171.5</v>
      </c>
    </row>
    <row r="29" spans="1:218">
      <c r="A29" s="56" t="s">
        <v>2220</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200.1</v>
      </c>
      <c r="GQ29" s="56">
        <v>210.4</v>
      </c>
      <c r="GR29" s="56">
        <v>198.2</v>
      </c>
      <c r="GS29" s="56">
        <v>233.1</v>
      </c>
      <c r="GT29" s="56">
        <v>189.6</v>
      </c>
      <c r="GU29" s="56">
        <v>199.8</v>
      </c>
      <c r="GV29" s="56">
        <v>246.8</v>
      </c>
      <c r="GW29" s="56">
        <v>250.9</v>
      </c>
      <c r="GX29" s="56">
        <v>252.3</v>
      </c>
      <c r="GY29" s="56">
        <v>283.60000000000002</v>
      </c>
      <c r="GZ29" s="56">
        <v>279.8</v>
      </c>
      <c r="HA29" s="56">
        <v>303.89999999999998</v>
      </c>
      <c r="HB29">
        <v>329.8</v>
      </c>
      <c r="HC29">
        <v>388.8</v>
      </c>
      <c r="HD29">
        <v>383.6</v>
      </c>
      <c r="HE29">
        <v>373.6</v>
      </c>
      <c r="HF29">
        <v>388.6</v>
      </c>
      <c r="HG29">
        <v>403.3</v>
      </c>
      <c r="HH29">
        <v>418</v>
      </c>
      <c r="HI29">
        <v>429.4</v>
      </c>
      <c r="HJ29">
        <v>453.8</v>
      </c>
    </row>
    <row r="30" spans="1:218">
      <c r="A30" s="56" t="s">
        <v>2221</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1395.9</v>
      </c>
      <c r="GQ30" s="56">
        <v>1403.3</v>
      </c>
      <c r="GR30" s="56">
        <v>1410</v>
      </c>
      <c r="GS30" s="56">
        <v>1427.9</v>
      </c>
      <c r="GT30" s="56">
        <v>1453.3</v>
      </c>
      <c r="GU30" s="56">
        <v>1383.5</v>
      </c>
      <c r="GV30" s="56">
        <v>1432.5</v>
      </c>
      <c r="GW30" s="56">
        <v>1469</v>
      </c>
      <c r="GX30" s="56">
        <v>1484.6</v>
      </c>
      <c r="GY30" s="56">
        <v>1519.7</v>
      </c>
      <c r="GZ30" s="56">
        <v>1556.8</v>
      </c>
      <c r="HA30" s="56">
        <v>1603.4</v>
      </c>
      <c r="HB30" s="56">
        <v>1645.9</v>
      </c>
      <c r="HC30">
        <v>1667.8</v>
      </c>
      <c r="HD30">
        <v>1709.6</v>
      </c>
      <c r="HE30">
        <v>1716.7</v>
      </c>
      <c r="HF30">
        <v>1758.5</v>
      </c>
      <c r="HG30">
        <v>1778.7</v>
      </c>
      <c r="HH30">
        <v>1801.4</v>
      </c>
      <c r="HI30">
        <v>1808.9</v>
      </c>
      <c r="HJ30">
        <v>1845.3</v>
      </c>
    </row>
    <row r="31" spans="1:218">
      <c r="A31" s="56" t="s">
        <v>2222</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2303.6</v>
      </c>
      <c r="GQ31" s="56">
        <v>2320.1</v>
      </c>
      <c r="GR31" s="56">
        <v>2332.9</v>
      </c>
      <c r="GS31" s="56">
        <v>2346.6</v>
      </c>
      <c r="GT31" s="56">
        <v>2412.6</v>
      </c>
      <c r="GU31" s="56">
        <v>4652.1000000000004</v>
      </c>
      <c r="GV31" s="56">
        <v>3508</v>
      </c>
      <c r="GW31" s="56">
        <v>2895.4</v>
      </c>
      <c r="GX31" s="56">
        <v>5127.3999999999996</v>
      </c>
      <c r="GY31" s="56">
        <v>3403.8</v>
      </c>
      <c r="GZ31" s="56">
        <v>3135</v>
      </c>
      <c r="HA31" s="56">
        <v>2947.7</v>
      </c>
      <c r="HB31" s="56">
        <v>2903.2</v>
      </c>
      <c r="HC31">
        <v>2895.2</v>
      </c>
      <c r="HD31">
        <v>2867.4</v>
      </c>
      <c r="HE31">
        <v>2896.7</v>
      </c>
      <c r="HF31">
        <v>2945.8</v>
      </c>
      <c r="HG31">
        <v>2929.7</v>
      </c>
      <c r="HH31">
        <v>2930.1</v>
      </c>
      <c r="HI31">
        <v>2934</v>
      </c>
      <c r="HJ31">
        <v>3040.2</v>
      </c>
    </row>
    <row r="32" spans="1:218">
      <c r="A32" s="56" t="s">
        <v>2223</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593.1</v>
      </c>
      <c r="GQ32" s="56">
        <v>610.70000000000005</v>
      </c>
      <c r="GR32" s="56">
        <v>610.4</v>
      </c>
      <c r="GS32" s="56">
        <v>621.79999999999995</v>
      </c>
      <c r="GT32" s="56">
        <v>638.20000000000005</v>
      </c>
      <c r="GU32" s="56">
        <v>1388.6</v>
      </c>
      <c r="GV32" s="56">
        <v>737</v>
      </c>
      <c r="GW32" s="56">
        <v>751.3</v>
      </c>
      <c r="GX32" s="56">
        <v>781.8</v>
      </c>
      <c r="GY32" s="56">
        <v>1645.9</v>
      </c>
      <c r="GZ32" s="56">
        <v>1084.4000000000001</v>
      </c>
      <c r="HA32" s="56">
        <v>929</v>
      </c>
      <c r="HB32" s="56">
        <v>937.5</v>
      </c>
      <c r="HC32">
        <v>961.8</v>
      </c>
      <c r="HD32">
        <v>950.2</v>
      </c>
      <c r="HE32">
        <v>946.2</v>
      </c>
      <c r="HF32">
        <v>974.6</v>
      </c>
      <c r="HG32">
        <v>974.1</v>
      </c>
      <c r="HH32">
        <v>918.5</v>
      </c>
      <c r="HI32">
        <v>941.6</v>
      </c>
      <c r="HJ32">
        <v>928.4</v>
      </c>
    </row>
    <row r="33" spans="1:218">
      <c r="A33" s="56" t="s">
        <v>2224</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473.1</v>
      </c>
      <c r="GQ33" s="56">
        <v>533.1</v>
      </c>
      <c r="GR33" s="56">
        <v>497.6</v>
      </c>
      <c r="GS33" s="56">
        <v>488</v>
      </c>
      <c r="GT33" s="56">
        <v>488.2</v>
      </c>
      <c r="GU33" s="56">
        <v>480.5</v>
      </c>
      <c r="GV33" s="56">
        <v>515.5</v>
      </c>
      <c r="GW33" s="56">
        <v>527.9</v>
      </c>
      <c r="GX33" s="56">
        <v>564.20000000000005</v>
      </c>
      <c r="GY33" s="56">
        <v>585.6</v>
      </c>
      <c r="GZ33" s="56">
        <v>589.79999999999995</v>
      </c>
      <c r="HA33" s="56">
        <v>636.29999999999995</v>
      </c>
      <c r="HB33" s="56">
        <v>655.9</v>
      </c>
      <c r="HC33">
        <v>655.1</v>
      </c>
      <c r="HD33">
        <v>615.20000000000005</v>
      </c>
      <c r="HE33">
        <v>605.6</v>
      </c>
      <c r="HF33">
        <v>582.70000000000005</v>
      </c>
      <c r="HG33">
        <v>528.79999999999995</v>
      </c>
      <c r="HH33">
        <v>576.6</v>
      </c>
      <c r="HI33">
        <v>592.6</v>
      </c>
      <c r="HJ33">
        <v>584.4</v>
      </c>
    </row>
    <row r="34" spans="1:218">
      <c r="A34" s="56" t="s">
        <v>2225</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1333.7</v>
      </c>
      <c r="GQ34" s="56">
        <v>1348.8</v>
      </c>
      <c r="GR34" s="56">
        <v>1374.2</v>
      </c>
      <c r="GS34" s="56">
        <v>1376.1</v>
      </c>
      <c r="GT34" s="56">
        <v>1379.4</v>
      </c>
      <c r="GU34" s="56">
        <v>1290.5</v>
      </c>
      <c r="GV34" s="56">
        <v>1385.7</v>
      </c>
      <c r="GW34" s="56">
        <v>1405</v>
      </c>
      <c r="GX34" s="56">
        <v>1420.8</v>
      </c>
      <c r="GY34" s="56">
        <v>1494.6</v>
      </c>
      <c r="GZ34" s="56">
        <v>1503.3</v>
      </c>
      <c r="HA34" s="56">
        <v>1554.5</v>
      </c>
      <c r="HB34" s="56">
        <v>1583.1</v>
      </c>
      <c r="HC34">
        <v>1609.6</v>
      </c>
      <c r="HD34">
        <v>1631.8</v>
      </c>
      <c r="HE34">
        <v>1639.6</v>
      </c>
      <c r="HF34">
        <v>1654.1</v>
      </c>
      <c r="HG34">
        <v>1646.2</v>
      </c>
      <c r="HH34">
        <v>1659.2</v>
      </c>
      <c r="HI34">
        <v>1677.6</v>
      </c>
      <c r="HJ34">
        <v>1688</v>
      </c>
    </row>
    <row r="35" spans="1:218">
      <c r="A35" s="56" t="s">
        <v>2226</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73.3</v>
      </c>
      <c r="GQ35" s="56">
        <v>74.7</v>
      </c>
      <c r="GR35" s="56">
        <v>74.2</v>
      </c>
      <c r="GS35" s="56">
        <v>71.7</v>
      </c>
      <c r="GT35" s="56">
        <v>65.8</v>
      </c>
      <c r="GU35" s="56">
        <v>63.7</v>
      </c>
      <c r="GV35" s="56">
        <v>79.599999999999994</v>
      </c>
      <c r="GW35" s="56">
        <v>82.3</v>
      </c>
      <c r="GX35" s="56">
        <v>86.5</v>
      </c>
      <c r="GY35" s="56">
        <v>95.3</v>
      </c>
      <c r="GZ35" s="56">
        <v>111.7</v>
      </c>
      <c r="HA35" s="56">
        <v>150.1</v>
      </c>
      <c r="HB35">
        <v>184.2</v>
      </c>
      <c r="HC35">
        <v>143.5</v>
      </c>
      <c r="HD35">
        <v>146.19999999999999</v>
      </c>
      <c r="HE35">
        <v>160.5</v>
      </c>
      <c r="HF35">
        <v>172.5</v>
      </c>
      <c r="HG35">
        <v>150.69999999999999</v>
      </c>
      <c r="HH35">
        <v>148.69999999999999</v>
      </c>
      <c r="HI35">
        <v>165.7</v>
      </c>
      <c r="HJ35">
        <v>169.1</v>
      </c>
    </row>
    <row r="36" spans="1:218">
      <c r="A36" s="56" t="s">
        <v>2227</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20.399999999999999</v>
      </c>
      <c r="GT36" s="56">
        <v>20.3</v>
      </c>
      <c r="GU36" s="56">
        <v>19.3</v>
      </c>
      <c r="GV36" s="56">
        <v>19.899999999999999</v>
      </c>
      <c r="GW36" s="56">
        <v>20.7</v>
      </c>
      <c r="GX36" s="56">
        <v>21.3</v>
      </c>
      <c r="GY36" s="56">
        <v>22</v>
      </c>
      <c r="GZ36" s="56">
        <v>22.6</v>
      </c>
      <c r="HA36" s="56">
        <v>22.9</v>
      </c>
      <c r="HB36" s="56">
        <v>22.9</v>
      </c>
      <c r="HC36">
        <v>22.6</v>
      </c>
      <c r="HD36">
        <v>22.4</v>
      </c>
      <c r="HE36">
        <v>22</v>
      </c>
      <c r="HF36">
        <v>21.5</v>
      </c>
      <c r="HG36">
        <v>21.4</v>
      </c>
      <c r="HH36">
        <v>21.9</v>
      </c>
      <c r="HI36">
        <v>22.8</v>
      </c>
      <c r="HJ36">
        <v>24.3</v>
      </c>
    </row>
    <row r="37" spans="1:218">
      <c r="A37" s="56" t="s">
        <v>2228</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744.2</v>
      </c>
      <c r="GQ37" s="56">
        <v>762.1</v>
      </c>
      <c r="GR37" s="56">
        <v>772.2</v>
      </c>
      <c r="GS37" s="56">
        <v>772.4</v>
      </c>
      <c r="GT37" s="56">
        <v>761.7</v>
      </c>
      <c r="GU37" s="56">
        <v>812.1</v>
      </c>
      <c r="GV37" s="56">
        <v>850.2</v>
      </c>
      <c r="GW37" s="56">
        <v>838.8</v>
      </c>
      <c r="GX37" s="56">
        <v>866.1</v>
      </c>
      <c r="GY37" s="56">
        <v>908</v>
      </c>
      <c r="GZ37" s="56">
        <v>915.6</v>
      </c>
      <c r="HA37" s="56">
        <v>912.9</v>
      </c>
      <c r="HB37" s="56">
        <v>960.5</v>
      </c>
      <c r="HC37">
        <v>995.3</v>
      </c>
      <c r="HD37">
        <v>1015.5</v>
      </c>
      <c r="HE37">
        <v>1078.2</v>
      </c>
      <c r="HF37">
        <v>1055.7</v>
      </c>
      <c r="HG37">
        <v>1087.5</v>
      </c>
      <c r="HH37">
        <v>1057.5999999999999</v>
      </c>
      <c r="HI37">
        <v>1045.2</v>
      </c>
      <c r="HJ37">
        <v>1094.8</v>
      </c>
    </row>
    <row r="38" spans="1:218">
      <c r="A38" s="56" t="s">
        <v>2229</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3072.9</v>
      </c>
      <c r="GQ38" s="56">
        <v>3145</v>
      </c>
      <c r="GR38" s="56">
        <v>3186</v>
      </c>
      <c r="GS38" s="56">
        <v>3217.4</v>
      </c>
      <c r="GT38" s="56">
        <v>3253.3</v>
      </c>
      <c r="GU38" s="56">
        <v>3270.2</v>
      </c>
      <c r="GV38" s="56">
        <v>3318.1</v>
      </c>
      <c r="GW38" s="56">
        <v>3320.8</v>
      </c>
      <c r="GX38" s="56">
        <v>3391.6</v>
      </c>
      <c r="GY38" s="56">
        <v>3465</v>
      </c>
      <c r="GZ38" s="56">
        <v>3501.8</v>
      </c>
      <c r="HA38" s="56">
        <v>3516.4</v>
      </c>
      <c r="HB38" s="56">
        <v>3592.5</v>
      </c>
      <c r="HC38">
        <v>3691.8</v>
      </c>
      <c r="HD38">
        <v>3753.6</v>
      </c>
      <c r="HE38">
        <v>3851.6</v>
      </c>
      <c r="HF38">
        <v>3877.6</v>
      </c>
      <c r="HG38">
        <v>3934.2</v>
      </c>
      <c r="HH38">
        <v>3985.3</v>
      </c>
      <c r="HI38">
        <v>4017.4</v>
      </c>
      <c r="HJ38">
        <v>4105</v>
      </c>
    </row>
    <row r="39" spans="1:218">
      <c r="A39" s="56" t="s">
        <v>2230</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428.54199999999997</v>
      </c>
      <c r="GQ39" s="56">
        <v>435.80200000000002</v>
      </c>
      <c r="GR39" s="56">
        <v>438.41199999999998</v>
      </c>
      <c r="GS39" s="56">
        <v>438.09800000000001</v>
      </c>
      <c r="GT39" s="56">
        <v>448.28899999999999</v>
      </c>
      <c r="GU39" s="56">
        <v>580.39099999999996</v>
      </c>
      <c r="GV39" s="56">
        <v>533.846</v>
      </c>
      <c r="GW39" s="56">
        <v>544.28700000000003</v>
      </c>
      <c r="GX39" s="56">
        <v>541.42399999999998</v>
      </c>
      <c r="GY39" s="56">
        <v>556.03399999999999</v>
      </c>
      <c r="GZ39" s="56">
        <v>581.58000000000004</v>
      </c>
      <c r="HA39" s="56">
        <v>611.87599999999998</v>
      </c>
      <c r="HB39" s="56">
        <v>640.38</v>
      </c>
      <c r="HC39">
        <v>637.29200000000003</v>
      </c>
      <c r="HD39">
        <v>641.39700000000005</v>
      </c>
      <c r="HE39">
        <v>640.96799999999996</v>
      </c>
      <c r="HF39">
        <v>663.50199999999995</v>
      </c>
      <c r="HG39">
        <v>669.447</v>
      </c>
      <c r="HH39">
        <v>622.95699999999999</v>
      </c>
      <c r="HI39">
        <v>646.50400000000002</v>
      </c>
      <c r="HJ39">
        <v>643.06399999999996</v>
      </c>
    </row>
    <row r="40" spans="1:218">
      <c r="A40" s="56" t="s">
        <v>2231</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406.23</v>
      </c>
      <c r="GQ40" s="56">
        <v>414.87200000000001</v>
      </c>
      <c r="GR40" s="56">
        <v>418.36200000000002</v>
      </c>
      <c r="GS40" s="56">
        <v>414.971</v>
      </c>
      <c r="GT40" s="56">
        <v>424.089</v>
      </c>
      <c r="GU40" s="56">
        <v>505.45</v>
      </c>
      <c r="GV40" s="56">
        <v>483.86599999999999</v>
      </c>
      <c r="GW40" s="56">
        <v>506.75599999999997</v>
      </c>
      <c r="GX40" s="56">
        <v>501.459</v>
      </c>
      <c r="GY40" s="56">
        <v>526.38599999999997</v>
      </c>
      <c r="GZ40" s="56">
        <v>541.66800000000001</v>
      </c>
      <c r="HA40" s="56">
        <v>563.64300000000003</v>
      </c>
      <c r="HB40" s="56">
        <v>594.56200000000001</v>
      </c>
      <c r="HC40">
        <v>595.59299999999996</v>
      </c>
      <c r="HD40">
        <v>607.94899999999996</v>
      </c>
      <c r="HE40">
        <v>607.13699999999994</v>
      </c>
      <c r="HF40">
        <v>630.96299999999997</v>
      </c>
      <c r="HG40">
        <v>639.71100000000001</v>
      </c>
      <c r="HH40">
        <v>590.947</v>
      </c>
      <c r="HI40">
        <v>616.99699999999996</v>
      </c>
      <c r="HJ40">
        <v>613.56899999999996</v>
      </c>
    </row>
    <row r="41" spans="1:218">
      <c r="A41" s="56" t="s">
        <v>2232</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67.274000000000001</v>
      </c>
      <c r="GQ41" s="56">
        <v>67.611000000000004</v>
      </c>
      <c r="GR41" s="56">
        <v>71.308000000000007</v>
      </c>
      <c r="GS41" s="56">
        <v>72.156000000000006</v>
      </c>
      <c r="GT41" s="56">
        <v>75.245999999999995</v>
      </c>
      <c r="GU41" s="56">
        <v>75.986000000000004</v>
      </c>
      <c r="GV41" s="56">
        <v>79.650999999999996</v>
      </c>
      <c r="GW41" s="56">
        <v>75.400999999999996</v>
      </c>
      <c r="GX41" s="56">
        <v>73.034999999999997</v>
      </c>
      <c r="GY41" s="56">
        <v>75.13</v>
      </c>
      <c r="GZ41" s="56">
        <v>70.191999999999993</v>
      </c>
      <c r="HA41" s="56">
        <v>72.266999999999996</v>
      </c>
      <c r="HB41" s="56">
        <v>74.974000000000004</v>
      </c>
      <c r="HC41">
        <v>428.19</v>
      </c>
      <c r="HD41">
        <v>145.27699999999999</v>
      </c>
      <c r="HE41">
        <v>81.352000000000004</v>
      </c>
      <c r="HF41">
        <v>80.510999999999996</v>
      </c>
      <c r="HG41">
        <v>86.768000000000001</v>
      </c>
      <c r="HH41">
        <v>90.495000000000005</v>
      </c>
      <c r="HI41">
        <v>88.635000000000005</v>
      </c>
      <c r="HJ41">
        <v>90.14</v>
      </c>
    </row>
    <row r="42" spans="1:218">
      <c r="A42" s="56" t="s">
        <v>2233</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975.8</v>
      </c>
      <c r="GV42" s="56">
        <v>1108.4000000000001</v>
      </c>
      <c r="GW42" s="56">
        <v>460.7</v>
      </c>
      <c r="GX42" s="56">
        <v>385.5</v>
      </c>
      <c r="GY42" s="56">
        <v>692.7</v>
      </c>
      <c r="GZ42" s="56">
        <v>547.1</v>
      </c>
      <c r="HA42" s="56">
        <v>293.2</v>
      </c>
      <c r="HB42" s="56">
        <v>151.4</v>
      </c>
      <c r="HC42">
        <v>129.5</v>
      </c>
      <c r="HD42">
        <v>117.7</v>
      </c>
      <c r="HE42">
        <v>108.6</v>
      </c>
      <c r="HF42">
        <v>100.7</v>
      </c>
      <c r="HG42">
        <v>99.2</v>
      </c>
      <c r="HH42">
        <v>102.4</v>
      </c>
      <c r="HI42">
        <v>99.3</v>
      </c>
      <c r="HJ42">
        <v>96.5</v>
      </c>
    </row>
    <row r="43" spans="1:218">
      <c r="A43" s="56" t="s">
        <v>2234</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row>
    <row r="44" spans="1:218">
      <c r="A44" s="56" t="s">
        <v>2235</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80.599999999999994</v>
      </c>
      <c r="GU44" s="56">
        <v>976.4</v>
      </c>
      <c r="GV44" s="56">
        <v>1109</v>
      </c>
      <c r="GW44" s="56">
        <v>461.4</v>
      </c>
      <c r="GX44" s="56">
        <v>388</v>
      </c>
      <c r="GY44" s="56">
        <v>701.3</v>
      </c>
      <c r="GZ44" s="56">
        <v>547.79999999999995</v>
      </c>
      <c r="HA44" s="56">
        <v>293.89999999999998</v>
      </c>
      <c r="HB44" s="56">
        <v>152</v>
      </c>
      <c r="HC44">
        <v>130.1</v>
      </c>
      <c r="HD44">
        <v>118.4</v>
      </c>
      <c r="HE44">
        <v>109.2</v>
      </c>
      <c r="HF44">
        <v>101.4</v>
      </c>
      <c r="HG44">
        <v>99.9</v>
      </c>
      <c r="HH44">
        <v>103.1</v>
      </c>
      <c r="HI44">
        <v>100</v>
      </c>
      <c r="HJ44">
        <v>97.2</v>
      </c>
    </row>
    <row r="45" spans="1:218">
      <c r="A45" s="56" t="s">
        <v>2236</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18">
      <c r="A46" s="56" t="s">
        <v>2237</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18">
      <c r="A47" s="56" t="s">
        <v>2238</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18">
      <c r="A48" s="56" t="s">
        <v>2239</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c r="A49" s="56" t="s">
        <v>2240</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c r="A50" s="56" t="s">
        <v>2241</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c r="A51" s="56" t="s">
        <v>2242</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c r="A52" s="56" t="s">
        <v>2243</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c r="A53" s="56" t="s">
        <v>2244</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c r="A54" s="56" t="s">
        <v>2245</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c r="A55" s="56" t="s">
        <v>2246</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c r="A56" s="56" t="s">
        <v>2247</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c r="A57" s="56" t="s">
        <v>2248</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c r="A58" s="56" t="s">
        <v>2249</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c r="A59" s="56" t="s">
        <v>2250</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c r="A60" s="56" t="s">
        <v>2251</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c r="A61" s="56" t="s">
        <v>2252</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c r="A62" s="56" t="s">
        <v>2253</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c r="A63" s="56" t="s">
        <v>2254</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c r="A64" s="56" t="s">
        <v>2255</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18">
      <c r="A65" s="56" t="s">
        <v>2256</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85.7</v>
      </c>
      <c r="GQ65" s="56">
        <v>78.7</v>
      </c>
      <c r="GR65" s="56">
        <v>82.7</v>
      </c>
      <c r="GS65" s="56">
        <v>133.6</v>
      </c>
      <c r="GT65" s="56">
        <v>95.1</v>
      </c>
      <c r="GU65" s="56">
        <v>92.9</v>
      </c>
      <c r="GV65" s="56">
        <v>93.1</v>
      </c>
      <c r="GW65" s="56">
        <v>88.8</v>
      </c>
      <c r="GX65" s="56">
        <v>318.60000000000002</v>
      </c>
      <c r="GY65" s="56">
        <v>87.2</v>
      </c>
      <c r="GZ65" s="56">
        <v>99.2</v>
      </c>
      <c r="HA65" s="56">
        <v>89.1</v>
      </c>
      <c r="HB65" s="56">
        <v>92.2</v>
      </c>
      <c r="HC65">
        <v>450.3</v>
      </c>
      <c r="HD65">
        <v>212.5</v>
      </c>
      <c r="HE65">
        <v>111.6</v>
      </c>
      <c r="HF65">
        <v>115.5</v>
      </c>
      <c r="HG65">
        <v>133.30000000000001</v>
      </c>
      <c r="HH65">
        <v>561.29999999999995</v>
      </c>
      <c r="HI65">
        <v>165.1</v>
      </c>
      <c r="HJ65">
        <v>159.6</v>
      </c>
    </row>
    <row r="66" spans="1:218">
      <c r="A66" s="56" t="s">
        <v>2257</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55.847999999999999</v>
      </c>
      <c r="GQ66" s="56">
        <v>54.531999999999996</v>
      </c>
      <c r="GR66" s="56">
        <v>54.451999999999998</v>
      </c>
      <c r="GS66" s="56">
        <v>54.012999999999998</v>
      </c>
      <c r="GT66" s="56">
        <v>61.353000000000002</v>
      </c>
      <c r="GU66" s="56">
        <v>106.1</v>
      </c>
      <c r="GV66" s="56">
        <v>110.04900000000001</v>
      </c>
      <c r="GW66" s="56">
        <v>117.309</v>
      </c>
      <c r="GX66" s="56">
        <v>142.78899999999999</v>
      </c>
      <c r="GY66" s="56">
        <v>157.602</v>
      </c>
      <c r="GZ66" s="56">
        <v>149.11600000000001</v>
      </c>
      <c r="HA66" s="56">
        <v>146.631</v>
      </c>
      <c r="HB66" s="56">
        <v>134.809</v>
      </c>
      <c r="HC66">
        <v>123.735</v>
      </c>
      <c r="HD66">
        <v>116.06100000000001</v>
      </c>
      <c r="HE66">
        <v>136.14500000000001</v>
      </c>
      <c r="HF66">
        <v>130.17699999999999</v>
      </c>
      <c r="HG66">
        <v>103.13</v>
      </c>
      <c r="HH66">
        <v>103.06100000000001</v>
      </c>
      <c r="HI66">
        <v>92.111999999999995</v>
      </c>
      <c r="HJ66">
        <v>92.986999999999995</v>
      </c>
    </row>
    <row r="67" spans="1:218">
      <c r="A67" s="56" t="s">
        <v>2258</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c r="A68" s="56" t="s">
        <v>2259</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c r="A69" s="56" t="s">
        <v>2260</v>
      </c>
      <c r="B69" s="56">
        <v>5304.1</v>
      </c>
      <c r="C69" s="56">
        <v>5347.1</v>
      </c>
      <c r="D69" s="56">
        <v>5389.2</v>
      </c>
      <c r="E69" s="56">
        <v>5431.2</v>
      </c>
      <c r="F69" s="56">
        <v>5474.9</v>
      </c>
      <c r="G69" s="56">
        <v>5521.3</v>
      </c>
      <c r="H69" s="56">
        <v>5569.3</v>
      </c>
      <c r="I69" s="56">
        <v>5617.4</v>
      </c>
      <c r="J69" s="56">
        <v>5664.4</v>
      </c>
      <c r="K69" s="56">
        <v>5709.2</v>
      </c>
      <c r="L69" s="56">
        <v>5752.7</v>
      </c>
      <c r="M69" s="56">
        <v>5796.1</v>
      </c>
      <c r="N69" s="56">
        <v>5841</v>
      </c>
      <c r="O69" s="56">
        <v>5889.4</v>
      </c>
      <c r="P69" s="56">
        <v>5939.4</v>
      </c>
      <c r="Q69" s="56">
        <v>5991</v>
      </c>
      <c r="R69" s="56">
        <v>6043.4</v>
      </c>
      <c r="S69" s="56">
        <v>6096</v>
      </c>
      <c r="T69" s="56">
        <v>6147.7</v>
      </c>
      <c r="U69" s="56">
        <v>6198.8</v>
      </c>
      <c r="V69" s="56">
        <v>6248.9</v>
      </c>
      <c r="W69" s="56">
        <v>6298.4</v>
      </c>
      <c r="X69" s="56">
        <v>6347.7</v>
      </c>
      <c r="Y69" s="56">
        <v>6396.9</v>
      </c>
      <c r="Z69" s="56">
        <v>6445.6</v>
      </c>
      <c r="AA69" s="56">
        <v>6494.4</v>
      </c>
      <c r="AB69" s="56">
        <v>6544.4</v>
      </c>
      <c r="AC69" s="56">
        <v>6594.9</v>
      </c>
      <c r="AD69" s="56">
        <v>6647.5</v>
      </c>
      <c r="AE69" s="56">
        <v>6701.7</v>
      </c>
      <c r="AF69" s="56">
        <v>6757.1</v>
      </c>
      <c r="AG69" s="56">
        <v>6814.2</v>
      </c>
      <c r="AH69" s="56">
        <v>6872.6</v>
      </c>
      <c r="AI69" s="56">
        <v>6931.9</v>
      </c>
      <c r="AJ69" s="56">
        <v>6992.7</v>
      </c>
      <c r="AK69" s="56">
        <v>7054.8</v>
      </c>
      <c r="AL69" s="56">
        <v>7119.1</v>
      </c>
      <c r="AM69" s="56">
        <v>7181.6</v>
      </c>
      <c r="AN69" s="56">
        <v>7241.2</v>
      </c>
      <c r="AO69" s="56">
        <v>7296.8</v>
      </c>
      <c r="AP69" s="56">
        <v>7347.1</v>
      </c>
      <c r="AQ69" s="56">
        <v>7391.5</v>
      </c>
      <c r="AR69" s="56">
        <v>7429.9</v>
      </c>
      <c r="AS69" s="56">
        <v>7470</v>
      </c>
      <c r="AT69" s="56">
        <v>7512.1</v>
      </c>
      <c r="AU69" s="56">
        <v>7560.5</v>
      </c>
      <c r="AV69" s="56">
        <v>7611.9</v>
      </c>
      <c r="AW69" s="56">
        <v>7666.1</v>
      </c>
      <c r="AX69" s="56">
        <v>7722.5</v>
      </c>
      <c r="AY69" s="56">
        <v>7780.4</v>
      </c>
      <c r="AZ69" s="56">
        <v>7839.5</v>
      </c>
      <c r="BA69" s="56">
        <v>7899.9</v>
      </c>
      <c r="BB69" s="56">
        <v>7960.3</v>
      </c>
      <c r="BC69" s="56">
        <v>8022.3</v>
      </c>
      <c r="BD69" s="56">
        <v>8086.2</v>
      </c>
      <c r="BE69" s="56">
        <v>8152.9</v>
      </c>
      <c r="BF69" s="56">
        <v>8222.4</v>
      </c>
      <c r="BG69" s="56">
        <v>8294.7000000000007</v>
      </c>
      <c r="BH69" s="56">
        <v>8368.7999999999993</v>
      </c>
      <c r="BI69" s="56">
        <v>8444.5</v>
      </c>
      <c r="BJ69" s="56">
        <v>8520.7999999999993</v>
      </c>
      <c r="BK69" s="56">
        <v>8597.5</v>
      </c>
      <c r="BL69" s="56">
        <v>8674.2999999999993</v>
      </c>
      <c r="BM69" s="56">
        <v>8750.7000000000007</v>
      </c>
      <c r="BN69" s="56">
        <v>8826.5</v>
      </c>
      <c r="BO69" s="56">
        <v>8901.7000000000007</v>
      </c>
      <c r="BP69" s="56">
        <v>8976.7000000000007</v>
      </c>
      <c r="BQ69" s="56">
        <v>9051.4</v>
      </c>
      <c r="BR69" s="56">
        <v>9125.7000000000007</v>
      </c>
      <c r="BS69" s="56">
        <v>9199.5</v>
      </c>
      <c r="BT69" s="56">
        <v>9272.9</v>
      </c>
      <c r="BU69" s="56">
        <v>9346.7000000000007</v>
      </c>
      <c r="BV69" s="56">
        <v>9420.1</v>
      </c>
      <c r="BW69" s="56">
        <v>9494</v>
      </c>
      <c r="BX69" s="56">
        <v>9568.1</v>
      </c>
      <c r="BY69" s="56">
        <v>9642.6</v>
      </c>
      <c r="BZ69" s="56">
        <v>9717.1</v>
      </c>
      <c r="CA69" s="56">
        <v>9791.5</v>
      </c>
      <c r="CB69" s="56">
        <v>9856.7000000000007</v>
      </c>
      <c r="CC69" s="56">
        <v>9932.2999999999993</v>
      </c>
      <c r="CD69" s="56">
        <v>10006.6</v>
      </c>
      <c r="CE69" s="56">
        <v>10079.200000000001</v>
      </c>
      <c r="CF69" s="56">
        <v>10149.4</v>
      </c>
      <c r="CG69" s="56">
        <v>10217.200000000001</v>
      </c>
      <c r="CH69" s="56">
        <v>10283</v>
      </c>
      <c r="CI69" s="56">
        <v>10346.9</v>
      </c>
      <c r="CJ69" s="56">
        <v>10409.4</v>
      </c>
      <c r="CK69" s="56">
        <v>10471.6</v>
      </c>
      <c r="CL69" s="56">
        <v>10533.8</v>
      </c>
      <c r="CM69" s="56">
        <v>10596.6</v>
      </c>
      <c r="CN69" s="56">
        <v>10660.8</v>
      </c>
      <c r="CO69" s="56">
        <v>10725.8</v>
      </c>
      <c r="CP69" s="56">
        <v>10791.8</v>
      </c>
      <c r="CQ69" s="56">
        <v>10859.7</v>
      </c>
      <c r="CR69" s="56">
        <v>10928.5</v>
      </c>
      <c r="CS69" s="56">
        <v>10998.3</v>
      </c>
      <c r="CT69" s="56">
        <v>11068.9</v>
      </c>
      <c r="CU69" s="56">
        <v>11140.3</v>
      </c>
      <c r="CV69" s="56">
        <v>11213.2</v>
      </c>
      <c r="CW69" s="56">
        <v>11287.2</v>
      </c>
      <c r="CX69" s="56">
        <v>11361.8</v>
      </c>
      <c r="CY69" s="56">
        <v>11437.8</v>
      </c>
      <c r="CZ69" s="56">
        <v>11514.7</v>
      </c>
      <c r="DA69" s="56">
        <v>11593.6</v>
      </c>
      <c r="DB69" s="56">
        <v>11674.2</v>
      </c>
      <c r="DC69" s="56">
        <v>11760.1</v>
      </c>
      <c r="DD69" s="56">
        <v>11852.5</v>
      </c>
      <c r="DE69" s="56">
        <v>11951.1</v>
      </c>
      <c r="DF69" s="56">
        <v>12055.8</v>
      </c>
      <c r="DG69" s="56">
        <v>12166</v>
      </c>
      <c r="DH69" s="56">
        <v>12282.1</v>
      </c>
      <c r="DI69" s="56">
        <v>12403.1</v>
      </c>
      <c r="DJ69" s="56">
        <v>12528.5</v>
      </c>
      <c r="DK69" s="56">
        <v>12659</v>
      </c>
      <c r="DL69" s="56">
        <v>12792.9</v>
      </c>
      <c r="DM69" s="56">
        <v>12930.5</v>
      </c>
      <c r="DN69" s="56">
        <v>13071.5</v>
      </c>
      <c r="DO69" s="56">
        <v>13215.2</v>
      </c>
      <c r="DP69" s="56">
        <v>13361</v>
      </c>
      <c r="DQ69" s="56">
        <v>13509</v>
      </c>
      <c r="DR69" s="56">
        <v>13657.9</v>
      </c>
      <c r="DS69" s="56">
        <v>13802.6</v>
      </c>
      <c r="DT69" s="56">
        <v>13940.7</v>
      </c>
      <c r="DU69" s="56">
        <v>14071.4</v>
      </c>
      <c r="DV69" s="56">
        <v>14195</v>
      </c>
      <c r="DW69" s="56">
        <v>14311.5</v>
      </c>
      <c r="DX69" s="56">
        <v>14421.3</v>
      </c>
      <c r="DY69" s="56">
        <v>14525.2</v>
      </c>
      <c r="DZ69" s="56">
        <v>14624</v>
      </c>
      <c r="EA69" s="56">
        <v>14719.4</v>
      </c>
      <c r="EB69" s="56">
        <v>14813.1</v>
      </c>
      <c r="EC69" s="56">
        <v>14905.5</v>
      </c>
      <c r="ED69" s="56">
        <v>14997.8</v>
      </c>
      <c r="EE69" s="56">
        <v>15090.8</v>
      </c>
      <c r="EF69" s="56">
        <v>15183.9</v>
      </c>
      <c r="EG69" s="56">
        <v>15278.4</v>
      </c>
      <c r="EH69" s="56">
        <v>15374.8</v>
      </c>
      <c r="EI69" s="56">
        <v>15473</v>
      </c>
      <c r="EJ69" s="56">
        <v>15573.5</v>
      </c>
      <c r="EK69" s="56">
        <v>15675.6</v>
      </c>
      <c r="EL69" s="56">
        <v>15775.8</v>
      </c>
      <c r="EM69" s="56">
        <v>15873.2</v>
      </c>
      <c r="EN69" s="56">
        <v>15968.8</v>
      </c>
      <c r="EO69" s="56">
        <v>16062</v>
      </c>
      <c r="EP69" s="56">
        <v>16152.6</v>
      </c>
      <c r="EQ69" s="56">
        <v>16240.8</v>
      </c>
      <c r="ER69" s="56">
        <v>16324.8</v>
      </c>
      <c r="ES69" s="56">
        <v>16404.400000000001</v>
      </c>
      <c r="ET69" s="56">
        <v>16484.900000000001</v>
      </c>
      <c r="EU69" s="56">
        <v>16566.599999999999</v>
      </c>
      <c r="EV69" s="56">
        <v>16649.599999999999</v>
      </c>
      <c r="EW69" s="56">
        <v>16732.8</v>
      </c>
      <c r="EX69" s="56">
        <v>16815.599999999999</v>
      </c>
      <c r="EY69" s="56">
        <v>16895.900000000001</v>
      </c>
      <c r="EZ69" s="56">
        <v>16973.2</v>
      </c>
      <c r="FA69" s="56">
        <v>17046.599999999999</v>
      </c>
      <c r="FB69" s="56">
        <v>17114.5</v>
      </c>
      <c r="FC69" s="56">
        <v>17178.400000000001</v>
      </c>
      <c r="FD69" s="56">
        <v>17238.900000000001</v>
      </c>
      <c r="FE69" s="56">
        <v>17298</v>
      </c>
      <c r="FF69" s="56">
        <v>17357.900000000001</v>
      </c>
      <c r="FG69" s="56">
        <v>17419.599999999999</v>
      </c>
      <c r="FH69" s="56">
        <v>17484.5</v>
      </c>
      <c r="FI69" s="56">
        <v>17551.900000000001</v>
      </c>
      <c r="FJ69" s="56">
        <v>17621.8</v>
      </c>
      <c r="FK69" s="56">
        <v>17694.3</v>
      </c>
      <c r="FL69" s="56">
        <v>17769.099999999999</v>
      </c>
      <c r="FM69" s="56">
        <v>17845.400000000001</v>
      </c>
      <c r="FN69" s="56">
        <v>17923.099999999999</v>
      </c>
      <c r="FO69" s="56">
        <v>18002.400000000001</v>
      </c>
      <c r="FP69" s="56">
        <v>18082.599999999999</v>
      </c>
      <c r="FQ69" s="56">
        <v>18163.8</v>
      </c>
      <c r="FR69" s="56">
        <v>18246.400000000001</v>
      </c>
      <c r="FS69" s="56">
        <v>18329.400000000001</v>
      </c>
      <c r="FT69" s="56">
        <v>18412.7</v>
      </c>
      <c r="FU69" s="56">
        <v>18496.900000000001</v>
      </c>
      <c r="FV69" s="56">
        <v>18582</v>
      </c>
      <c r="FW69" s="56">
        <v>18667.8</v>
      </c>
      <c r="FX69" s="56">
        <v>18755.2</v>
      </c>
      <c r="FY69" s="56">
        <v>18843.3</v>
      </c>
      <c r="FZ69" s="56">
        <v>18932</v>
      </c>
      <c r="GA69" s="56">
        <v>19021.099999999999</v>
      </c>
      <c r="GB69" s="56">
        <v>19110.099999999999</v>
      </c>
      <c r="GC69" s="56">
        <v>19198.7</v>
      </c>
      <c r="GD69" s="56">
        <v>19286.900000000001</v>
      </c>
      <c r="GE69" s="56">
        <v>19375.2</v>
      </c>
      <c r="GF69" s="56">
        <v>19463.2</v>
      </c>
      <c r="GG69" s="56">
        <v>19551.3</v>
      </c>
      <c r="GH69" s="56">
        <v>19640.099999999999</v>
      </c>
      <c r="GI69" s="56">
        <v>19730.3</v>
      </c>
      <c r="GJ69" s="56">
        <v>19823.599999999999</v>
      </c>
      <c r="GK69" s="56">
        <v>19919.8</v>
      </c>
      <c r="GL69" s="56">
        <v>20019.2</v>
      </c>
      <c r="GM69" s="56">
        <v>20121.7</v>
      </c>
      <c r="GN69" s="56">
        <v>20226.099999999999</v>
      </c>
      <c r="GO69" s="56">
        <v>20331.5</v>
      </c>
      <c r="GP69" s="56">
        <v>20437.900000000001</v>
      </c>
      <c r="GQ69" s="56">
        <v>20545.400000000001</v>
      </c>
      <c r="GR69" s="56">
        <v>20653.099999999999</v>
      </c>
      <c r="GS69" s="56">
        <v>20758.099999999999</v>
      </c>
      <c r="GT69" s="56">
        <v>20861.8</v>
      </c>
      <c r="GU69" s="56">
        <v>20965.099999999999</v>
      </c>
      <c r="GV69" s="56">
        <v>21065.7</v>
      </c>
      <c r="GW69" s="56">
        <v>21167.1</v>
      </c>
      <c r="GX69" s="56">
        <v>21261.599999999999</v>
      </c>
      <c r="GY69" s="56">
        <v>21356</v>
      </c>
      <c r="GZ69" s="56">
        <v>21454.6</v>
      </c>
      <c r="HA69" s="56">
        <v>21558.2</v>
      </c>
      <c r="HB69" s="56">
        <v>21667.7</v>
      </c>
      <c r="HC69">
        <v>21780.1</v>
      </c>
      <c r="HD69">
        <v>21892.799999999999</v>
      </c>
      <c r="HE69">
        <v>22004.7</v>
      </c>
      <c r="HF69">
        <v>22116.400000000001</v>
      </c>
      <c r="HG69">
        <v>22227.599999999999</v>
      </c>
      <c r="HH69">
        <v>22338.799999999999</v>
      </c>
      <c r="HI69">
        <v>22452.1</v>
      </c>
      <c r="HJ69">
        <v>22566.6</v>
      </c>
    </row>
    <row r="70" spans="1:218">
      <c r="A70" s="56" t="s">
        <v>2261</v>
      </c>
      <c r="B70" s="56">
        <v>1051.9000000000001</v>
      </c>
      <c r="C70" s="56">
        <v>1075.2</v>
      </c>
      <c r="D70" s="56">
        <v>1092.5999999999999</v>
      </c>
      <c r="E70" s="56">
        <v>1115.5999999999999</v>
      </c>
      <c r="F70" s="56">
        <v>1141.7</v>
      </c>
      <c r="G70" s="56">
        <v>1166.5</v>
      </c>
      <c r="H70" s="56">
        <v>1188.5999999999999</v>
      </c>
      <c r="I70" s="56">
        <v>1208.9000000000001</v>
      </c>
      <c r="J70" s="56">
        <v>1237.5</v>
      </c>
      <c r="K70" s="56">
        <v>1255.0999999999999</v>
      </c>
      <c r="L70" s="56">
        <v>1276.8</v>
      </c>
      <c r="M70" s="56">
        <v>1302.8</v>
      </c>
      <c r="N70" s="56">
        <v>1328.1</v>
      </c>
      <c r="O70" s="56">
        <v>1359.6</v>
      </c>
      <c r="P70" s="56">
        <v>1397.8</v>
      </c>
      <c r="Q70" s="56">
        <v>1438.1</v>
      </c>
      <c r="R70" s="56">
        <v>1478</v>
      </c>
      <c r="S70" s="56">
        <v>1526.1</v>
      </c>
      <c r="T70" s="56">
        <v>1584.1</v>
      </c>
      <c r="U70" s="56">
        <v>1644.3</v>
      </c>
      <c r="V70" s="56">
        <v>1695.3</v>
      </c>
      <c r="W70" s="56">
        <v>1734.2</v>
      </c>
      <c r="X70" s="56">
        <v>1778.6</v>
      </c>
      <c r="Y70" s="56">
        <v>1822.3</v>
      </c>
      <c r="Z70" s="56">
        <v>1855.6</v>
      </c>
      <c r="AA70" s="56">
        <v>1888.5</v>
      </c>
      <c r="AB70" s="56">
        <v>1927.7</v>
      </c>
      <c r="AC70" s="56">
        <v>1977.4</v>
      </c>
      <c r="AD70" s="56">
        <v>2025.1</v>
      </c>
      <c r="AE70" s="56">
        <v>2070.5</v>
      </c>
      <c r="AF70" s="56">
        <v>2113.1</v>
      </c>
      <c r="AG70" s="56">
        <v>2176.9</v>
      </c>
      <c r="AH70" s="56">
        <v>2227.5</v>
      </c>
      <c r="AI70" s="56">
        <v>2289.6999999999998</v>
      </c>
      <c r="AJ70" s="56">
        <v>2349</v>
      </c>
      <c r="AK70" s="56">
        <v>2418.3000000000002</v>
      </c>
      <c r="AL70" s="56">
        <v>2484.8000000000002</v>
      </c>
      <c r="AM70" s="56">
        <v>2568</v>
      </c>
      <c r="AN70" s="56">
        <v>2646</v>
      </c>
      <c r="AO70" s="56">
        <v>2715.8</v>
      </c>
      <c r="AP70" s="56">
        <v>2791.9</v>
      </c>
      <c r="AQ70" s="56">
        <v>2875.7</v>
      </c>
      <c r="AR70" s="56">
        <v>2955.2</v>
      </c>
      <c r="AS70" s="56">
        <v>3048.6</v>
      </c>
      <c r="AT70" s="56">
        <v>3146.4</v>
      </c>
      <c r="AU70" s="56">
        <v>3229.5</v>
      </c>
      <c r="AV70" s="56">
        <v>3312.6</v>
      </c>
      <c r="AW70" s="56">
        <v>3393.8</v>
      </c>
      <c r="AX70" s="56">
        <v>3465.9</v>
      </c>
      <c r="AY70" s="56">
        <v>3537.3</v>
      </c>
      <c r="AZ70" s="56">
        <v>3614.6</v>
      </c>
      <c r="BA70" s="56">
        <v>3680.3</v>
      </c>
      <c r="BB70" s="56">
        <v>3736.3</v>
      </c>
      <c r="BC70" s="56">
        <v>3793.4</v>
      </c>
      <c r="BD70" s="56">
        <v>3864.4</v>
      </c>
      <c r="BE70" s="56">
        <v>3925.7</v>
      </c>
      <c r="BF70" s="56">
        <v>3999.3</v>
      </c>
      <c r="BG70" s="56">
        <v>4068.9</v>
      </c>
      <c r="BH70" s="56">
        <v>4141.8999999999996</v>
      </c>
      <c r="BI70" s="56">
        <v>4210.6000000000004</v>
      </c>
      <c r="BJ70" s="56">
        <v>4290.6000000000004</v>
      </c>
      <c r="BK70" s="56">
        <v>4357.1000000000004</v>
      </c>
      <c r="BL70" s="56">
        <v>4422.5</v>
      </c>
      <c r="BM70" s="56">
        <v>4486.3999999999996</v>
      </c>
      <c r="BN70" s="56">
        <v>4547.8</v>
      </c>
      <c r="BO70" s="56">
        <v>4603.8</v>
      </c>
      <c r="BP70" s="56">
        <v>4661.8</v>
      </c>
      <c r="BQ70" s="56">
        <v>4726.1000000000004</v>
      </c>
      <c r="BR70" s="56">
        <v>4795.3999999999996</v>
      </c>
      <c r="BS70" s="56">
        <v>4867.7</v>
      </c>
      <c r="BT70" s="56">
        <v>4943.7</v>
      </c>
      <c r="BU70" s="56">
        <v>5022.7</v>
      </c>
      <c r="BV70" s="56">
        <v>5101.8999999999996</v>
      </c>
      <c r="BW70" s="56">
        <v>5191.8999999999996</v>
      </c>
      <c r="BX70" s="56">
        <v>5294.9</v>
      </c>
      <c r="BY70" s="56">
        <v>5382.3</v>
      </c>
      <c r="BZ70" s="56">
        <v>5480.5</v>
      </c>
      <c r="CA70" s="56">
        <v>5581.3</v>
      </c>
      <c r="CB70" s="56">
        <v>5659.5</v>
      </c>
      <c r="CC70" s="56">
        <v>5743.4</v>
      </c>
      <c r="CD70" s="56">
        <v>5848.8</v>
      </c>
      <c r="CE70" s="56">
        <v>5957.2</v>
      </c>
      <c r="CF70" s="56">
        <v>6050.2</v>
      </c>
      <c r="CG70" s="56">
        <v>6135.9</v>
      </c>
      <c r="CH70" s="56">
        <v>6236</v>
      </c>
      <c r="CI70" s="56">
        <v>6320.8</v>
      </c>
      <c r="CJ70" s="56">
        <v>6408.6</v>
      </c>
      <c r="CK70" s="56">
        <v>6485.2</v>
      </c>
      <c r="CL70" s="56">
        <v>6547.9</v>
      </c>
      <c r="CM70" s="56">
        <v>6626.6</v>
      </c>
      <c r="CN70" s="56">
        <v>6699.2</v>
      </c>
      <c r="CO70" s="56">
        <v>6786.6</v>
      </c>
      <c r="CP70" s="56">
        <v>6866.6</v>
      </c>
      <c r="CQ70" s="56">
        <v>6950.9</v>
      </c>
      <c r="CR70" s="56">
        <v>7036.6</v>
      </c>
      <c r="CS70" s="56">
        <v>7120.1</v>
      </c>
      <c r="CT70" s="56">
        <v>7200.2</v>
      </c>
      <c r="CU70" s="56">
        <v>7281.5</v>
      </c>
      <c r="CV70" s="56">
        <v>7371.2</v>
      </c>
      <c r="CW70" s="56">
        <v>7460.1</v>
      </c>
      <c r="CX70" s="56">
        <v>7550.1</v>
      </c>
      <c r="CY70" s="56">
        <v>7637.2</v>
      </c>
      <c r="CZ70" s="56">
        <v>7726.3</v>
      </c>
      <c r="DA70" s="56">
        <v>7816.8</v>
      </c>
      <c r="DB70" s="56">
        <v>7909</v>
      </c>
      <c r="DC70" s="56">
        <v>8000.2</v>
      </c>
      <c r="DD70" s="56">
        <v>8089.3</v>
      </c>
      <c r="DE70" s="56">
        <v>8200.2999999999993</v>
      </c>
      <c r="DF70" s="56">
        <v>8321.5</v>
      </c>
      <c r="DG70" s="56">
        <v>8414.2000000000007</v>
      </c>
      <c r="DH70" s="56">
        <v>8531.6</v>
      </c>
      <c r="DI70" s="56">
        <v>8644.2999999999993</v>
      </c>
      <c r="DJ70" s="56">
        <v>8744.2000000000007</v>
      </c>
      <c r="DK70" s="56">
        <v>8856.2000000000007</v>
      </c>
      <c r="DL70" s="56">
        <v>8987.7000000000007</v>
      </c>
      <c r="DM70" s="56">
        <v>9109.9</v>
      </c>
      <c r="DN70" s="56">
        <v>9239.2000000000007</v>
      </c>
      <c r="DO70" s="56">
        <v>9376.1</v>
      </c>
      <c r="DP70" s="56">
        <v>9513</v>
      </c>
      <c r="DQ70" s="56">
        <v>9671.7999999999993</v>
      </c>
      <c r="DR70" s="56">
        <v>9843.5</v>
      </c>
      <c r="DS70" s="56">
        <v>10009.6</v>
      </c>
      <c r="DT70" s="56">
        <v>10168.9</v>
      </c>
      <c r="DU70" s="56">
        <v>10319.5</v>
      </c>
      <c r="DV70" s="56">
        <v>10479</v>
      </c>
      <c r="DW70" s="56">
        <v>10628.6</v>
      </c>
      <c r="DX70" s="56">
        <v>10752.2</v>
      </c>
      <c r="DY70" s="56">
        <v>10863.7</v>
      </c>
      <c r="DZ70" s="56">
        <v>10972</v>
      </c>
      <c r="EA70" s="56">
        <v>11082.2</v>
      </c>
      <c r="EB70" s="56">
        <v>11206</v>
      </c>
      <c r="EC70" s="56">
        <v>11341.4</v>
      </c>
      <c r="ED70" s="56">
        <v>11467.5</v>
      </c>
      <c r="EE70" s="56">
        <v>11579.2</v>
      </c>
      <c r="EF70" s="56">
        <v>11717.2</v>
      </c>
      <c r="EG70" s="56">
        <v>11861.9</v>
      </c>
      <c r="EH70" s="56">
        <v>12022</v>
      </c>
      <c r="EI70" s="56">
        <v>12196.4</v>
      </c>
      <c r="EJ70" s="56">
        <v>12353.6</v>
      </c>
      <c r="EK70" s="56">
        <v>12530.9</v>
      </c>
      <c r="EL70" s="56">
        <v>12711.8</v>
      </c>
      <c r="EM70" s="56">
        <v>12882.4</v>
      </c>
      <c r="EN70" s="56">
        <v>13078.1</v>
      </c>
      <c r="EO70" s="56">
        <v>13262.5</v>
      </c>
      <c r="EP70" s="56">
        <v>13431.9</v>
      </c>
      <c r="EQ70" s="56">
        <v>13623</v>
      </c>
      <c r="ER70" s="56">
        <v>13789.2</v>
      </c>
      <c r="ES70" s="56">
        <v>13906.1</v>
      </c>
      <c r="ET70" s="56">
        <v>14107.2</v>
      </c>
      <c r="EU70" s="56">
        <v>14275.7</v>
      </c>
      <c r="EV70" s="56">
        <v>14425.4</v>
      </c>
      <c r="EW70" s="56">
        <v>14556.5</v>
      </c>
      <c r="EX70" s="56">
        <v>14682.6</v>
      </c>
      <c r="EY70" s="56">
        <v>14824.1</v>
      </c>
      <c r="EZ70" s="56">
        <v>15004.1</v>
      </c>
      <c r="FA70" s="56">
        <v>15105.5</v>
      </c>
      <c r="FB70" s="56">
        <v>15153.6</v>
      </c>
      <c r="FC70" s="56">
        <v>15185</v>
      </c>
      <c r="FD70" s="56">
        <v>15256.6</v>
      </c>
      <c r="FE70" s="56">
        <v>15357.2</v>
      </c>
      <c r="FF70" s="56">
        <v>15454.8</v>
      </c>
      <c r="FG70" s="56">
        <v>15585.4</v>
      </c>
      <c r="FH70" s="56">
        <v>15691</v>
      </c>
      <c r="FI70" s="56">
        <v>15842.9</v>
      </c>
      <c r="FJ70" s="56">
        <v>15987.6</v>
      </c>
      <c r="FK70" s="56">
        <v>16159.5</v>
      </c>
      <c r="FL70" s="56">
        <v>16325.6</v>
      </c>
      <c r="FM70" s="56">
        <v>16415.2</v>
      </c>
      <c r="FN70" s="56">
        <v>16583.3</v>
      </c>
      <c r="FO70" s="56">
        <v>16725.400000000001</v>
      </c>
      <c r="FP70" s="56">
        <v>16892.099999999999</v>
      </c>
      <c r="FQ70" s="56">
        <v>17053.099999999999</v>
      </c>
      <c r="FR70" s="56">
        <v>17198.7</v>
      </c>
      <c r="FS70" s="56">
        <v>17314.099999999999</v>
      </c>
      <c r="FT70" s="56">
        <v>17478</v>
      </c>
      <c r="FU70" s="56">
        <v>17650.8</v>
      </c>
      <c r="FV70" s="56">
        <v>17799.3</v>
      </c>
      <c r="FW70" s="56">
        <v>17982.7</v>
      </c>
      <c r="FX70" s="56">
        <v>18141.099999999999</v>
      </c>
      <c r="FY70" s="56">
        <v>18244.5</v>
      </c>
      <c r="FZ70" s="56">
        <v>18320.3</v>
      </c>
      <c r="GA70" s="56">
        <v>18512.3</v>
      </c>
      <c r="GB70" s="56">
        <v>18648.2</v>
      </c>
      <c r="GC70" s="56">
        <v>18734.099999999999</v>
      </c>
      <c r="GD70" s="56">
        <v>18804</v>
      </c>
      <c r="GE70" s="56">
        <v>19018.400000000001</v>
      </c>
      <c r="GF70" s="56">
        <v>19153.7</v>
      </c>
      <c r="GG70" s="56">
        <v>19333.599999999999</v>
      </c>
      <c r="GH70" s="56">
        <v>19520.400000000001</v>
      </c>
      <c r="GI70" s="56">
        <v>19661.2</v>
      </c>
      <c r="GJ70" s="56">
        <v>19855.7</v>
      </c>
      <c r="GK70" s="56">
        <v>20074.8</v>
      </c>
      <c r="GL70" s="56">
        <v>20303.3</v>
      </c>
      <c r="GM70" s="56">
        <v>20551.5</v>
      </c>
      <c r="GN70" s="56">
        <v>20747.3</v>
      </c>
      <c r="GO70" s="56">
        <v>20945.3</v>
      </c>
      <c r="GP70" s="56">
        <v>21127.599999999999</v>
      </c>
      <c r="GQ70" s="56">
        <v>21344.2</v>
      </c>
      <c r="GR70" s="56">
        <v>21522.799999999999</v>
      </c>
      <c r="GS70" s="56">
        <v>21700.6</v>
      </c>
      <c r="GT70" s="56">
        <v>21912.6</v>
      </c>
      <c r="GU70" s="56">
        <v>21932.5</v>
      </c>
      <c r="GV70" s="56">
        <v>22232.2</v>
      </c>
      <c r="GW70" s="56">
        <v>22495.3</v>
      </c>
      <c r="GX70" s="56">
        <v>22892.1</v>
      </c>
      <c r="GY70" s="56">
        <v>23343.200000000001</v>
      </c>
      <c r="GZ70" s="56">
        <v>23797.4</v>
      </c>
      <c r="HA70" s="56">
        <v>24328.1</v>
      </c>
      <c r="HB70" s="56">
        <v>24947.1</v>
      </c>
      <c r="HC70">
        <v>25629</v>
      </c>
      <c r="HD70">
        <v>26044.2</v>
      </c>
      <c r="HE70">
        <v>26426</v>
      </c>
      <c r="HF70">
        <v>26818.6</v>
      </c>
      <c r="HG70">
        <v>27065.7</v>
      </c>
      <c r="HH70">
        <v>27423.599999999999</v>
      </c>
      <c r="HI70">
        <v>27676.9</v>
      </c>
      <c r="HJ70">
        <v>28033.200000000001</v>
      </c>
    </row>
    <row r="71" spans="1:218">
      <c r="A71" s="56" t="s">
        <v>2262</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row>
    <row r="72" spans="1:218">
      <c r="A72" s="56" t="s">
        <v>2263</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row>
    <row r="73" spans="1:218">
      <c r="A73" s="56" t="s">
        <v>2264</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row>
    <row r="74" spans="1:218">
      <c r="A74" s="56" t="s">
        <v>2265</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272002.33333333302</v>
      </c>
      <c r="GI74" s="56">
        <v>273260.33333333302</v>
      </c>
      <c r="GJ74" s="56">
        <v>275498.66666666698</v>
      </c>
      <c r="GK74" s="56">
        <v>281479</v>
      </c>
      <c r="GL74" s="56">
        <v>280538.66666666698</v>
      </c>
      <c r="GM74" s="56">
        <v>290258</v>
      </c>
      <c r="GN74" s="56">
        <v>294040</v>
      </c>
      <c r="GO74" s="56">
        <v>286080</v>
      </c>
      <c r="GP74" s="56">
        <v>301680.66666666698</v>
      </c>
      <c r="GQ74" s="56">
        <v>320618</v>
      </c>
      <c r="GR74" s="56">
        <v>323840.33333333302</v>
      </c>
      <c r="GS74" s="56">
        <v>324321.66666666698</v>
      </c>
      <c r="GT74" s="56">
        <v>343394.66666666698</v>
      </c>
      <c r="GU74" s="56">
        <v>342896</v>
      </c>
      <c r="GV74" s="56">
        <v>335544.66666666698</v>
      </c>
      <c r="GW74" s="56">
        <v>341308</v>
      </c>
      <c r="GX74" s="56">
        <v>339069.33333333302</v>
      </c>
      <c r="GY74" s="56">
        <v>334613.66666666698</v>
      </c>
      <c r="GZ74" s="56">
        <v>329916</v>
      </c>
      <c r="HA74" s="56">
        <v>330081.66666666698</v>
      </c>
      <c r="HB74">
        <v>337359</v>
      </c>
      <c r="HC74">
        <v>342241.33333333302</v>
      </c>
      <c r="HD74">
        <v>352124.66666666698</v>
      </c>
      <c r="HE74">
        <v>358350</v>
      </c>
      <c r="HF74">
        <v>370365</v>
      </c>
      <c r="HG74">
        <v>389196.33333333302</v>
      </c>
      <c r="HH74">
        <v>410267.66666666698</v>
      </c>
      <c r="HI74">
        <v>439774.33333333302</v>
      </c>
      <c r="HJ74">
        <v>448976</v>
      </c>
    </row>
    <row r="75" spans="1:218">
      <c r="A75" s="56" t="s">
        <v>2266</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3.5920586379303301E-3</v>
      </c>
      <c r="GQ75" s="56">
        <v>4.8657799274485197E-3</v>
      </c>
      <c r="GR75" s="56">
        <v>3.2249369452625998E-3</v>
      </c>
      <c r="GS75" s="56">
        <v>3.3872933319261098E-3</v>
      </c>
      <c r="GT75" s="56">
        <v>4.5521488820456897E-3</v>
      </c>
      <c r="GU75" s="56">
        <v>-3.6271205803393202E-3</v>
      </c>
      <c r="GV75" s="56">
        <v>8.9049407133508004E-3</v>
      </c>
      <c r="GW75" s="56">
        <v>6.9796293314896597E-3</v>
      </c>
      <c r="GX75" s="56">
        <v>1.3175961628891101E-2</v>
      </c>
      <c r="GY75" s="56">
        <v>1.4861089194382299E-2</v>
      </c>
      <c r="GZ75" s="56">
        <v>1.48629861339773E-2</v>
      </c>
      <c r="HA75" s="56">
        <v>1.7132763142478701E-2</v>
      </c>
      <c r="HB75" s="56">
        <v>2.05922486664658E-2</v>
      </c>
      <c r="HC75">
        <v>2.1895782327099499E-2</v>
      </c>
      <c r="HD75">
        <v>1.08407530755115E-2</v>
      </c>
      <c r="HE75">
        <v>9.5394183896453395E-3</v>
      </c>
      <c r="HF75">
        <v>9.5658327436207707E-3</v>
      </c>
      <c r="HG75">
        <v>4.3293970180762198E-3</v>
      </c>
      <c r="HH75">
        <v>8.2355549351746903E-3</v>
      </c>
      <c r="HI75">
        <v>4.0474949508111403E-3</v>
      </c>
      <c r="HJ75">
        <v>7.6081402233776404E-3</v>
      </c>
    </row>
    <row r="76" spans="1:218">
      <c r="A76" s="56" t="s">
        <v>2267</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2.28951111630726E-3</v>
      </c>
      <c r="GQ76" s="56">
        <v>5.2975883822428101E-3</v>
      </c>
      <c r="GR76" s="56">
        <v>2.4366189012010602E-3</v>
      </c>
      <c r="GS76" s="56">
        <v>3.9161216891407903E-3</v>
      </c>
      <c r="GT76" s="56">
        <v>3.2282859338970101E-3</v>
      </c>
      <c r="GU76" s="56">
        <v>-4.3479926448053404E-3</v>
      </c>
      <c r="GV76" s="56">
        <v>8.2433966256900693E-3</v>
      </c>
      <c r="GW76" s="56">
        <v>4.9990936757649002E-3</v>
      </c>
      <c r="GX76" s="56">
        <v>1.17236076436023E-2</v>
      </c>
      <c r="GY76" s="56">
        <v>1.52939631068325E-2</v>
      </c>
      <c r="GZ76" s="56">
        <v>1.3834466952535899E-2</v>
      </c>
      <c r="HA76" s="56">
        <v>1.6489676860671699E-2</v>
      </c>
      <c r="HB76" s="56">
        <v>1.8616496583388601E-2</v>
      </c>
      <c r="HC76">
        <v>1.7492737036710799E-2</v>
      </c>
      <c r="HD76">
        <v>1.14901753809149E-2</v>
      </c>
      <c r="HE76">
        <v>1.0204867199863099E-2</v>
      </c>
      <c r="HF76">
        <v>1.02541956680045E-2</v>
      </c>
      <c r="HG76">
        <v>6.1604740631469E-3</v>
      </c>
      <c r="HH76">
        <v>6.4143147512578701E-3</v>
      </c>
      <c r="HI76">
        <v>4.4448491068915796E-3</v>
      </c>
      <c r="HJ76">
        <v>8.40536954784055E-3</v>
      </c>
    </row>
    <row r="77" spans="1:218">
      <c r="A77" s="56" t="s">
        <v>2268</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1.03875580566208E-2</v>
      </c>
      <c r="GQ77" s="56">
        <v>-5.9796292057678899E-3</v>
      </c>
      <c r="GR77" s="56">
        <v>1.6118354776502E-3</v>
      </c>
      <c r="GS77" s="56">
        <v>3.4675325919326602E-3</v>
      </c>
      <c r="GT77" s="56">
        <v>3.1405416241085901E-3</v>
      </c>
      <c r="GU77" s="56">
        <v>2.3789585870903599E-4</v>
      </c>
      <c r="GV77" s="56">
        <v>5.7081426655123399E-3</v>
      </c>
      <c r="GW77" s="56">
        <v>7.2649532224040598E-3</v>
      </c>
      <c r="GX77" s="56">
        <v>8.4240380913027692E-3</v>
      </c>
      <c r="GY77" s="56">
        <v>9.7412877870699504E-3</v>
      </c>
      <c r="GZ77" s="56">
        <v>1.0136132221648201E-2</v>
      </c>
      <c r="HA77" s="56">
        <v>1.13948668316244E-2</v>
      </c>
      <c r="HB77" s="56">
        <v>1.7630968394254799E-2</v>
      </c>
      <c r="HC77">
        <v>1.6704517227919401E-2</v>
      </c>
      <c r="HD77">
        <v>1.1857914438036E-2</v>
      </c>
      <c r="HE77">
        <v>1.0080540848179701E-2</v>
      </c>
      <c r="HF77">
        <v>1.01762923122892E-2</v>
      </c>
      <c r="HG77">
        <v>5.1214008637083799E-3</v>
      </c>
      <c r="HH77">
        <v>9.7870229456919998E-3</v>
      </c>
      <c r="HI77">
        <v>9.7504517181945492E-3</v>
      </c>
      <c r="HJ77">
        <v>1.01675627535707E-2</v>
      </c>
    </row>
    <row r="78" spans="1:218">
      <c r="A78" s="56" t="s">
        <v>2269</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-4.3157124252593002E-3</v>
      </c>
      <c r="GQ78" s="56">
        <v>6.8453261793150998E-3</v>
      </c>
      <c r="GR78" s="56">
        <v>3.7549781907833001E-3</v>
      </c>
      <c r="GS78" s="56">
        <v>6.06484280532049E-3</v>
      </c>
      <c r="GT78" s="56">
        <v>1.2892260887528401E-2</v>
      </c>
      <c r="GU78" s="56">
        <v>-2.1136357315682001E-3</v>
      </c>
      <c r="GV78" s="56">
        <v>1.2049088189663999E-2</v>
      </c>
      <c r="GW78" s="56">
        <v>1.2502294841197E-2</v>
      </c>
      <c r="GX78" s="56">
        <v>2.2329604177621299E-2</v>
      </c>
      <c r="GY78" s="56">
        <v>1.84543076309138E-2</v>
      </c>
      <c r="GZ78" s="56">
        <v>1.5829893944934802E-2</v>
      </c>
      <c r="HA78" s="56">
        <v>1.9097579373242898E-2</v>
      </c>
      <c r="HB78" s="56">
        <v>2.2011573528917E-2</v>
      </c>
      <c r="HC78">
        <v>3.27630052094907E-2</v>
      </c>
      <c r="HD78">
        <v>4.1836002868755901E-3</v>
      </c>
      <c r="HE78">
        <v>6.7690354322897904E-3</v>
      </c>
      <c r="HF78">
        <v>-1.5764416558927699E-5</v>
      </c>
      <c r="HG78">
        <v>-7.2438636041176601E-3</v>
      </c>
      <c r="HH78">
        <v>1.4053530453285799E-2</v>
      </c>
      <c r="HI78">
        <v>1.6207709232130001E-3</v>
      </c>
      <c r="HJ78">
        <v>9.4431068446889609E-3</v>
      </c>
    </row>
    <row r="79" spans="1:218">
      <c r="A79" s="56" t="s">
        <v>2270</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-6.1945389248865296E-3</v>
      </c>
      <c r="GQ79" s="56">
        <v>5.9750291581421901E-3</v>
      </c>
      <c r="GR79" s="56">
        <v>3.66826004732612E-3</v>
      </c>
      <c r="GS79" s="56">
        <v>7.1582096900950597E-3</v>
      </c>
      <c r="GT79" s="56">
        <v>1.52770073987722E-2</v>
      </c>
      <c r="GU79" s="56">
        <v>-1.8612145119172301E-3</v>
      </c>
      <c r="GV79" s="56">
        <v>1.2496173220895501E-2</v>
      </c>
      <c r="GW79" s="56">
        <v>1.4064504306395401E-2</v>
      </c>
      <c r="GX79" s="56">
        <v>2.3690987124463499E-2</v>
      </c>
      <c r="GY79" s="56">
        <v>1.7361448228991001E-2</v>
      </c>
      <c r="GZ79" s="56">
        <v>1.48268323153804E-2</v>
      </c>
      <c r="HA79" s="56">
        <v>1.7790430270233401E-2</v>
      </c>
      <c r="HB79" s="56">
        <v>2.1200463655148199E-2</v>
      </c>
      <c r="HC79">
        <v>3.3435325470068597E-2</v>
      </c>
      <c r="HD79">
        <v>1.28936749361297E-3</v>
      </c>
      <c r="HE79">
        <v>6.1205834426294502E-3</v>
      </c>
      <c r="HF79">
        <v>-2.6861544538810999E-3</v>
      </c>
      <c r="HG79">
        <v>-9.0228542004990898E-3</v>
      </c>
      <c r="HH79">
        <v>1.6627230287139499E-2</v>
      </c>
      <c r="HI79">
        <v>1.4153613889411601E-3</v>
      </c>
      <c r="HJ79">
        <v>1.0262571060649E-2</v>
      </c>
    </row>
    <row r="80" spans="1:218">
      <c r="A80" s="56" t="s">
        <v>2271</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3.9068083281719197E-3</v>
      </c>
      <c r="GQ80" s="56">
        <v>1.0602249537278599E-2</v>
      </c>
      <c r="GR80" s="56">
        <v>4.1795025922308797E-3</v>
      </c>
      <c r="GS80" s="56">
        <v>1.3468391369007E-3</v>
      </c>
      <c r="GT80" s="56">
        <v>2.43786252697054E-3</v>
      </c>
      <c r="GU80" s="56">
        <v>-3.17735413056042E-3</v>
      </c>
      <c r="GV80" s="56">
        <v>1.0001776016302E-2</v>
      </c>
      <c r="GW80" s="56">
        <v>5.3585806702389797E-3</v>
      </c>
      <c r="GX80" s="56">
        <v>1.6008469115345699E-2</v>
      </c>
      <c r="GY80" s="56">
        <v>2.3312705560438102E-2</v>
      </c>
      <c r="GZ80" s="56">
        <v>2.0559225088983699E-2</v>
      </c>
      <c r="HA80" s="56">
        <v>2.54546085508052E-2</v>
      </c>
      <c r="HB80" s="56">
        <v>2.59902874837139E-2</v>
      </c>
      <c r="HC80">
        <v>2.9331244330832E-2</v>
      </c>
      <c r="HD80">
        <v>1.88901439592397E-2</v>
      </c>
      <c r="HE80">
        <v>9.9382788850887992E-3</v>
      </c>
      <c r="HF80">
        <v>1.2744357682815699E-2</v>
      </c>
      <c r="HG80">
        <v>8.9171778669494604E-4</v>
      </c>
      <c r="HH80">
        <v>2.8033363542803199E-3</v>
      </c>
      <c r="HI80">
        <v>2.4968024079590201E-3</v>
      </c>
      <c r="HJ80">
        <v>6.0354640813489197E-3</v>
      </c>
    </row>
    <row r="81" spans="1:218">
      <c r="A81" s="56" t="s">
        <v>2272</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9233.2000000000007</v>
      </c>
      <c r="GQ81" s="56">
        <v>9284.9</v>
      </c>
      <c r="GR81" s="56">
        <v>9340.9</v>
      </c>
      <c r="GS81" s="56">
        <v>9488.2000000000007</v>
      </c>
      <c r="GT81" s="56">
        <v>9635.9</v>
      </c>
      <c r="GU81" s="56">
        <v>9004.6</v>
      </c>
      <c r="GV81" s="56">
        <v>9440.7000000000007</v>
      </c>
      <c r="GW81" s="56">
        <v>9807.7999999999993</v>
      </c>
      <c r="GX81" s="56">
        <v>9888.4</v>
      </c>
      <c r="GY81" s="56">
        <v>10180</v>
      </c>
      <c r="GZ81" s="56">
        <v>10459.1</v>
      </c>
      <c r="HA81" s="56">
        <v>10766</v>
      </c>
      <c r="HB81" s="56">
        <v>10902.1</v>
      </c>
      <c r="HC81">
        <v>11004.6</v>
      </c>
      <c r="HD81">
        <v>11287.6</v>
      </c>
      <c r="HE81">
        <v>11334.1</v>
      </c>
      <c r="HF81">
        <v>11581.9</v>
      </c>
      <c r="HG81">
        <v>11750.8</v>
      </c>
      <c r="HH81">
        <v>11935</v>
      </c>
      <c r="HI81">
        <v>11994.3</v>
      </c>
      <c r="HJ81">
        <v>12157</v>
      </c>
    </row>
    <row r="82" spans="1:218">
      <c r="A82" s="56" t="s">
        <v>2273</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1531.8</v>
      </c>
      <c r="GQ82" s="56">
        <v>1533.5</v>
      </c>
      <c r="GR82" s="56">
        <v>1570.1</v>
      </c>
      <c r="GS82" s="56">
        <v>1581.1</v>
      </c>
      <c r="GT82" s="56">
        <v>1577.7</v>
      </c>
      <c r="GU82" s="56">
        <v>1411.5</v>
      </c>
      <c r="GV82" s="56">
        <v>1691.6</v>
      </c>
      <c r="GW82" s="56">
        <v>1654.4</v>
      </c>
      <c r="GX82" s="56">
        <v>1650.2</v>
      </c>
      <c r="GY82" s="56">
        <v>1784.1</v>
      </c>
      <c r="GZ82" s="56">
        <v>1792.8</v>
      </c>
      <c r="HA82" s="56">
        <v>1769.2</v>
      </c>
      <c r="HB82" s="56">
        <v>1756.4</v>
      </c>
      <c r="HC82">
        <v>1774.4</v>
      </c>
      <c r="HD82">
        <v>1807.4</v>
      </c>
      <c r="HE82">
        <v>1825.3</v>
      </c>
      <c r="HF82">
        <v>1827.4</v>
      </c>
      <c r="HG82">
        <v>1824.1</v>
      </c>
      <c r="HH82">
        <v>1859.6</v>
      </c>
      <c r="HI82">
        <v>1882.6</v>
      </c>
      <c r="HJ82">
        <v>1890.4</v>
      </c>
    </row>
    <row r="83" spans="1:218">
      <c r="A83" s="56" t="s">
        <v>2274</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667.8</v>
      </c>
      <c r="GQ83" s="56">
        <v>674.7</v>
      </c>
      <c r="GR83" s="56">
        <v>685.7</v>
      </c>
      <c r="GS83" s="56">
        <v>709.8</v>
      </c>
      <c r="GT83" s="56">
        <v>740.9</v>
      </c>
      <c r="GU83" s="56">
        <v>738.2</v>
      </c>
      <c r="GV83" s="56">
        <v>765.2</v>
      </c>
      <c r="GW83" s="56">
        <v>780.3</v>
      </c>
      <c r="GX83" s="56">
        <v>791.6</v>
      </c>
      <c r="GY83" s="56">
        <v>807.2</v>
      </c>
      <c r="GZ83" s="56">
        <v>822.4</v>
      </c>
      <c r="HA83" s="56">
        <v>835.5</v>
      </c>
      <c r="HB83" s="56">
        <v>837.2</v>
      </c>
      <c r="HC83">
        <v>875.3</v>
      </c>
      <c r="HD83">
        <v>893.1</v>
      </c>
      <c r="HE83">
        <v>907.5</v>
      </c>
      <c r="HF83">
        <v>945.8</v>
      </c>
      <c r="HG83">
        <v>961.1</v>
      </c>
      <c r="HH83">
        <v>974.4</v>
      </c>
      <c r="HI83">
        <v>988.1</v>
      </c>
      <c r="HJ83">
        <v>1023.9</v>
      </c>
    </row>
    <row r="84" spans="1:218">
      <c r="A84" s="56" t="s">
        <v>2275</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2921.6</v>
      </c>
      <c r="GQ84" s="56">
        <v>2963.1</v>
      </c>
      <c r="GR84" s="56">
        <v>2962.3</v>
      </c>
      <c r="GS84" s="56">
        <v>2952.8</v>
      </c>
      <c r="GT84" s="56">
        <v>2926.1</v>
      </c>
      <c r="GU84" s="56">
        <v>2869.8</v>
      </c>
      <c r="GV84" s="56">
        <v>2865</v>
      </c>
      <c r="GW84" s="56">
        <v>2994</v>
      </c>
      <c r="GX84" s="56">
        <v>3079.2</v>
      </c>
      <c r="GY84" s="56">
        <v>3198.3</v>
      </c>
      <c r="GZ84" s="56">
        <v>3262.6</v>
      </c>
      <c r="HA84" s="56">
        <v>3318.6</v>
      </c>
      <c r="HB84" s="56">
        <v>3342.2</v>
      </c>
      <c r="HC84">
        <v>3407</v>
      </c>
      <c r="HD84">
        <v>3453.4</v>
      </c>
      <c r="HE84">
        <v>3525.4</v>
      </c>
      <c r="HF84">
        <v>3577</v>
      </c>
      <c r="HG84">
        <v>3602.6</v>
      </c>
      <c r="HH84">
        <v>3606.5</v>
      </c>
      <c r="HI84">
        <v>3667.3</v>
      </c>
      <c r="HJ84">
        <v>3699.5</v>
      </c>
    </row>
    <row r="85" spans="1:218">
      <c r="A85" s="56" t="s">
        <v>2276</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1871</v>
      </c>
      <c r="GQ85" s="56">
        <v>1896.6</v>
      </c>
      <c r="GR85" s="56">
        <v>1975</v>
      </c>
      <c r="GS85" s="56">
        <v>2006.6</v>
      </c>
      <c r="GT85" s="56">
        <v>1751.4</v>
      </c>
      <c r="GU85" s="56">
        <v>1644.9</v>
      </c>
      <c r="GV85" s="56">
        <v>2284</v>
      </c>
      <c r="GW85" s="56">
        <v>2059.6</v>
      </c>
      <c r="GX85" s="56">
        <v>2280.4</v>
      </c>
      <c r="GY85" s="56">
        <v>2580</v>
      </c>
      <c r="GZ85" s="56">
        <v>2541.1</v>
      </c>
      <c r="HA85" s="56">
        <v>2555</v>
      </c>
      <c r="HB85">
        <v>2604.4</v>
      </c>
      <c r="HC85">
        <v>2781.5</v>
      </c>
      <c r="HD85">
        <v>2809</v>
      </c>
      <c r="HE85">
        <v>2748.4</v>
      </c>
      <c r="HF85">
        <v>2673.1</v>
      </c>
      <c r="HG85">
        <v>2658</v>
      </c>
      <c r="HH85">
        <v>2757.8</v>
      </c>
      <c r="HI85">
        <v>2900.3</v>
      </c>
      <c r="HJ85">
        <v>2850.8</v>
      </c>
    </row>
    <row r="86" spans="1:218">
      <c r="A86" s="56" t="s">
        <v>2277</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18">
      <c r="A87" s="56" t="s">
        <v>2278</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18" ht="19.399999999999999" customHeight="1">
      <c r="A88" s="56" t="s">
        <v>2279</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1019170</v>
      </c>
      <c r="GQ88" s="56">
        <v>1026740</v>
      </c>
      <c r="GR88" s="56">
        <v>1034364</v>
      </c>
      <c r="GS88" s="56">
        <v>1042697</v>
      </c>
      <c r="GT88" s="56">
        <v>1068172</v>
      </c>
      <c r="GU88" s="56">
        <v>1075081</v>
      </c>
      <c r="GV88" s="56">
        <v>1080296</v>
      </c>
      <c r="GW88" s="56">
        <v>1088164</v>
      </c>
      <c r="GX88" s="56">
        <v>1105684</v>
      </c>
      <c r="GY88" s="56">
        <v>1109622</v>
      </c>
      <c r="GZ88" s="56">
        <v>1116840</v>
      </c>
      <c r="HA88" s="56">
        <v>1126254</v>
      </c>
      <c r="HB88" s="56">
        <v>1198680</v>
      </c>
      <c r="HC88">
        <v>1207049</v>
      </c>
      <c r="HD88">
        <v>1214451</v>
      </c>
      <c r="HE88">
        <v>1225835</v>
      </c>
      <c r="HF88">
        <v>1339977</v>
      </c>
      <c r="HG88">
        <v>1353758</v>
      </c>
      <c r="HH88">
        <v>1361285</v>
      </c>
      <c r="HI88">
        <v>1374247</v>
      </c>
      <c r="HJ88">
        <v>1426429</v>
      </c>
    </row>
    <row r="89" spans="1:218">
      <c r="A89" s="56" t="s">
        <v>2280</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tabSelected="1" topLeftCell="A64" zoomScaleNormal="100" workbookViewId="0">
      <selection activeCell="Q92" sqref="Q92"/>
    </sheetView>
  </sheetViews>
  <sheetFormatPr defaultColWidth="10.81640625" defaultRowHeight="14.5"/>
  <cols>
    <col min="2" max="2" width="39.453125" customWidth="1"/>
    <col min="3" max="3" width="20.1796875" customWidth="1"/>
    <col min="4" max="5" width="9.453125" customWidth="1"/>
    <col min="9" max="9" width="12.453125" customWidth="1"/>
  </cols>
  <sheetData>
    <row r="2" spans="2:13">
      <c r="B2" s="1274" t="s">
        <v>1958</v>
      </c>
      <c r="C2" s="1274"/>
      <c r="D2" s="1274"/>
      <c r="E2" s="1274"/>
      <c r="F2" s="1274"/>
      <c r="G2" s="1274"/>
      <c r="H2" s="1274"/>
      <c r="I2" s="1274"/>
      <c r="J2" s="1274"/>
      <c r="K2" s="1274"/>
      <c r="L2" s="1274"/>
      <c r="M2" s="1274"/>
    </row>
    <row r="3" spans="2:13">
      <c r="B3" t="str">
        <f>forecast!A1</f>
        <v>name</v>
      </c>
      <c r="C3" t="str">
        <f>forecast!B1</f>
        <v>variable</v>
      </c>
      <c r="D3" t="str">
        <f>forecast!C1</f>
        <v>2024 Q1</v>
      </c>
      <c r="E3" t="str">
        <f>forecast!D1</f>
        <v>2024 Q2</v>
      </c>
      <c r="F3" t="s">
        <v>175</v>
      </c>
      <c r="G3" t="s">
        <v>176</v>
      </c>
      <c r="H3" t="s">
        <v>177</v>
      </c>
      <c r="I3" t="s">
        <v>765</v>
      </c>
      <c r="J3" t="s">
        <v>766</v>
      </c>
      <c r="K3" t="s">
        <v>767</v>
      </c>
      <c r="L3" t="s">
        <v>1157</v>
      </c>
      <c r="M3" t="s">
        <v>1158</v>
      </c>
    </row>
    <row r="4" spans="2:13">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c r="B6" t="str">
        <f>forecast!A4</f>
        <v>Federal Purchases (NIPA Consistent)</v>
      </c>
      <c r="C6" t="str">
        <f>forecast!B4</f>
        <v>federal_purchases</v>
      </c>
      <c r="D6" s="70">
        <f>forecast!C4</f>
        <v>1837.4</v>
      </c>
      <c r="E6" s="70">
        <f>forecast!D4</f>
        <v>1825.6946245721695</v>
      </c>
      <c r="F6" s="70">
        <f>forecast!E4</f>
        <v>1824.7079499083909</v>
      </c>
      <c r="G6" s="70">
        <f>forecast!F4</f>
        <v>1842.722974448649</v>
      </c>
      <c r="H6" s="70">
        <f>forecast!G4</f>
        <v>1864.4617545065134</v>
      </c>
      <c r="I6" s="70">
        <f>forecast!H4</f>
        <v>1887.0641967723745</v>
      </c>
      <c r="J6" s="70">
        <f>forecast!I4</f>
        <v>1910.2363352794166</v>
      </c>
      <c r="K6" s="70">
        <f>forecast!J4</f>
        <v>1923.8766679807525</v>
      </c>
      <c r="L6" s="70">
        <f>forecast!K4</f>
        <v>1936.1957022275615</v>
      </c>
      <c r="M6" s="70">
        <f>forecast!L4</f>
        <v>0</v>
      </c>
    </row>
    <row r="7" spans="2:13">
      <c r="B7" t="str">
        <f>forecast!A5</f>
        <v>State Purchases (NIPA Consistent)</v>
      </c>
      <c r="C7" t="str">
        <f>forecast!B5</f>
        <v>state_purchases</v>
      </c>
      <c r="D7" s="70">
        <f>forecast!C5</f>
        <v>3103.6</v>
      </c>
      <c r="E7" s="70">
        <f>forecast!D5</f>
        <v>3143.6834211166383</v>
      </c>
      <c r="F7" s="70">
        <f>forecast!E5</f>
        <v>3173.0556045016788</v>
      </c>
      <c r="G7" s="70">
        <f>forecast!F5</f>
        <v>3202.0540144700153</v>
      </c>
      <c r="H7" s="70">
        <f>forecast!G5</f>
        <v>3230.0235873157189</v>
      </c>
      <c r="I7" s="70">
        <f>forecast!H5</f>
        <v>3258.1273261947244</v>
      </c>
      <c r="J7" s="70">
        <f>forecast!I5</f>
        <v>3285.2129820722521</v>
      </c>
      <c r="K7" s="70">
        <f>forecast!J5</f>
        <v>3312.2754217136699</v>
      </c>
      <c r="L7" s="70">
        <f>forecast!K5</f>
        <v>3340.4653146443643</v>
      </c>
      <c r="M7" s="70">
        <f>forecast!L5</f>
        <v>0</v>
      </c>
    </row>
    <row r="8" spans="2:13">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c r="B12" t="str">
        <f>forecast!A10</f>
        <v>Federal Medicaid</v>
      </c>
      <c r="C12" t="str">
        <f>forecast!B10</f>
        <v>medicaid_grants</v>
      </c>
      <c r="D12" s="70">
        <f>forecast!C10</f>
        <v>613.56899999999996</v>
      </c>
      <c r="E12" s="70">
        <f>forecast!D10</f>
        <v>632.92691652098893</v>
      </c>
      <c r="F12" s="70">
        <f>forecast!E10</f>
        <v>637.01889906864915</v>
      </c>
      <c r="G12" s="70">
        <f>forecast!F10</f>
        <v>639.34620048688248</v>
      </c>
      <c r="H12" s="70">
        <f>forecast!G10</f>
        <v>641.68200452866301</v>
      </c>
      <c r="I12" s="70">
        <f>forecast!H10</f>
        <v>644.02634225769702</v>
      </c>
      <c r="J12" s="70">
        <f>forecast!I10</f>
        <v>646.37924485117935</v>
      </c>
      <c r="K12" s="70">
        <f>forecast!J10</f>
        <v>650.10964612892383</v>
      </c>
      <c r="L12" s="70">
        <f>forecast!K10</f>
        <v>653.86157639882549</v>
      </c>
      <c r="M12" s="70">
        <f>forecast!L10</f>
        <v>0</v>
      </c>
    </row>
    <row r="13" spans="2:13">
      <c r="B13" t="str">
        <f>forecast!A11</f>
        <v>Total Medicaid</v>
      </c>
      <c r="C13" t="str">
        <f>forecast!B11</f>
        <v>medicaid</v>
      </c>
      <c r="D13" s="70">
        <f>forecast!C11</f>
        <v>916.9</v>
      </c>
      <c r="E13" s="70">
        <f>forecast!D11</f>
        <v>945.8279179001787</v>
      </c>
      <c r="F13" s="70">
        <f>forecast!E11</f>
        <v>951.94285981860958</v>
      </c>
      <c r="G13" s="70">
        <f>forecast!F11</f>
        <v>955.42071262795628</v>
      </c>
      <c r="H13" s="70">
        <f>forecast!G11</f>
        <v>958.91127151523483</v>
      </c>
      <c r="I13" s="70">
        <f>forecast!H11</f>
        <v>962.41458290116088</v>
      </c>
      <c r="J13" s="70">
        <f>forecast!I11</f>
        <v>965.9306933760447</v>
      </c>
      <c r="K13" s="70">
        <f>forecast!J11</f>
        <v>971.50529856562218</v>
      </c>
      <c r="L13" s="70">
        <f>forecast!K11</f>
        <v>977.11207606655989</v>
      </c>
      <c r="M13" s="70">
        <f>forecast!L11</f>
        <v>0</v>
      </c>
    </row>
    <row r="14" spans="2:13">
      <c r="B14" t="str">
        <f>forecast!A12</f>
        <v>Medicare</v>
      </c>
      <c r="C14" t="str">
        <f>forecast!B12</f>
        <v>medicare</v>
      </c>
      <c r="D14" s="70">
        <f>forecast!C12</f>
        <v>965.3</v>
      </c>
      <c r="E14" s="70">
        <f>forecast!D12</f>
        <v>980.56003292022876</v>
      </c>
      <c r="F14" s="70">
        <f>forecast!E12</f>
        <v>996.18777418821298</v>
      </c>
      <c r="G14" s="70">
        <f>forecast!F12</f>
        <v>1008.812306797969</v>
      </c>
      <c r="H14" s="70">
        <f>forecast!G12</f>
        <v>1021.5968281445319</v>
      </c>
      <c r="I14" s="70">
        <f>forecast!H12</f>
        <v>1034.5433657402616</v>
      </c>
      <c r="J14" s="70">
        <f>forecast!I12</f>
        <v>1047.6539727918666</v>
      </c>
      <c r="K14" s="70">
        <f>forecast!J12</f>
        <v>1064.1436593437684</v>
      </c>
      <c r="L14" s="70">
        <f>forecast!K12</f>
        <v>1080.8928874710773</v>
      </c>
      <c r="M14" s="70">
        <f>forecast!L12</f>
        <v>0</v>
      </c>
    </row>
    <row r="15" spans="2:13">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c r="B19" t="str">
        <f>forecast!A17</f>
        <v>Other Federal Social Benefits (including all SNAP)</v>
      </c>
      <c r="C19" t="str">
        <f>forecast!B17</f>
        <v>federal_social_benefits</v>
      </c>
      <c r="D19" s="70">
        <f>forecast!C17</f>
        <v>2046.499</v>
      </c>
      <c r="E19" s="70">
        <f>forecast!D17</f>
        <v>2053.4323333333332</v>
      </c>
      <c r="F19" s="70">
        <f>forecast!E17</f>
        <v>2060.3656666666666</v>
      </c>
      <c r="G19" s="70">
        <f>forecast!F17</f>
        <v>2068.8270000000002</v>
      </c>
      <c r="H19" s="70">
        <f>forecast!G17</f>
        <v>2110.6089412743336</v>
      </c>
      <c r="I19" s="70">
        <f>forecast!H17</f>
        <v>2117.542274607667</v>
      </c>
      <c r="J19" s="70">
        <f>forecast!I17</f>
        <v>2124.4756079410004</v>
      </c>
      <c r="K19" s="70">
        <f>forecast!J17</f>
        <v>2115.1699412743337</v>
      </c>
      <c r="L19" s="70">
        <f>forecast!K17</f>
        <v>2159.15720553131</v>
      </c>
      <c r="M19" s="70">
        <f>forecast!L17</f>
        <v>0</v>
      </c>
    </row>
    <row r="20" spans="2:13">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c r="B21" t="str">
        <f>forecast!A19</f>
        <v>Federal Non-Corporate Taxes</v>
      </c>
      <c r="C21" t="str">
        <f>forecast!B19</f>
        <v>federal_non_corporate_taxes</v>
      </c>
      <c r="D21" s="70">
        <f>forecast!C19</f>
        <v>4381.5</v>
      </c>
      <c r="E21" s="70">
        <f>forecast!D19</f>
        <v>4464.988320834409</v>
      </c>
      <c r="F21" s="70">
        <f>forecast!E19</f>
        <v>4497.010445756734</v>
      </c>
      <c r="G21" s="70">
        <f>forecast!F19</f>
        <v>4528.0426969786186</v>
      </c>
      <c r="H21" s="70">
        <f>forecast!G19</f>
        <v>4601.4561928739067</v>
      </c>
      <c r="I21" s="70">
        <f>forecast!H19</f>
        <v>4633.1814901803309</v>
      </c>
      <c r="J21" s="70">
        <f>forecast!I19</f>
        <v>4665.1529828726379</v>
      </c>
      <c r="K21" s="70">
        <f>forecast!J19</f>
        <v>4697.372840770222</v>
      </c>
      <c r="L21" s="70">
        <f>forecast!K19</f>
        <v>4780.1184210201982</v>
      </c>
      <c r="M21" s="70">
        <f>forecast!L19</f>
        <v>0</v>
      </c>
    </row>
    <row r="22" spans="2:13">
      <c r="B22" t="str">
        <f>forecast!A20</f>
        <v>State Non-Corporate Taxes</v>
      </c>
      <c r="C22" t="str">
        <f>forecast!B20</f>
        <v>state_non_corporate_taxes</v>
      </c>
      <c r="D22" s="70">
        <f>forecast!C20</f>
        <v>2296.6999999999998</v>
      </c>
      <c r="E22" s="70">
        <f>forecast!D20</f>
        <v>2315.2235824181621</v>
      </c>
      <c r="F22" s="70">
        <f>forecast!E20</f>
        <v>2347.0677549482875</v>
      </c>
      <c r="G22" s="70">
        <f>forecast!F20</f>
        <v>2370.910285239449</v>
      </c>
      <c r="H22" s="70">
        <f>forecast!G20</f>
        <v>2395.4883941419525</v>
      </c>
      <c r="I22" s="70">
        <f>forecast!H20</f>
        <v>2420.0058245704026</v>
      </c>
      <c r="J22" s="70">
        <f>forecast!I20</f>
        <v>2443.5642635095865</v>
      </c>
      <c r="K22" s="70">
        <f>forecast!J20</f>
        <v>2466.8106652938673</v>
      </c>
      <c r="L22" s="70">
        <f>forecast!K20</f>
        <v>2487.6029479748304</v>
      </c>
      <c r="M22" s="70">
        <f>forecast!L20</f>
        <v>0</v>
      </c>
    </row>
    <row r="23" spans="2:13">
      <c r="B23" t="str">
        <f>forecast!A21</f>
        <v>Federal Corporate Taxes</v>
      </c>
      <c r="C23" t="str">
        <f>forecast!B21</f>
        <v>federal_corporate_taxes</v>
      </c>
      <c r="D23" s="70">
        <f>forecast!C21</f>
        <v>453.8</v>
      </c>
      <c r="E23" s="70">
        <f>forecast!D21</f>
        <v>464.97471675520438</v>
      </c>
      <c r="F23" s="70">
        <f>forecast!E21</f>
        <v>476.42460824500336</v>
      </c>
      <c r="G23" s="70">
        <f>forecast!F21</f>
        <v>485.99246115610663</v>
      </c>
      <c r="H23" s="70">
        <f>forecast!G21</f>
        <v>495.7524615922207</v>
      </c>
      <c r="I23" s="70">
        <f>forecast!H21</f>
        <v>505.70846837848751</v>
      </c>
      <c r="J23" s="70">
        <f>forecast!I21</f>
        <v>515.86441783535611</v>
      </c>
      <c r="K23" s="70">
        <f>forecast!J21</f>
        <v>526.22432533489143</v>
      </c>
      <c r="L23" s="70">
        <f>forecast!K21</f>
        <v>536.79228688833746</v>
      </c>
      <c r="M23" s="70">
        <f>forecast!L21</f>
        <v>0</v>
      </c>
    </row>
    <row r="24" spans="2:13">
      <c r="B24" t="str">
        <f>forecast!A22</f>
        <v>State Corporate Taxes</v>
      </c>
      <c r="C24" s="56" t="str">
        <f>forecast!B22</f>
        <v>state_corporate_taxes</v>
      </c>
      <c r="D24" s="70">
        <f>forecast!C22</f>
        <v>169.1</v>
      </c>
      <c r="E24" s="70">
        <f>forecast!D22</f>
        <v>172.78949768486035</v>
      </c>
      <c r="F24" s="70">
        <f>forecast!E22</f>
        <v>175.48840676301387</v>
      </c>
      <c r="G24" s="70">
        <f>forecast!F22</f>
        <v>176.81116879472424</v>
      </c>
      <c r="H24" s="70">
        <f>forecast!G22</f>
        <v>178.43051424161635</v>
      </c>
      <c r="I24" s="70">
        <f>forecast!H22</f>
        <v>180.04392802020482</v>
      </c>
      <c r="J24" s="70">
        <f>forecast!I22</f>
        <v>181.0701066367335</v>
      </c>
      <c r="K24" s="70">
        <f>forecast!J22</f>
        <v>181.15908166128801</v>
      </c>
      <c r="L24" s="70">
        <f>forecast!K22</f>
        <v>180.36423810860106</v>
      </c>
      <c r="M24" s="70">
        <f>forecast!L22</f>
        <v>0</v>
      </c>
    </row>
    <row r="25" spans="2:13">
      <c r="B25" s="56" t="str">
        <f>forecast!A23</f>
        <v>Federal Student Loans</v>
      </c>
      <c r="C25" s="56"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c r="B26" s="56"/>
      <c r="C26" s="56"/>
      <c r="D26" s="70"/>
      <c r="E26" s="70"/>
      <c r="F26" s="70"/>
      <c r="G26" s="70"/>
      <c r="H26" s="70"/>
      <c r="I26" s="70"/>
    </row>
    <row r="27" spans="2:13">
      <c r="B27" s="75" t="s">
        <v>1921</v>
      </c>
      <c r="C27" s="56"/>
      <c r="D27" s="70"/>
      <c r="E27" s="70"/>
      <c r="F27" s="70"/>
      <c r="G27" s="70"/>
      <c r="H27" s="70"/>
      <c r="I27" s="70"/>
    </row>
    <row r="28" spans="2:13">
      <c r="B28" s="56" t="s">
        <v>1710</v>
      </c>
      <c r="C28" s="56"/>
      <c r="D28" s="76">
        <f>Deflators!Y45</f>
        <v>3.4047759971643332E-2</v>
      </c>
      <c r="E28" s="76">
        <f>Deflators!Z45</f>
        <v>2.423474992777825E-2</v>
      </c>
      <c r="F28" s="76">
        <f>Deflators!AA45</f>
        <v>2.2474645472145172E-2</v>
      </c>
      <c r="G28" s="76">
        <f>Deflators!AB45</f>
        <v>2.0485836297992499E-2</v>
      </c>
      <c r="H28" s="76">
        <f>Deflators!AC45</f>
        <v>2.1796033645922641E-2</v>
      </c>
      <c r="I28" s="76">
        <f>Deflators!AD45</f>
        <v>2.1576747995004641E-2</v>
      </c>
      <c r="J28" s="76">
        <f>Deflators!AE45</f>
        <v>2.0708760783051394E-2</v>
      </c>
      <c r="K28" s="76">
        <f>Deflators!AF45</f>
        <v>2.0110814282412459E-2</v>
      </c>
      <c r="L28" s="76">
        <f>Deflators!AG45</f>
        <v>1.9760549063349009E-2</v>
      </c>
      <c r="M28" s="76">
        <f>Deflators!AH45</f>
        <v>0</v>
      </c>
    </row>
    <row r="29" spans="2:13">
      <c r="B29" s="56" t="s">
        <v>1711</v>
      </c>
      <c r="C29" s="56"/>
      <c r="D29" s="76">
        <f>Deflators!Y48</f>
        <v>4.1294742159051934E-2</v>
      </c>
      <c r="E29" s="76">
        <f>Deflators!Z48</f>
        <v>2.5493852387617873E-2</v>
      </c>
      <c r="F29" s="76">
        <f>Deflators!AA48</f>
        <v>2.7505871693797701E-2</v>
      </c>
      <c r="G29" s="76">
        <f>Deflators!AB48</f>
        <v>2.5438723088733628E-2</v>
      </c>
      <c r="H29" s="76">
        <f>Deflators!AC48</f>
        <v>2.4377163912874478E-2</v>
      </c>
      <c r="I29" s="76">
        <f>Deflators!AD46</f>
        <v>2.1576747995004641E-2</v>
      </c>
      <c r="J29" s="76">
        <f>Deflators!AE46</f>
        <v>2.0708760783051394E-2</v>
      </c>
      <c r="K29" s="76">
        <f>Deflators!AF46</f>
        <v>2.0110814282412459E-2</v>
      </c>
      <c r="L29" s="76">
        <f>Deflators!AG46</f>
        <v>1.9760549063349009E-2</v>
      </c>
      <c r="M29" s="76">
        <f>Deflators!AH46</f>
        <v>0</v>
      </c>
    </row>
    <row r="30" spans="2:13">
      <c r="B30" s="56" t="s">
        <v>1712</v>
      </c>
      <c r="C30" s="56"/>
      <c r="D30" s="76">
        <f>Deflators!Y49</f>
        <v>3.8310837184705404E-2</v>
      </c>
      <c r="E30" s="76">
        <f>Deflators!Z49</f>
        <v>3.2769034245715041E-2</v>
      </c>
      <c r="F30" s="76">
        <f>Deflators!AA49</f>
        <v>2.4724337980433164E-2</v>
      </c>
      <c r="G30" s="76">
        <f>Deflators!AB49</f>
        <v>2.3533565330379203E-2</v>
      </c>
      <c r="H30" s="76">
        <f>Deflators!AC49</f>
        <v>2.5821649071183117E-2</v>
      </c>
      <c r="I30" s="76">
        <f>Deflators!AD47</f>
        <v>0</v>
      </c>
      <c r="J30" s="76">
        <f>Deflators!AE47</f>
        <v>0</v>
      </c>
      <c r="K30" s="76">
        <f>Deflators!AF47</f>
        <v>0</v>
      </c>
      <c r="L30" s="76">
        <f>Deflators!AG47</f>
        <v>0</v>
      </c>
      <c r="M30" s="76">
        <f>Deflators!AH47</f>
        <v>0</v>
      </c>
    </row>
    <row r="31" spans="2:13">
      <c r="B31" s="56" t="s">
        <v>1713</v>
      </c>
      <c r="C31" s="56"/>
      <c r="D31" s="76">
        <f>Deflators!Y51</f>
        <v>4.1686540954535056E-2</v>
      </c>
      <c r="E31" s="76">
        <f>Deflators!Z51</f>
        <v>3.2769034245715041E-2</v>
      </c>
      <c r="F31" s="76">
        <f>Deflators!AA51</f>
        <v>2.4724337980433164E-2</v>
      </c>
      <c r="G31" s="76">
        <f>Deflators!AB51</f>
        <v>2.3533565330379203E-2</v>
      </c>
      <c r="H31" s="76">
        <f>Deflators!AC51</f>
        <v>2.5821649071183117E-2</v>
      </c>
      <c r="I31" s="76">
        <f>Deflators!AD48</f>
        <v>2.3708971853545924E-2</v>
      </c>
      <c r="J31" s="76">
        <f>Deflators!AE48</f>
        <v>2.3471980846518914E-2</v>
      </c>
      <c r="K31" s="76">
        <f>Deflators!AF48</f>
        <v>2.3530345294352939E-2</v>
      </c>
      <c r="L31" s="76">
        <f>Deflators!AG48</f>
        <v>1.7936865457563567E-2</v>
      </c>
      <c r="M31" s="76">
        <f>Deflators!AH48</f>
        <v>0</v>
      </c>
    </row>
    <row r="32" spans="2:13">
      <c r="B32" s="56" t="s">
        <v>1714</v>
      </c>
      <c r="C32" s="56"/>
      <c r="D32" s="76">
        <f>Deflators!Y52</f>
        <v>2.4361298023588995E-2</v>
      </c>
      <c r="E32" s="76">
        <f>Deflators!Z52</f>
        <v>3.2769034245715041E-2</v>
      </c>
      <c r="F32" s="76">
        <f>Deflators!AA52</f>
        <v>2.4724337980433164E-2</v>
      </c>
      <c r="G32" s="76">
        <f>Deflators!AB52</f>
        <v>2.3533565330379203E-2</v>
      </c>
      <c r="H32" s="76">
        <f>Deflators!AC52</f>
        <v>2.5821649071183117E-2</v>
      </c>
      <c r="I32" s="76">
        <f>Deflators!AD49</f>
        <v>2.5493967451795996E-2</v>
      </c>
      <c r="J32" s="76">
        <f>Deflators!AE49</f>
        <v>2.5095343044312823E-2</v>
      </c>
      <c r="K32" s="76">
        <f>Deflators!AF49</f>
        <v>2.4877364391311607E-2</v>
      </c>
      <c r="L32" s="76">
        <f>Deflators!AG49</f>
        <v>2.492676444114772E-2</v>
      </c>
      <c r="M32" s="76">
        <f>Deflators!AH49</f>
        <v>0</v>
      </c>
    </row>
    <row r="34" spans="2:13">
      <c r="B34" s="1274" t="s">
        <v>1946</v>
      </c>
      <c r="C34" s="1274"/>
      <c r="D34" s="1274"/>
      <c r="E34" s="1274"/>
      <c r="F34" s="1274"/>
      <c r="G34" s="1274"/>
      <c r="H34" s="1274"/>
      <c r="I34" s="1274"/>
      <c r="J34" s="1274"/>
      <c r="K34" s="1274"/>
      <c r="L34" s="1274"/>
      <c r="M34" s="1274"/>
    </row>
    <row r="35" spans="2:13">
      <c r="B35" t="s">
        <v>178</v>
      </c>
      <c r="C35" t="s">
        <v>179</v>
      </c>
      <c r="D35" t="s">
        <v>190</v>
      </c>
      <c r="E35" t="s">
        <v>191</v>
      </c>
      <c r="F35" t="s">
        <v>175</v>
      </c>
      <c r="G35" t="s">
        <v>176</v>
      </c>
      <c r="H35" t="s">
        <v>177</v>
      </c>
      <c r="I35" t="s">
        <v>765</v>
      </c>
      <c r="J35" t="s">
        <v>766</v>
      </c>
      <c r="K35" t="s">
        <v>767</v>
      </c>
      <c r="L35" t="s">
        <v>1157</v>
      </c>
      <c r="M35" t="s">
        <v>1158</v>
      </c>
    </row>
    <row r="36" spans="2:13">
      <c r="B36" t="s">
        <v>192</v>
      </c>
      <c r="C36" t="s">
        <v>193</v>
      </c>
      <c r="D36" s="70">
        <v>427.26494400000001</v>
      </c>
      <c r="E36" s="70">
        <v>418.03001728324807</v>
      </c>
      <c r="F36" s="70">
        <v>422.5102225824408</v>
      </c>
      <c r="G36" s="70">
        <v>427.2815256817579</v>
      </c>
      <c r="H36" s="70">
        <v>410.47107700000004</v>
      </c>
      <c r="I36" s="70">
        <v>405.8184041145779</v>
      </c>
      <c r="J36">
        <v>408.36749628573835</v>
      </c>
      <c r="K36">
        <v>407.0560067810282</v>
      </c>
      <c r="L36">
        <v>409.781722</v>
      </c>
      <c r="M36">
        <v>0</v>
      </c>
    </row>
    <row r="37" spans="2:13">
      <c r="B37" t="s">
        <v>134</v>
      </c>
      <c r="C37" t="s">
        <v>194</v>
      </c>
      <c r="D37" s="70">
        <v>77.707285714285717</v>
      </c>
      <c r="E37" s="70">
        <v>77.707285714285717</v>
      </c>
      <c r="F37" s="70">
        <v>77.707285714285717</v>
      </c>
      <c r="G37" s="70">
        <v>79.301285714285726</v>
      </c>
      <c r="H37" s="70">
        <v>79.301285714285726</v>
      </c>
      <c r="I37" s="70">
        <v>75.229285714285723</v>
      </c>
      <c r="J37">
        <v>75.229285714285723</v>
      </c>
      <c r="K37">
        <v>75.229285714285723</v>
      </c>
      <c r="L37">
        <v>75.229285714285723</v>
      </c>
      <c r="M37">
        <v>0</v>
      </c>
    </row>
    <row r="38" spans="2:13">
      <c r="B38" t="s">
        <v>195</v>
      </c>
      <c r="C38" t="s">
        <v>196</v>
      </c>
      <c r="D38" s="70">
        <v>1837.2</v>
      </c>
      <c r="E38" s="70">
        <v>1848.6395138374351</v>
      </c>
      <c r="F38" s="70">
        <v>1864.4764115111357</v>
      </c>
      <c r="G38" s="70">
        <v>1878.528717728633</v>
      </c>
      <c r="H38" s="70">
        <v>1890.0503769897132</v>
      </c>
      <c r="I38" s="70">
        <v>1902.2038020847165</v>
      </c>
      <c r="J38">
        <v>1915.1720115226869</v>
      </c>
      <c r="K38">
        <v>1929.3160985174152</v>
      </c>
      <c r="L38">
        <v>1943.569361563337</v>
      </c>
      <c r="M38">
        <v>0</v>
      </c>
    </row>
    <row r="39" spans="2:13">
      <c r="B39" t="s">
        <v>197</v>
      </c>
      <c r="C39" t="s">
        <v>198</v>
      </c>
      <c r="D39" s="70">
        <v>3100.2</v>
      </c>
      <c r="E39" s="70">
        <v>3131.0560446291206</v>
      </c>
      <c r="F39" s="70">
        <v>3160.2950227752217</v>
      </c>
      <c r="G39" s="70">
        <v>3190.091295801712</v>
      </c>
      <c r="H39" s="70">
        <v>3219.6643798566629</v>
      </c>
      <c r="I39" s="70">
        <v>3249.7151602080339</v>
      </c>
      <c r="J39">
        <v>3280.5993490219689</v>
      </c>
      <c r="K39">
        <v>3311.3704017044197</v>
      </c>
      <c r="L39">
        <v>3343.733379810219</v>
      </c>
      <c r="M39">
        <v>0</v>
      </c>
    </row>
    <row r="40" spans="2:13">
      <c r="B40" t="s">
        <v>199</v>
      </c>
      <c r="C40" t="s">
        <v>200</v>
      </c>
      <c r="D40" s="70">
        <v>95.135000000000005</v>
      </c>
      <c r="E40" s="70">
        <v>95.135000000000005</v>
      </c>
      <c r="F40" s="70">
        <v>95.135000000000005</v>
      </c>
      <c r="G40" s="70">
        <v>102.23399999999999</v>
      </c>
      <c r="H40" s="70">
        <v>102.23399999999999</v>
      </c>
      <c r="I40" s="70">
        <v>95.212000000000003</v>
      </c>
      <c r="J40">
        <v>96.212000000000003</v>
      </c>
      <c r="K40">
        <v>101.551</v>
      </c>
      <c r="L40">
        <v>100.401</v>
      </c>
      <c r="M40">
        <v>0</v>
      </c>
    </row>
    <row r="41" spans="2:13">
      <c r="B41" t="s">
        <v>201</v>
      </c>
      <c r="C41" t="s">
        <v>202</v>
      </c>
      <c r="D41" s="70">
        <v>1.365</v>
      </c>
      <c r="E41" s="70">
        <v>1.365</v>
      </c>
      <c r="F41" s="70">
        <v>1.365</v>
      </c>
      <c r="G41" s="70">
        <v>-0.90100000000000025</v>
      </c>
      <c r="H41" s="70">
        <v>-0.90100000000000025</v>
      </c>
      <c r="I41" s="70">
        <v>-0.90100000000000025</v>
      </c>
      <c r="J41">
        <v>-0.90100000000000025</v>
      </c>
      <c r="K41">
        <v>-2.1500000000000004</v>
      </c>
      <c r="L41">
        <v>0</v>
      </c>
      <c r="M41">
        <v>0</v>
      </c>
    </row>
    <row r="42" spans="2:13">
      <c r="B42" t="s">
        <v>203</v>
      </c>
      <c r="C42" t="s">
        <v>204</v>
      </c>
      <c r="D42" s="70">
        <v>-0.55714285714286049</v>
      </c>
      <c r="E42" s="70">
        <v>0</v>
      </c>
      <c r="F42" s="70">
        <v>0</v>
      </c>
      <c r="G42" s="70">
        <v>0</v>
      </c>
      <c r="H42" s="70">
        <v>0</v>
      </c>
      <c r="I42" s="70">
        <v>0</v>
      </c>
      <c r="J42">
        <v>0</v>
      </c>
      <c r="K42">
        <v>0</v>
      </c>
      <c r="L42">
        <v>0</v>
      </c>
      <c r="M42">
        <v>0</v>
      </c>
    </row>
    <row r="43" spans="2:13">
      <c r="B43" t="s">
        <v>205</v>
      </c>
      <c r="C43" t="s">
        <v>206</v>
      </c>
      <c r="D43" s="70">
        <v>23.25714285714286</v>
      </c>
      <c r="E43" s="70">
        <v>22.5</v>
      </c>
      <c r="F43" s="70">
        <v>22.5</v>
      </c>
      <c r="G43" s="70">
        <v>22.5</v>
      </c>
      <c r="H43" s="70">
        <v>22.5</v>
      </c>
      <c r="I43" s="70">
        <v>22.5</v>
      </c>
      <c r="J43">
        <v>22.5</v>
      </c>
      <c r="K43">
        <v>22.5</v>
      </c>
      <c r="L43">
        <v>22.5</v>
      </c>
      <c r="M43">
        <v>0</v>
      </c>
    </row>
    <row r="44" spans="2:13">
      <c r="B44" t="s">
        <v>207</v>
      </c>
      <c r="C44" t="s">
        <v>208</v>
      </c>
      <c r="D44" s="70">
        <v>613.56899999999996</v>
      </c>
      <c r="E44" s="70">
        <v>639.39351778125967</v>
      </c>
      <c r="F44" s="70">
        <v>640.31834989979336</v>
      </c>
      <c r="G44" s="70">
        <v>644.84247221765099</v>
      </c>
      <c r="H44" s="70">
        <v>649.39855938978803</v>
      </c>
      <c r="I44" s="70">
        <v>653.98683726153683</v>
      </c>
      <c r="J44">
        <v>658.60753327392365</v>
      </c>
      <c r="K44">
        <v>667.87046891938917</v>
      </c>
      <c r="L44">
        <v>677.26368241993089</v>
      </c>
      <c r="M44">
        <v>0</v>
      </c>
    </row>
    <row r="45" spans="2:13">
      <c r="B45" t="s">
        <v>209</v>
      </c>
      <c r="C45" t="s">
        <v>210</v>
      </c>
      <c r="D45" s="70">
        <v>922.3</v>
      </c>
      <c r="E45" s="70">
        <v>961.11870294890355</v>
      </c>
      <c r="F45" s="70">
        <v>962.5088850847734</v>
      </c>
      <c r="G45" s="70">
        <v>969.30942098824983</v>
      </c>
      <c r="H45" s="70">
        <v>976.15800557916293</v>
      </c>
      <c r="I45" s="70">
        <v>983.05497834198832</v>
      </c>
      <c r="J45">
        <v>990.000681159804</v>
      </c>
      <c r="K45">
        <v>1003.9244705719366</v>
      </c>
      <c r="L45">
        <v>1018.0440900630609</v>
      </c>
      <c r="M45">
        <v>0</v>
      </c>
    </row>
    <row r="46" spans="2:13">
      <c r="B46" t="s">
        <v>55</v>
      </c>
      <c r="C46" t="s">
        <v>211</v>
      </c>
      <c r="D46" s="70">
        <v>965.3</v>
      </c>
      <c r="E46" s="70">
        <v>979.66888154239325</v>
      </c>
      <c r="F46" s="70">
        <v>994.37073294816423</v>
      </c>
      <c r="G46" s="70">
        <v>1009.4444528643897</v>
      </c>
      <c r="H46" s="70">
        <v>1024.7466761190424</v>
      </c>
      <c r="I46" s="70">
        <v>1040.2808666066326</v>
      </c>
      <c r="J46">
        <v>1056.0505407310361</v>
      </c>
      <c r="K46">
        <v>1071.7916062569657</v>
      </c>
      <c r="L46">
        <v>1087.7673017881223</v>
      </c>
      <c r="M46">
        <v>0</v>
      </c>
    </row>
    <row r="47" spans="2:13">
      <c r="B47" t="s">
        <v>212</v>
      </c>
      <c r="C47" t="s">
        <v>213</v>
      </c>
      <c r="D47" s="70">
        <v>0</v>
      </c>
      <c r="E47" s="70">
        <v>0</v>
      </c>
      <c r="F47" s="70">
        <v>0</v>
      </c>
      <c r="G47" s="70">
        <v>0</v>
      </c>
      <c r="H47" s="70">
        <v>0</v>
      </c>
      <c r="I47" s="70">
        <v>0</v>
      </c>
      <c r="J47">
        <v>0</v>
      </c>
      <c r="K47">
        <v>0</v>
      </c>
      <c r="L47">
        <v>0</v>
      </c>
      <c r="M47">
        <v>0</v>
      </c>
    </row>
    <row r="48" spans="2:13">
      <c r="B48" t="s">
        <v>214</v>
      </c>
      <c r="C48" t="s">
        <v>215</v>
      </c>
      <c r="D48" s="70">
        <v>0</v>
      </c>
      <c r="E48" s="70">
        <v>0</v>
      </c>
      <c r="F48" s="70">
        <v>0</v>
      </c>
      <c r="G48" s="70">
        <v>0</v>
      </c>
      <c r="H48" s="70">
        <v>0</v>
      </c>
      <c r="I48" s="70">
        <v>0</v>
      </c>
      <c r="J48">
        <v>0</v>
      </c>
      <c r="K48">
        <v>0</v>
      </c>
      <c r="L48">
        <v>0</v>
      </c>
      <c r="M48">
        <v>0</v>
      </c>
    </row>
    <row r="49" spans="2:13">
      <c r="B49" t="s">
        <v>216</v>
      </c>
      <c r="C49" t="s">
        <v>217</v>
      </c>
      <c r="D49" s="70">
        <v>4.2219999999999995</v>
      </c>
      <c r="E49" s="70">
        <v>4.2219999999999995</v>
      </c>
      <c r="F49" s="70">
        <v>4.2219999999999995</v>
      </c>
      <c r="G49" s="70">
        <v>2.3719999999999999</v>
      </c>
      <c r="H49" s="70">
        <v>2.3719999999999999</v>
      </c>
      <c r="I49" s="70">
        <v>2.3719999999999999</v>
      </c>
      <c r="J49">
        <v>2.3719999999999999</v>
      </c>
      <c r="K49">
        <v>0.49</v>
      </c>
      <c r="L49">
        <v>0</v>
      </c>
      <c r="M49">
        <v>0</v>
      </c>
    </row>
    <row r="50" spans="2:13">
      <c r="B50" t="s">
        <v>797</v>
      </c>
      <c r="C50" t="s">
        <v>219</v>
      </c>
      <c r="D50" s="70">
        <v>1.4790000000000001</v>
      </c>
      <c r="E50" s="70">
        <v>1.4790000000000001</v>
      </c>
      <c r="F50" s="70">
        <v>1.4790000000000001</v>
      </c>
      <c r="G50" s="70">
        <v>1.63</v>
      </c>
      <c r="H50" s="70">
        <v>1.63</v>
      </c>
      <c r="I50" s="70">
        <v>1.63</v>
      </c>
      <c r="J50">
        <v>1.63</v>
      </c>
      <c r="K50">
        <v>1.671</v>
      </c>
      <c r="L50">
        <v>0</v>
      </c>
      <c r="M50">
        <v>0</v>
      </c>
    </row>
    <row r="51" spans="2:13">
      <c r="B51" t="s">
        <v>220</v>
      </c>
      <c r="C51" t="s">
        <v>221</v>
      </c>
      <c r="D51" s="70">
        <v>2047.499</v>
      </c>
      <c r="E51" s="70">
        <v>2054.4323333333332</v>
      </c>
      <c r="F51" s="70">
        <v>2061.3656666666666</v>
      </c>
      <c r="G51" s="70">
        <v>2069.8270000000002</v>
      </c>
      <c r="H51" s="70">
        <v>2111.6203998973333</v>
      </c>
      <c r="I51" s="70">
        <v>2118.5537332306667</v>
      </c>
      <c r="J51">
        <v>2125.4870665640001</v>
      </c>
      <c r="K51">
        <v>2116.1813998973334</v>
      </c>
      <c r="L51">
        <v>2160.1803863256391</v>
      </c>
      <c r="M51">
        <v>0</v>
      </c>
    </row>
    <row r="52" spans="2:13">
      <c r="B52" t="s">
        <v>222</v>
      </c>
      <c r="C52" t="s">
        <v>223</v>
      </c>
      <c r="D52" s="70">
        <v>196.29831211574134</v>
      </c>
      <c r="E52" s="70">
        <v>199.52477289205825</v>
      </c>
      <c r="F52" s="70">
        <v>202.80426544959073</v>
      </c>
      <c r="G52" s="70">
        <v>206.137661446175</v>
      </c>
      <c r="H52" s="70">
        <v>209.52584686666717</v>
      </c>
      <c r="I52" s="70">
        <v>212.9697222584295</v>
      </c>
      <c r="J52">
        <v>216.47020297068735</v>
      </c>
      <c r="K52">
        <v>220.02821939782032</v>
      </c>
      <c r="L52">
        <v>223.64471722665206</v>
      </c>
      <c r="M52">
        <v>0</v>
      </c>
    </row>
    <row r="53" spans="2:13">
      <c r="B53" t="s">
        <v>224</v>
      </c>
      <c r="C53" t="s">
        <v>225</v>
      </c>
      <c r="D53" s="70">
        <v>4382.3999999999996</v>
      </c>
      <c r="E53" s="70">
        <v>4462.3001709808459</v>
      </c>
      <c r="F53" s="70">
        <v>4490.6645029194378</v>
      </c>
      <c r="G53" s="70">
        <v>4525.2277464010858</v>
      </c>
      <c r="H53" s="70">
        <v>4598.8774626319282</v>
      </c>
      <c r="I53" s="70">
        <v>4634.2563910913123</v>
      </c>
      <c r="J53">
        <v>4669.952644683166</v>
      </c>
      <c r="K53">
        <v>4705.9694415728409</v>
      </c>
      <c r="L53">
        <v>4771.218169055267</v>
      </c>
      <c r="M53">
        <v>0</v>
      </c>
    </row>
    <row r="54" spans="2:13">
      <c r="B54" t="s">
        <v>226</v>
      </c>
      <c r="C54" t="s">
        <v>227</v>
      </c>
      <c r="D54" s="70">
        <v>2272.8999999999996</v>
      </c>
      <c r="E54" s="70">
        <v>2293.7958047457068</v>
      </c>
      <c r="F54" s="70">
        <v>2315.8110704566711</v>
      </c>
      <c r="G54" s="70">
        <v>2338.8219962967346</v>
      </c>
      <c r="H54" s="70">
        <v>2363.8417070875812</v>
      </c>
      <c r="I54" s="70">
        <v>2388.7744200410452</v>
      </c>
      <c r="J54">
        <v>2413.5111197873293</v>
      </c>
      <c r="K54">
        <v>2438.7729663610216</v>
      </c>
      <c r="L54">
        <v>2462.1264328714788</v>
      </c>
      <c r="M54">
        <v>0</v>
      </c>
    </row>
    <row r="55" spans="2:13">
      <c r="B55" t="s">
        <v>228</v>
      </c>
      <c r="C55" t="s">
        <v>229</v>
      </c>
      <c r="D55" s="70">
        <v>457</v>
      </c>
      <c r="E55" s="70">
        <v>467.5306169996615</v>
      </c>
      <c r="F55" s="70">
        <v>478.30389022337891</v>
      </c>
      <c r="G55" s="70">
        <v>487.46045328834424</v>
      </c>
      <c r="H55" s="70">
        <v>496.7923079385892</v>
      </c>
      <c r="I55" s="70">
        <v>506.30280992448127</v>
      </c>
      <c r="J55">
        <v>515.99537923826529</v>
      </c>
      <c r="K55">
        <v>525.8735013438984</v>
      </c>
      <c r="L55">
        <v>535.94072843042852</v>
      </c>
      <c r="M55">
        <v>0</v>
      </c>
    </row>
    <row r="56" spans="2:13">
      <c r="B56" t="s">
        <v>230</v>
      </c>
      <c r="C56" s="56" t="s">
        <v>231</v>
      </c>
      <c r="D56" s="70">
        <v>164.9</v>
      </c>
      <c r="E56" s="70">
        <v>159.10523444875696</v>
      </c>
      <c r="F56" s="70">
        <v>159.45119060106998</v>
      </c>
      <c r="G56" s="70">
        <v>160.83501521032207</v>
      </c>
      <c r="H56" s="70">
        <v>161.51539564320433</v>
      </c>
      <c r="I56" s="70">
        <v>162.87615650896888</v>
      </c>
      <c r="J56">
        <v>164.4790866813525</v>
      </c>
      <c r="K56">
        <v>166.4625686212805</v>
      </c>
      <c r="L56">
        <v>166.29535648099585</v>
      </c>
      <c r="M56">
        <v>0</v>
      </c>
    </row>
    <row r="57" spans="2:13">
      <c r="B57" s="56" t="s">
        <v>1385</v>
      </c>
      <c r="C57" s="56" t="s">
        <v>1384</v>
      </c>
      <c r="D57" s="70">
        <v>2.5815300000000003</v>
      </c>
      <c r="E57" s="70">
        <v>2.6040450000000002</v>
      </c>
      <c r="F57" s="70">
        <v>2.626465</v>
      </c>
      <c r="G57" s="70">
        <v>2.6498349999999999</v>
      </c>
      <c r="H57" s="70">
        <v>2.6454420000000001</v>
      </c>
      <c r="I57" s="70">
        <v>2.6696</v>
      </c>
      <c r="J57">
        <v>2.693006</v>
      </c>
      <c r="K57">
        <v>2.7175400000000001</v>
      </c>
      <c r="L57">
        <v>2.7175400000000001</v>
      </c>
      <c r="M57">
        <v>0</v>
      </c>
    </row>
    <row r="58" spans="2:13">
      <c r="B58" s="56"/>
      <c r="C58" s="56"/>
      <c r="D58" s="70"/>
      <c r="E58" s="70"/>
      <c r="F58" s="70"/>
      <c r="G58" s="70"/>
      <c r="H58" s="70"/>
    </row>
    <row r="59" spans="2:13">
      <c r="B59" s="75" t="s">
        <v>1921</v>
      </c>
      <c r="C59" s="56"/>
    </row>
    <row r="60" spans="2:13">
      <c r="B60" s="56" t="s">
        <v>1710</v>
      </c>
      <c r="C60" s="56"/>
      <c r="D60" s="76">
        <v>3.3236788538757667E-2</v>
      </c>
      <c r="E60" s="76">
        <v>3.4261380221050394E-2</v>
      </c>
      <c r="F60" s="76">
        <v>2.8642963947836768E-2</v>
      </c>
      <c r="G60" s="76">
        <v>2.5024345405476264E-2</v>
      </c>
      <c r="H60" s="76">
        <v>2.2420730666689481E-2</v>
      </c>
      <c r="I60" s="71">
        <v>2.219418453989408E-2</v>
      </c>
      <c r="J60" s="71">
        <v>2.193798465649599E-2</v>
      </c>
      <c r="K60" s="71">
        <v>2.1537819131734581E-2</v>
      </c>
      <c r="L60">
        <v>2.1204271082456483E-2</v>
      </c>
      <c r="M60">
        <v>0</v>
      </c>
    </row>
    <row r="61" spans="2:13">
      <c r="B61" s="56" t="s">
        <v>1711</v>
      </c>
      <c r="C61" s="56"/>
      <c r="D61" s="76">
        <v>4.5585505578074503E-2</v>
      </c>
      <c r="E61" s="76">
        <v>3.8560753162319869E-2</v>
      </c>
      <c r="F61" s="76">
        <v>3.3323859858580822E-2</v>
      </c>
      <c r="G61" s="76">
        <v>3.1273165683778692E-2</v>
      </c>
      <c r="H61" s="76">
        <v>2.6045669819017236E-2</v>
      </c>
      <c r="I61" s="71">
        <v>2.219418453989408E-2</v>
      </c>
      <c r="J61" s="71">
        <v>2.193798465649599E-2</v>
      </c>
      <c r="K61" s="71">
        <v>2.1537819131734581E-2</v>
      </c>
      <c r="L61">
        <v>2.1204271082456483E-2</v>
      </c>
      <c r="M61">
        <v>0</v>
      </c>
    </row>
    <row r="62" spans="2:13">
      <c r="B62" s="56" t="s">
        <v>1712</v>
      </c>
      <c r="C62" s="56"/>
      <c r="D62" s="76">
        <v>3.8278674784178346E-2</v>
      </c>
      <c r="E62" s="76">
        <v>3.5528728595983203E-2</v>
      </c>
      <c r="F62" s="76">
        <v>3.230685484106393E-2</v>
      </c>
      <c r="G62" s="76">
        <v>2.8253398906930346E-2</v>
      </c>
      <c r="H62" s="76">
        <v>2.6714706322067405E-2</v>
      </c>
      <c r="I62" s="71">
        <v>0</v>
      </c>
      <c r="J62" s="71">
        <v>0</v>
      </c>
      <c r="K62" s="71">
        <v>0</v>
      </c>
      <c r="L62">
        <v>0</v>
      </c>
      <c r="M62">
        <v>0</v>
      </c>
    </row>
    <row r="63" spans="2:13">
      <c r="B63" s="56" t="s">
        <v>1713</v>
      </c>
      <c r="C63" s="56"/>
      <c r="D63" s="76">
        <v>4.207521485108856E-2</v>
      </c>
      <c r="E63" s="76">
        <v>3.5528728595983203E-2</v>
      </c>
      <c r="F63" s="76">
        <v>3.230685484106393E-2</v>
      </c>
      <c r="G63" s="76">
        <v>2.8253398906930346E-2</v>
      </c>
      <c r="H63" s="76">
        <v>2.6714706322067405E-2</v>
      </c>
      <c r="I63" s="71">
        <v>2.5611732233809859E-2</v>
      </c>
      <c r="J63" s="71">
        <v>2.5262944090287176E-2</v>
      </c>
      <c r="K63" s="71">
        <v>2.4650693380256383E-2</v>
      </c>
      <c r="L63">
        <v>2.1912725275913258E-2</v>
      </c>
      <c r="M63">
        <v>0</v>
      </c>
    </row>
    <row r="64" spans="2:13">
      <c r="B64" s="56" t="s">
        <v>1714</v>
      </c>
      <c r="C64" s="56"/>
      <c r="D64" s="76">
        <v>2.2650991179657964E-2</v>
      </c>
      <c r="E64" s="76">
        <v>3.5528728595983203E-2</v>
      </c>
      <c r="F64" s="76">
        <v>3.230685484106393E-2</v>
      </c>
      <c r="G64" s="76">
        <v>2.8253398906930346E-2</v>
      </c>
      <c r="H64" s="76">
        <v>2.6714706322067405E-2</v>
      </c>
      <c r="I64" s="71">
        <v>2.6527569872117907E-2</v>
      </c>
      <c r="J64" s="71">
        <v>2.658836036739487E-2</v>
      </c>
      <c r="K64" s="71">
        <v>2.6600581141736246E-2</v>
      </c>
      <c r="L64">
        <v>2.7602952027603544E-2</v>
      </c>
      <c r="M64">
        <v>0</v>
      </c>
    </row>
    <row r="65" spans="2:13">
      <c r="D65" s="74"/>
      <c r="E65" s="74"/>
      <c r="F65" s="74"/>
      <c r="G65" s="74"/>
      <c r="H65" s="74"/>
    </row>
    <row r="66" spans="2:13">
      <c r="B66" s="1274" t="s">
        <v>232</v>
      </c>
      <c r="C66" s="1274"/>
      <c r="D66" s="1274"/>
      <c r="E66" s="1274"/>
      <c r="F66" s="1274"/>
      <c r="G66" s="1274"/>
      <c r="H66" s="1274"/>
      <c r="I66" s="1274"/>
      <c r="J66" s="1274"/>
      <c r="K66" s="1274"/>
      <c r="L66" s="1274"/>
      <c r="M66" s="1274"/>
    </row>
    <row r="67" spans="2:13">
      <c r="B67" t="s">
        <v>178</v>
      </c>
      <c r="C67" t="s">
        <v>179</v>
      </c>
      <c r="D67" t="s">
        <v>190</v>
      </c>
      <c r="E67" t="s">
        <v>191</v>
      </c>
      <c r="F67" t="s">
        <v>175</v>
      </c>
      <c r="G67" t="s">
        <v>176</v>
      </c>
      <c r="H67" t="s">
        <v>177</v>
      </c>
      <c r="I67" t="s">
        <v>765</v>
      </c>
      <c r="J67" t="s">
        <v>766</v>
      </c>
      <c r="K67" t="s">
        <v>767</v>
      </c>
      <c r="L67" t="s">
        <v>1157</v>
      </c>
      <c r="M67" t="s">
        <v>1158</v>
      </c>
    </row>
    <row r="68" spans="2:13">
      <c r="B68" s="56" t="s">
        <v>192</v>
      </c>
      <c r="C68" s="56" t="s">
        <v>193</v>
      </c>
      <c r="D68" s="70">
        <f t="shared" ref="D68:H68" si="0">D4-D36</f>
        <v>0</v>
      </c>
      <c r="E68" s="70">
        <f t="shared" si="0"/>
        <v>0</v>
      </c>
      <c r="F68" s="70">
        <f t="shared" si="0"/>
        <v>0</v>
      </c>
      <c r="G68" s="70">
        <f t="shared" si="0"/>
        <v>0</v>
      </c>
      <c r="H68" s="70">
        <f t="shared" si="0"/>
        <v>0</v>
      </c>
      <c r="I68" s="70">
        <f t="shared" ref="I68:M68" si="1">I4-I36</f>
        <v>0</v>
      </c>
      <c r="J68" s="70">
        <f t="shared" si="1"/>
        <v>0</v>
      </c>
      <c r="K68" s="70">
        <f t="shared" si="1"/>
        <v>0</v>
      </c>
      <c r="L68" s="70">
        <f t="shared" si="1"/>
        <v>0</v>
      </c>
      <c r="M68" s="70">
        <f t="shared" si="1"/>
        <v>0</v>
      </c>
    </row>
    <row r="69" spans="2:13">
      <c r="B69" s="56" t="s">
        <v>134</v>
      </c>
      <c r="C69" s="56" t="s">
        <v>194</v>
      </c>
      <c r="D69" s="70">
        <f t="shared" ref="D69:H69" si="2">D5-D37</f>
        <v>0</v>
      </c>
      <c r="E69" s="70">
        <f t="shared" si="2"/>
        <v>0</v>
      </c>
      <c r="F69" s="70">
        <f t="shared" si="2"/>
        <v>0</v>
      </c>
      <c r="G69" s="70">
        <f t="shared" si="2"/>
        <v>0</v>
      </c>
      <c r="H69" s="70">
        <f t="shared" si="2"/>
        <v>0</v>
      </c>
      <c r="I69" s="70">
        <f t="shared" ref="I69:M69" si="3">I5-I37</f>
        <v>0</v>
      </c>
      <c r="J69" s="70">
        <f t="shared" si="3"/>
        <v>0</v>
      </c>
      <c r="K69" s="70">
        <f t="shared" si="3"/>
        <v>0</v>
      </c>
      <c r="L69" s="70">
        <f t="shared" si="3"/>
        <v>0</v>
      </c>
      <c r="M69" s="70">
        <f t="shared" si="3"/>
        <v>0</v>
      </c>
    </row>
    <row r="70" spans="2:13">
      <c r="B70" s="56" t="s">
        <v>195</v>
      </c>
      <c r="C70" s="56" t="s">
        <v>196</v>
      </c>
      <c r="D70" s="70">
        <f t="shared" ref="D70:H70" si="4">D6-D38</f>
        <v>0.20000000000004547</v>
      </c>
      <c r="E70" s="70">
        <f>E6-E38</f>
        <v>-22.944889265265601</v>
      </c>
      <c r="F70" s="70">
        <f t="shared" si="4"/>
        <v>-39.768461602744765</v>
      </c>
      <c r="G70" s="70">
        <f t="shared" si="4"/>
        <v>-35.805743279983972</v>
      </c>
      <c r="H70" s="70">
        <f t="shared" si="4"/>
        <v>-25.588622483199742</v>
      </c>
      <c r="I70" s="70">
        <f t="shared" ref="I70:M70" si="5">I6-I38</f>
        <v>-15.139605312341928</v>
      </c>
      <c r="J70" s="70">
        <f t="shared" si="5"/>
        <v>-4.9356762432703363</v>
      </c>
      <c r="K70" s="70">
        <f t="shared" si="5"/>
        <v>-5.4394305366627123</v>
      </c>
      <c r="L70" s="70">
        <f t="shared" si="5"/>
        <v>-7.3736593357755282</v>
      </c>
      <c r="M70" s="70">
        <f t="shared" si="5"/>
        <v>0</v>
      </c>
    </row>
    <row r="71" spans="2:13">
      <c r="B71" s="56" t="s">
        <v>197</v>
      </c>
      <c r="C71" s="56" t="s">
        <v>198</v>
      </c>
      <c r="D71" s="70">
        <f t="shared" ref="D71:H71" si="6">D7-D39</f>
        <v>3.4000000000000909</v>
      </c>
      <c r="E71" s="70">
        <f t="shared" si="6"/>
        <v>12.627376487517722</v>
      </c>
      <c r="F71" s="70">
        <f t="shared" si="6"/>
        <v>12.760581726457076</v>
      </c>
      <c r="G71" s="70">
        <f t="shared" si="6"/>
        <v>11.962718668303296</v>
      </c>
      <c r="H71" s="70">
        <f t="shared" si="6"/>
        <v>10.359207459056051</v>
      </c>
      <c r="I71" s="70">
        <f t="shared" ref="I71:M71" si="7">I7-I39</f>
        <v>8.4121659866905247</v>
      </c>
      <c r="J71" s="70">
        <f t="shared" si="7"/>
        <v>4.6136330502831697</v>
      </c>
      <c r="K71" s="70">
        <f t="shared" si="7"/>
        <v>0.90502000925016546</v>
      </c>
      <c r="L71" s="70">
        <f t="shared" si="7"/>
        <v>-3.2680651658547504</v>
      </c>
      <c r="M71" s="70">
        <f t="shared" si="7"/>
        <v>0</v>
      </c>
    </row>
    <row r="72" spans="2:13">
      <c r="B72" s="56" t="s">
        <v>199</v>
      </c>
      <c r="C72" s="56" t="s">
        <v>200</v>
      </c>
      <c r="D72" s="70">
        <f t="shared" ref="D72:H72" si="8">D8-D40</f>
        <v>0</v>
      </c>
      <c r="E72" s="70">
        <f t="shared" si="8"/>
        <v>0</v>
      </c>
      <c r="F72" s="70">
        <f t="shared" si="8"/>
        <v>0</v>
      </c>
      <c r="G72" s="70">
        <f t="shared" si="8"/>
        <v>0</v>
      </c>
      <c r="H72" s="70">
        <f t="shared" si="8"/>
        <v>0</v>
      </c>
      <c r="I72" s="70">
        <f t="shared" ref="I72:M72" si="9">I8-I40</f>
        <v>0</v>
      </c>
      <c r="J72" s="70">
        <f t="shared" si="9"/>
        <v>0</v>
      </c>
      <c r="K72" s="70">
        <f t="shared" si="9"/>
        <v>0</v>
      </c>
      <c r="L72" s="70">
        <f t="shared" si="9"/>
        <v>0</v>
      </c>
      <c r="M72" s="70">
        <f t="shared" si="9"/>
        <v>0</v>
      </c>
    </row>
    <row r="73" spans="2:13">
      <c r="B73" s="56" t="s">
        <v>201</v>
      </c>
      <c r="C73" s="56" t="s">
        <v>202</v>
      </c>
      <c r="D73" s="70">
        <f t="shared" ref="D73:H73" si="10">D9-D41</f>
        <v>0</v>
      </c>
      <c r="E73" s="70">
        <f t="shared" si="10"/>
        <v>0</v>
      </c>
      <c r="F73" s="70">
        <f t="shared" si="10"/>
        <v>0</v>
      </c>
      <c r="G73" s="70">
        <f t="shared" si="10"/>
        <v>0</v>
      </c>
      <c r="H73" s="70">
        <f t="shared" si="10"/>
        <v>0</v>
      </c>
      <c r="I73" s="70">
        <f t="shared" ref="I73:M73" si="11">I9-I41</f>
        <v>0</v>
      </c>
      <c r="J73" s="70">
        <f t="shared" si="11"/>
        <v>0</v>
      </c>
      <c r="K73" s="70">
        <f t="shared" si="11"/>
        <v>0</v>
      </c>
      <c r="L73" s="70">
        <f t="shared" si="11"/>
        <v>0</v>
      </c>
      <c r="M73" s="70">
        <f t="shared" si="11"/>
        <v>0</v>
      </c>
    </row>
    <row r="74" spans="2:13">
      <c r="B74" s="56" t="s">
        <v>203</v>
      </c>
      <c r="C74" s="56" t="s">
        <v>204</v>
      </c>
      <c r="D74" s="70">
        <f t="shared" ref="D74:H74" si="12">D10-D42</f>
        <v>0</v>
      </c>
      <c r="E74" s="70">
        <f t="shared" si="12"/>
        <v>0</v>
      </c>
      <c r="F74" s="70">
        <f t="shared" si="12"/>
        <v>0</v>
      </c>
      <c r="G74" s="70">
        <f t="shared" si="12"/>
        <v>0</v>
      </c>
      <c r="H74" s="70">
        <f t="shared" si="12"/>
        <v>0</v>
      </c>
      <c r="I74" s="70">
        <f t="shared" ref="I74:M74" si="13">I10-I42</f>
        <v>0</v>
      </c>
      <c r="J74" s="70">
        <f t="shared" si="13"/>
        <v>0</v>
      </c>
      <c r="K74" s="70">
        <f t="shared" si="13"/>
        <v>0</v>
      </c>
      <c r="L74" s="70">
        <f t="shared" si="13"/>
        <v>0</v>
      </c>
      <c r="M74" s="70">
        <f t="shared" si="13"/>
        <v>0</v>
      </c>
    </row>
    <row r="75" spans="2:13">
      <c r="B75" s="56" t="s">
        <v>205</v>
      </c>
      <c r="C75" s="56" t="s">
        <v>206</v>
      </c>
      <c r="D75" s="70">
        <f t="shared" ref="D75:H75" si="14">D11-D43</f>
        <v>0</v>
      </c>
      <c r="E75" s="70">
        <f t="shared" si="14"/>
        <v>0</v>
      </c>
      <c r="F75" s="70">
        <f t="shared" si="14"/>
        <v>0</v>
      </c>
      <c r="G75" s="70">
        <f t="shared" si="14"/>
        <v>0</v>
      </c>
      <c r="H75" s="70">
        <f t="shared" si="14"/>
        <v>0</v>
      </c>
      <c r="I75" s="70">
        <f t="shared" ref="I75:M75" si="15">I11-I43</f>
        <v>0</v>
      </c>
      <c r="J75" s="70">
        <f t="shared" si="15"/>
        <v>0</v>
      </c>
      <c r="K75" s="70">
        <f t="shared" si="15"/>
        <v>0</v>
      </c>
      <c r="L75" s="70">
        <f t="shared" si="15"/>
        <v>0</v>
      </c>
      <c r="M75" s="70">
        <f t="shared" si="15"/>
        <v>0</v>
      </c>
    </row>
    <row r="76" spans="2:13">
      <c r="B76" s="56" t="s">
        <v>207</v>
      </c>
      <c r="C76" s="56" t="s">
        <v>208</v>
      </c>
      <c r="D76" s="70">
        <f t="shared" ref="D76:H76" si="16">D12-D44</f>
        <v>0</v>
      </c>
      <c r="E76" s="70">
        <f t="shared" si="16"/>
        <v>-6.4666012602707497</v>
      </c>
      <c r="F76" s="70">
        <f t="shared" si="16"/>
        <v>-3.2994508311442132</v>
      </c>
      <c r="G76" s="70">
        <f t="shared" si="16"/>
        <v>-5.4962717307685125</v>
      </c>
      <c r="H76" s="70">
        <f t="shared" si="16"/>
        <v>-7.7165548611250188</v>
      </c>
      <c r="I76" s="70">
        <f t="shared" ref="I76:M76" si="17">I12-I44</f>
        <v>-9.9604950038398101</v>
      </c>
      <c r="J76" s="70">
        <f t="shared" si="17"/>
        <v>-12.228288422744299</v>
      </c>
      <c r="K76" s="70">
        <f t="shared" si="17"/>
        <v>-17.76082279046534</v>
      </c>
      <c r="L76" s="70">
        <f t="shared" si="17"/>
        <v>-23.402106021105396</v>
      </c>
      <c r="M76" s="70">
        <f t="shared" si="17"/>
        <v>0</v>
      </c>
    </row>
    <row r="77" spans="2:13">
      <c r="B77" s="56" t="s">
        <v>209</v>
      </c>
      <c r="C77" s="56" t="s">
        <v>210</v>
      </c>
      <c r="D77" s="70">
        <f>D13-D45</f>
        <v>-5.3999999999999773</v>
      </c>
      <c r="E77" s="70">
        <f t="shared" ref="E77:H77" si="18">E13-E45</f>
        <v>-15.290785048724842</v>
      </c>
      <c r="F77" s="70">
        <f t="shared" si="18"/>
        <v>-10.56602526616382</v>
      </c>
      <c r="G77" s="70">
        <f t="shared" si="18"/>
        <v>-13.888708360293549</v>
      </c>
      <c r="H77" s="70">
        <f t="shared" si="18"/>
        <v>-17.246734063928102</v>
      </c>
      <c r="I77" s="70">
        <f t="shared" ref="I77:M77" si="19">I13-I45</f>
        <v>-20.640395440827433</v>
      </c>
      <c r="J77" s="70">
        <f t="shared" si="19"/>
        <v>-24.069987783759302</v>
      </c>
      <c r="K77" s="70">
        <f t="shared" si="19"/>
        <v>-32.419172006314398</v>
      </c>
      <c r="L77" s="70">
        <f t="shared" si="19"/>
        <v>-40.932013996501041</v>
      </c>
      <c r="M77" s="70">
        <f t="shared" si="19"/>
        <v>0</v>
      </c>
    </row>
    <row r="78" spans="2:13">
      <c r="B78" s="56" t="s">
        <v>55</v>
      </c>
      <c r="C78" s="56" t="s">
        <v>211</v>
      </c>
      <c r="D78" s="70">
        <f t="shared" ref="D78:H78" si="20">D14-D46</f>
        <v>0</v>
      </c>
      <c r="E78" s="70">
        <f t="shared" si="20"/>
        <v>0.8911513778355129</v>
      </c>
      <c r="F78" s="70">
        <f t="shared" si="20"/>
        <v>1.8170412400487521</v>
      </c>
      <c r="G78" s="70">
        <f t="shared" si="20"/>
        <v>-0.63214606642077342</v>
      </c>
      <c r="H78" s="70">
        <f t="shared" si="20"/>
        <v>-3.1498479745105215</v>
      </c>
      <c r="I78" s="70">
        <f t="shared" ref="I78:M78" si="21">I14-I46</f>
        <v>-5.737500866370965</v>
      </c>
      <c r="J78" s="70">
        <f t="shared" si="21"/>
        <v>-8.3965679391694721</v>
      </c>
      <c r="K78" s="70">
        <f t="shared" si="21"/>
        <v>-7.6479469131973019</v>
      </c>
      <c r="L78" s="70">
        <f t="shared" si="21"/>
        <v>-6.8744143170449661</v>
      </c>
      <c r="M78" s="70">
        <f t="shared" si="21"/>
        <v>0</v>
      </c>
    </row>
    <row r="79" spans="2:13">
      <c r="B79" s="56" t="s">
        <v>212</v>
      </c>
      <c r="C79" s="56" t="s">
        <v>213</v>
      </c>
      <c r="D79" s="70">
        <f t="shared" ref="D79:H79" si="22">D15-D47</f>
        <v>0</v>
      </c>
      <c r="E79" s="70">
        <f t="shared" si="22"/>
        <v>0</v>
      </c>
      <c r="F79" s="70">
        <f t="shared" si="22"/>
        <v>0</v>
      </c>
      <c r="G79" s="70">
        <f t="shared" si="22"/>
        <v>0</v>
      </c>
      <c r="H79" s="70">
        <f t="shared" si="22"/>
        <v>0</v>
      </c>
      <c r="I79" s="70">
        <f t="shared" ref="I79:M79" si="23">I15-I47</f>
        <v>0</v>
      </c>
      <c r="J79" s="70">
        <f t="shared" si="23"/>
        <v>0</v>
      </c>
      <c r="K79" s="70">
        <f t="shared" si="23"/>
        <v>0</v>
      </c>
      <c r="L79" s="70">
        <f t="shared" si="23"/>
        <v>0</v>
      </c>
      <c r="M79" s="70">
        <f t="shared" si="23"/>
        <v>0</v>
      </c>
    </row>
    <row r="80" spans="2:13">
      <c r="B80" s="56" t="s">
        <v>214</v>
      </c>
      <c r="C80" s="56" t="s">
        <v>215</v>
      </c>
      <c r="D80" s="70">
        <f t="shared" ref="D80:H80" si="24">D16-D48</f>
        <v>0</v>
      </c>
      <c r="E80" s="70">
        <f t="shared" si="24"/>
        <v>0</v>
      </c>
      <c r="F80" s="70">
        <f t="shared" si="24"/>
        <v>0</v>
      </c>
      <c r="G80" s="70">
        <f t="shared" si="24"/>
        <v>0</v>
      </c>
      <c r="H80" s="70">
        <f t="shared" si="24"/>
        <v>0</v>
      </c>
      <c r="I80" s="70">
        <f t="shared" ref="I80:M80" si="25">I16-I48</f>
        <v>0</v>
      </c>
      <c r="J80" s="70">
        <f t="shared" si="25"/>
        <v>0</v>
      </c>
      <c r="K80" s="70">
        <f t="shared" si="25"/>
        <v>0</v>
      </c>
      <c r="L80" s="70">
        <f t="shared" si="25"/>
        <v>0</v>
      </c>
      <c r="M80" s="70">
        <f t="shared" si="25"/>
        <v>0</v>
      </c>
    </row>
    <row r="81" spans="2:16">
      <c r="B81" s="56" t="s">
        <v>216</v>
      </c>
      <c r="C81" s="56" t="s">
        <v>217</v>
      </c>
      <c r="D81" s="70">
        <f t="shared" ref="D81:H81" si="26">D17-D49</f>
        <v>0</v>
      </c>
      <c r="E81" s="70">
        <f t="shared" si="26"/>
        <v>0</v>
      </c>
      <c r="F81" s="70">
        <f t="shared" si="26"/>
        <v>0</v>
      </c>
      <c r="G81" s="70">
        <f t="shared" si="26"/>
        <v>0</v>
      </c>
      <c r="H81" s="70">
        <f t="shared" si="26"/>
        <v>0</v>
      </c>
      <c r="I81" s="70">
        <f t="shared" ref="I81:M81" si="27">I17-I49</f>
        <v>0</v>
      </c>
      <c r="J81" s="70">
        <f t="shared" si="27"/>
        <v>0</v>
      </c>
      <c r="K81" s="70">
        <f t="shared" si="27"/>
        <v>0</v>
      </c>
      <c r="L81" s="70">
        <f t="shared" si="27"/>
        <v>0</v>
      </c>
      <c r="M81" s="70">
        <f t="shared" si="27"/>
        <v>0</v>
      </c>
    </row>
    <row r="82" spans="2:16">
      <c r="B82" s="56" t="s">
        <v>822</v>
      </c>
      <c r="C82" s="56" t="s">
        <v>219</v>
      </c>
      <c r="D82" s="70">
        <f t="shared" ref="D82:H82" si="28">D18-D50</f>
        <v>0</v>
      </c>
      <c r="E82" s="70">
        <f t="shared" si="28"/>
        <v>0</v>
      </c>
      <c r="F82" s="70">
        <f t="shared" si="28"/>
        <v>0</v>
      </c>
      <c r="G82" s="70">
        <f t="shared" si="28"/>
        <v>0</v>
      </c>
      <c r="H82" s="70">
        <f t="shared" si="28"/>
        <v>0</v>
      </c>
      <c r="I82" s="70">
        <f t="shared" ref="I82:M82" si="29">I18-I50</f>
        <v>0</v>
      </c>
      <c r="J82" s="70">
        <f t="shared" si="29"/>
        <v>0</v>
      </c>
      <c r="K82" s="70">
        <f t="shared" si="29"/>
        <v>0</v>
      </c>
      <c r="L82" s="70">
        <f t="shared" si="29"/>
        <v>0</v>
      </c>
      <c r="M82" s="70">
        <f t="shared" si="29"/>
        <v>0</v>
      </c>
    </row>
    <row r="83" spans="2:16">
      <c r="B83" s="56" t="s">
        <v>220</v>
      </c>
      <c r="C83" s="56" t="s">
        <v>221</v>
      </c>
      <c r="D83" s="70">
        <f t="shared" ref="D83:H83" si="30">D19-D51</f>
        <v>-1</v>
      </c>
      <c r="E83" s="70">
        <f t="shared" si="30"/>
        <v>-1</v>
      </c>
      <c r="F83" s="70">
        <f t="shared" si="30"/>
        <v>-1</v>
      </c>
      <c r="G83" s="70">
        <f t="shared" si="30"/>
        <v>-1</v>
      </c>
      <c r="H83" s="70">
        <f t="shared" si="30"/>
        <v>-1.0114586229997258</v>
      </c>
      <c r="I83" s="70">
        <f t="shared" ref="I83:M83" si="31">I19-I51</f>
        <v>-1.0114586229997258</v>
      </c>
      <c r="J83" s="70">
        <f t="shared" si="31"/>
        <v>-1.0114586229997258</v>
      </c>
      <c r="K83" s="70">
        <f t="shared" si="31"/>
        <v>-1.0114586229997258</v>
      </c>
      <c r="L83" s="70">
        <f t="shared" si="31"/>
        <v>-1.0231807943291642</v>
      </c>
      <c r="M83" s="70">
        <f t="shared" si="31"/>
        <v>0</v>
      </c>
    </row>
    <row r="84" spans="2:16">
      <c r="B84" s="56" t="s">
        <v>222</v>
      </c>
      <c r="C84" s="56" t="s">
        <v>223</v>
      </c>
      <c r="D84" s="70">
        <f t="shared" ref="D84:H84" si="32">D20-D52</f>
        <v>0</v>
      </c>
      <c r="E84" s="70">
        <f t="shared" si="32"/>
        <v>0</v>
      </c>
      <c r="F84" s="70">
        <f t="shared" si="32"/>
        <v>0</v>
      </c>
      <c r="G84" s="70">
        <f t="shared" si="32"/>
        <v>0</v>
      </c>
      <c r="H84" s="70">
        <f t="shared" si="32"/>
        <v>0</v>
      </c>
      <c r="I84" s="70">
        <f t="shared" ref="I84:M84" si="33">I20-I52</f>
        <v>0</v>
      </c>
      <c r="J84" s="70">
        <f t="shared" si="33"/>
        <v>0</v>
      </c>
      <c r="K84" s="70">
        <f t="shared" si="33"/>
        <v>0</v>
      </c>
      <c r="L84" s="70">
        <f t="shared" si="33"/>
        <v>0</v>
      </c>
      <c r="M84" s="70">
        <f t="shared" si="33"/>
        <v>0</v>
      </c>
    </row>
    <row r="85" spans="2:16">
      <c r="B85" s="56" t="s">
        <v>224</v>
      </c>
      <c r="C85" s="56" t="s">
        <v>225</v>
      </c>
      <c r="D85" s="70">
        <f>D21-D53</f>
        <v>-0.8999999999996362</v>
      </c>
      <c r="E85" s="70">
        <f t="shared" ref="E85:H85" si="34">E21-E53</f>
        <v>2.6881498535631181</v>
      </c>
      <c r="F85" s="70">
        <f t="shared" si="34"/>
        <v>6.3459428372962066</v>
      </c>
      <c r="G85" s="70">
        <f t="shared" si="34"/>
        <v>2.814950577532727</v>
      </c>
      <c r="H85" s="70">
        <f t="shared" si="34"/>
        <v>2.5787302419785192</v>
      </c>
      <c r="I85" s="70">
        <f t="shared" ref="I85:M85" si="35">I21-I53</f>
        <v>-1.0749009109813414</v>
      </c>
      <c r="J85" s="70">
        <f t="shared" si="35"/>
        <v>-4.7996618105280504</v>
      </c>
      <c r="K85" s="70">
        <f t="shared" si="35"/>
        <v>-8.5966008026189229</v>
      </c>
      <c r="L85" s="70">
        <f t="shared" si="35"/>
        <v>8.900251964931158</v>
      </c>
      <c r="M85" s="70">
        <f t="shared" si="35"/>
        <v>0</v>
      </c>
      <c r="N85" s="73"/>
      <c r="O85" s="73"/>
      <c r="P85" s="73"/>
    </row>
    <row r="86" spans="2:16">
      <c r="B86" s="56" t="s">
        <v>226</v>
      </c>
      <c r="C86" s="56" t="s">
        <v>227</v>
      </c>
      <c r="D86" s="70">
        <f>D22-D54</f>
        <v>23.800000000000182</v>
      </c>
      <c r="E86" s="70">
        <f t="shared" ref="E86:H86" si="36">E22-E54</f>
        <v>21.42777767245525</v>
      </c>
      <c r="F86" s="70">
        <f t="shared" si="36"/>
        <v>31.256684491616397</v>
      </c>
      <c r="G86" s="70">
        <f t="shared" si="36"/>
        <v>32.088288942714371</v>
      </c>
      <c r="H86" s="70">
        <f t="shared" si="36"/>
        <v>31.646687054371341</v>
      </c>
      <c r="I86" s="70">
        <f t="shared" ref="I86:M86" si="37">I22-I54</f>
        <v>31.231404529357405</v>
      </c>
      <c r="J86" s="70">
        <f t="shared" si="37"/>
        <v>30.053143722257118</v>
      </c>
      <c r="K86" s="70">
        <f t="shared" si="37"/>
        <v>28.037698932845615</v>
      </c>
      <c r="L86" s="70">
        <f t="shared" si="37"/>
        <v>25.47651510335163</v>
      </c>
      <c r="M86" s="70">
        <f t="shared" si="37"/>
        <v>0</v>
      </c>
    </row>
    <row r="87" spans="2:16">
      <c r="B87" s="56" t="s">
        <v>228</v>
      </c>
      <c r="C87" s="56" t="s">
        <v>229</v>
      </c>
      <c r="D87" s="70">
        <f t="shared" ref="D87:H87" si="38">D23-D55</f>
        <v>-3.1999999999999886</v>
      </c>
      <c r="E87" s="70">
        <f t="shared" si="38"/>
        <v>-2.5559002444571206</v>
      </c>
      <c r="F87" s="70">
        <f t="shared" si="38"/>
        <v>-1.879281978375559</v>
      </c>
      <c r="G87" s="70">
        <f t="shared" si="38"/>
        <v>-1.4679921322376117</v>
      </c>
      <c r="H87" s="70">
        <f t="shared" si="38"/>
        <v>-1.0398463463685061</v>
      </c>
      <c r="I87" s="70">
        <f t="shared" ref="I87:M87" si="39">I23-I55</f>
        <v>-0.59434154599375688</v>
      </c>
      <c r="J87" s="70">
        <f t="shared" si="39"/>
        <v>-0.13096140290917901</v>
      </c>
      <c r="K87" s="70">
        <f t="shared" si="39"/>
        <v>0.3508239909930353</v>
      </c>
      <c r="L87" s="70">
        <f t="shared" si="39"/>
        <v>0.85155845790893636</v>
      </c>
      <c r="M87" s="70">
        <f t="shared" si="39"/>
        <v>0</v>
      </c>
    </row>
    <row r="88" spans="2:16">
      <c r="B88" s="56" t="s">
        <v>230</v>
      </c>
      <c r="C88" s="56" t="s">
        <v>231</v>
      </c>
      <c r="D88" s="70">
        <f t="shared" ref="D88:H88" si="40">D24-D56</f>
        <v>4.1999999999999886</v>
      </c>
      <c r="E88" s="70">
        <f t="shared" si="40"/>
        <v>13.684263236103391</v>
      </c>
      <c r="F88" s="70">
        <f t="shared" si="40"/>
        <v>16.037216161943888</v>
      </c>
      <c r="G88" s="70">
        <f t="shared" si="40"/>
        <v>15.976153584402169</v>
      </c>
      <c r="H88" s="70">
        <f t="shared" si="40"/>
        <v>16.915118598412022</v>
      </c>
      <c r="I88" s="70">
        <f t="shared" ref="I88:M88" si="41">I24-I56</f>
        <v>17.167771511235941</v>
      </c>
      <c r="J88" s="70">
        <f t="shared" si="41"/>
        <v>16.591019955381</v>
      </c>
      <c r="K88" s="70">
        <f t="shared" si="41"/>
        <v>14.696513040007517</v>
      </c>
      <c r="L88" s="70">
        <f t="shared" si="41"/>
        <v>14.068881627605208</v>
      </c>
      <c r="M88" s="70">
        <f t="shared" si="41"/>
        <v>0</v>
      </c>
    </row>
    <row r="89" spans="2:16">
      <c r="B89" s="56" t="s">
        <v>1385</v>
      </c>
      <c r="C89" s="56" t="s">
        <v>1384</v>
      </c>
      <c r="D89" s="70">
        <f t="shared" ref="D89:H89" si="42">D25-D57</f>
        <v>0</v>
      </c>
      <c r="E89" s="70">
        <f t="shared" si="42"/>
        <v>0</v>
      </c>
      <c r="F89" s="70">
        <f t="shared" si="42"/>
        <v>0</v>
      </c>
      <c r="G89" s="70">
        <f t="shared" si="42"/>
        <v>0</v>
      </c>
      <c r="H89" s="70">
        <f t="shared" si="42"/>
        <v>0</v>
      </c>
      <c r="I89" s="70">
        <f t="shared" ref="I89:M89" si="43">I25-I57</f>
        <v>0</v>
      </c>
      <c r="J89" s="70">
        <f t="shared" si="43"/>
        <v>0</v>
      </c>
      <c r="K89" s="70">
        <f t="shared" si="43"/>
        <v>0</v>
      </c>
      <c r="L89" s="70">
        <f t="shared" si="43"/>
        <v>0</v>
      </c>
      <c r="M89" s="70">
        <f t="shared" si="43"/>
        <v>0</v>
      </c>
    </row>
    <row r="90" spans="2:16">
      <c r="B90" s="56"/>
      <c r="C90" s="56"/>
      <c r="D90" s="70"/>
      <c r="E90" s="70"/>
      <c r="F90" s="70"/>
      <c r="G90" s="70"/>
      <c r="H90" s="70"/>
      <c r="I90" s="70"/>
      <c r="J90" s="70"/>
      <c r="K90" s="70"/>
      <c r="L90" s="70"/>
      <c r="M90" s="70"/>
    </row>
    <row r="91" spans="2:16">
      <c r="B91" s="75" t="s">
        <v>1921</v>
      </c>
      <c r="C91" s="56"/>
      <c r="D91" s="70"/>
      <c r="E91" s="70"/>
      <c r="F91" s="70"/>
      <c r="G91" s="70"/>
      <c r="H91" s="70"/>
      <c r="I91" s="70"/>
      <c r="J91" s="70"/>
      <c r="K91" s="70"/>
      <c r="L91" s="70"/>
      <c r="M91" s="70"/>
    </row>
    <row r="92" spans="2:16">
      <c r="B92" s="56" t="s">
        <v>1710</v>
      </c>
      <c r="C92" s="56" t="s">
        <v>1922</v>
      </c>
      <c r="D92" s="72">
        <f>D28-D60</f>
        <v>8.1097143288566542E-4</v>
      </c>
      <c r="E92" s="72">
        <f t="shared" ref="E92:I92" si="44">E28-E60</f>
        <v>-1.0026630293272144E-2</v>
      </c>
      <c r="F92" s="72">
        <f t="shared" si="44"/>
        <v>-6.1683184756915962E-3</v>
      </c>
      <c r="G92" s="72">
        <f t="shared" si="44"/>
        <v>-4.5385091074837645E-3</v>
      </c>
      <c r="H92" s="72">
        <f t="shared" si="44"/>
        <v>-6.2469702076684008E-4</v>
      </c>
      <c r="I92" s="72">
        <f t="shared" si="44"/>
        <v>-6.1743654488943811E-4</v>
      </c>
      <c r="J92" s="72">
        <f t="shared" ref="J92:K92" si="45">J28-J60</f>
        <v>-1.2292238734445959E-3</v>
      </c>
      <c r="K92" s="72">
        <f t="shared" si="45"/>
        <v>-1.4270048493221221E-3</v>
      </c>
      <c r="L92" s="72">
        <f t="shared" ref="L92:M92" si="46">L28-L60</f>
        <v>-1.443722019107474E-3</v>
      </c>
      <c r="M92" s="72">
        <f t="shared" si="46"/>
        <v>0</v>
      </c>
    </row>
    <row r="93" spans="2:16">
      <c r="B93" s="56" t="s">
        <v>1711</v>
      </c>
      <c r="C93" s="56"/>
      <c r="D93" s="72">
        <f t="shared" ref="D93:I96" si="47">D29-D61</f>
        <v>-4.2907634190225696E-3</v>
      </c>
      <c r="E93" s="72">
        <f t="shared" si="47"/>
        <v>-1.3066900774701996E-2</v>
      </c>
      <c r="F93" s="72">
        <f t="shared" si="47"/>
        <v>-5.8179881647831208E-3</v>
      </c>
      <c r="G93" s="72">
        <f t="shared" si="47"/>
        <v>-5.834442595045064E-3</v>
      </c>
      <c r="H93" s="72">
        <f t="shared" si="47"/>
        <v>-1.6685059061427587E-3</v>
      </c>
      <c r="I93" s="72">
        <f t="shared" si="47"/>
        <v>-6.1743654488943811E-4</v>
      </c>
      <c r="J93" s="72">
        <f t="shared" ref="J93:K93" si="48">J29-J61</f>
        <v>-1.2292238734445959E-3</v>
      </c>
      <c r="K93" s="72">
        <f t="shared" si="48"/>
        <v>-1.4270048493221221E-3</v>
      </c>
      <c r="L93" s="72">
        <f t="shared" ref="L93:M93" si="49">L29-L61</f>
        <v>-1.443722019107474E-3</v>
      </c>
      <c r="M93" s="72">
        <f t="shared" si="49"/>
        <v>0</v>
      </c>
    </row>
    <row r="94" spans="2:16">
      <c r="B94" s="56" t="s">
        <v>1712</v>
      </c>
      <c r="C94" s="56"/>
      <c r="D94" s="72">
        <f t="shared" si="47"/>
        <v>3.216240052705821E-5</v>
      </c>
      <c r="E94" s="72">
        <f t="shared" si="47"/>
        <v>-2.7596943502681617E-3</v>
      </c>
      <c r="F94" s="72">
        <f t="shared" si="47"/>
        <v>-7.5825168606307655E-3</v>
      </c>
      <c r="G94" s="72">
        <f t="shared" si="47"/>
        <v>-4.7198335765511433E-3</v>
      </c>
      <c r="H94" s="72">
        <f t="shared" si="47"/>
        <v>-8.9305725088428822E-4</v>
      </c>
      <c r="I94" s="72">
        <f t="shared" si="47"/>
        <v>0</v>
      </c>
      <c r="J94" s="72">
        <f t="shared" ref="J94:K94" si="50">J30-J62</f>
        <v>0</v>
      </c>
      <c r="K94" s="72">
        <f t="shared" si="50"/>
        <v>0</v>
      </c>
      <c r="L94" s="72">
        <f t="shared" ref="L94:M94" si="51">L30-L62</f>
        <v>0</v>
      </c>
      <c r="M94" s="72">
        <f t="shared" si="51"/>
        <v>0</v>
      </c>
    </row>
    <row r="95" spans="2:16">
      <c r="B95" s="56" t="s">
        <v>1713</v>
      </c>
      <c r="C95" s="56"/>
      <c r="D95" s="72">
        <f t="shared" si="47"/>
        <v>-3.8867389655350415E-4</v>
      </c>
      <c r="E95" s="72">
        <f t="shared" si="47"/>
        <v>-2.7596943502681617E-3</v>
      </c>
      <c r="F95" s="72">
        <f t="shared" si="47"/>
        <v>-7.5825168606307655E-3</v>
      </c>
      <c r="G95" s="72">
        <f t="shared" si="47"/>
        <v>-4.7198335765511433E-3</v>
      </c>
      <c r="H95" s="72">
        <f t="shared" si="47"/>
        <v>-8.9305725088428822E-4</v>
      </c>
      <c r="I95" s="72">
        <f t="shared" si="47"/>
        <v>-1.9027603802639348E-3</v>
      </c>
      <c r="J95" s="72">
        <f t="shared" ref="J95:K95" si="52">J31-J63</f>
        <v>-1.7909632437682621E-3</v>
      </c>
      <c r="K95" s="72">
        <f t="shared" si="52"/>
        <v>-1.1203480859034443E-3</v>
      </c>
      <c r="L95" s="72">
        <f t="shared" ref="L95:M95" si="53">L31-L63</f>
        <v>-3.9758598183496918E-3</v>
      </c>
      <c r="M95" s="72">
        <f t="shared" si="53"/>
        <v>0</v>
      </c>
    </row>
    <row r="96" spans="2:16">
      <c r="B96" s="56" t="s">
        <v>1714</v>
      </c>
      <c r="C96" s="56"/>
      <c r="D96" s="72">
        <f t="shared" si="47"/>
        <v>1.7103068439310309E-3</v>
      </c>
      <c r="E96" s="72">
        <f t="shared" si="47"/>
        <v>-2.7596943502681617E-3</v>
      </c>
      <c r="F96" s="72">
        <f t="shared" si="47"/>
        <v>-7.5825168606307655E-3</v>
      </c>
      <c r="G96" s="72">
        <f t="shared" si="47"/>
        <v>-4.7198335765511433E-3</v>
      </c>
      <c r="H96" s="72">
        <f t="shared" si="47"/>
        <v>-8.9305725088428822E-4</v>
      </c>
      <c r="I96" s="72">
        <f t="shared" si="47"/>
        <v>-1.0336024203219107E-3</v>
      </c>
      <c r="J96" s="72">
        <f t="shared" ref="J96:K96" si="54">J32-J64</f>
        <v>-1.4930173230820465E-3</v>
      </c>
      <c r="K96" s="72">
        <f t="shared" si="54"/>
        <v>-1.7232167504246387E-3</v>
      </c>
      <c r="L96" s="72">
        <f t="shared" ref="L96:M96" si="55">L32-L64</f>
        <v>-2.6761875864558249E-3</v>
      </c>
      <c r="M96" s="72">
        <f t="shared" si="55"/>
        <v>0</v>
      </c>
    </row>
    <row r="98" spans="2:13">
      <c r="B98" s="1274" t="s">
        <v>233</v>
      </c>
      <c r="C98" s="1274"/>
      <c r="D98" s="1274"/>
      <c r="E98" s="1274"/>
      <c r="F98" s="1274"/>
      <c r="G98" s="1274"/>
      <c r="H98" s="1274"/>
      <c r="I98" s="1274"/>
      <c r="J98" s="1274"/>
      <c r="K98" s="1274"/>
      <c r="L98" s="1274"/>
      <c r="M98" s="1274"/>
    </row>
    <row r="99" spans="2:13">
      <c r="B99" t="s">
        <v>178</v>
      </c>
      <c r="C99" t="s">
        <v>179</v>
      </c>
      <c r="D99" t="s">
        <v>190</v>
      </c>
      <c r="E99" t="s">
        <v>191</v>
      </c>
      <c r="F99" t="s">
        <v>175</v>
      </c>
      <c r="G99" t="s">
        <v>176</v>
      </c>
      <c r="H99" t="s">
        <v>177</v>
      </c>
      <c r="I99" t="s">
        <v>765</v>
      </c>
      <c r="J99" t="s">
        <v>766</v>
      </c>
      <c r="K99" t="s">
        <v>767</v>
      </c>
      <c r="L99" t="s">
        <v>1157</v>
      </c>
      <c r="M99" t="s">
        <v>1158</v>
      </c>
    </row>
    <row r="100" spans="2:13">
      <c r="B100" t="s">
        <v>192</v>
      </c>
      <c r="C100" t="s">
        <v>193</v>
      </c>
      <c r="D100" s="74">
        <f t="shared" ref="D100:H100" si="56">(D4/D36-1)</f>
        <v>0</v>
      </c>
      <c r="E100" s="74">
        <f t="shared" si="56"/>
        <v>0</v>
      </c>
      <c r="F100" s="74">
        <f t="shared" si="56"/>
        <v>0</v>
      </c>
      <c r="G100" s="74">
        <f t="shared" si="56"/>
        <v>0</v>
      </c>
      <c r="H100" s="74">
        <f t="shared" si="56"/>
        <v>0</v>
      </c>
      <c r="I100" s="74">
        <f t="shared" ref="I100:M100" si="57">(I4/I36-1)</f>
        <v>0</v>
      </c>
      <c r="J100" s="74">
        <f t="shared" si="57"/>
        <v>0</v>
      </c>
      <c r="K100" s="74">
        <f t="shared" si="57"/>
        <v>0</v>
      </c>
      <c r="L100" s="74">
        <f t="shared" si="57"/>
        <v>0</v>
      </c>
      <c r="M100" s="74" t="e">
        <f t="shared" si="57"/>
        <v>#DIV/0!</v>
      </c>
    </row>
    <row r="101" spans="2:13">
      <c r="B101" t="s">
        <v>134</v>
      </c>
      <c r="C101" t="s">
        <v>194</v>
      </c>
      <c r="D101" s="74">
        <f t="shared" ref="D101:H101" si="58">(D5/D37-1)</f>
        <v>0</v>
      </c>
      <c r="E101" s="74">
        <f t="shared" si="58"/>
        <v>0</v>
      </c>
      <c r="F101" s="74">
        <f t="shared" si="58"/>
        <v>0</v>
      </c>
      <c r="G101" s="74">
        <f t="shared" si="58"/>
        <v>0</v>
      </c>
      <c r="H101" s="74">
        <f t="shared" si="58"/>
        <v>0</v>
      </c>
      <c r="I101" s="74">
        <f t="shared" ref="I101:M101" si="59">(I5/I37-1)</f>
        <v>0</v>
      </c>
      <c r="J101" s="74">
        <f t="shared" si="59"/>
        <v>0</v>
      </c>
      <c r="K101" s="74">
        <f t="shared" si="59"/>
        <v>0</v>
      </c>
      <c r="L101" s="74">
        <f t="shared" si="59"/>
        <v>0</v>
      </c>
      <c r="M101" s="74" t="e">
        <f t="shared" si="59"/>
        <v>#DIV/0!</v>
      </c>
    </row>
    <row r="102" spans="2:13">
      <c r="B102" t="s">
        <v>195</v>
      </c>
      <c r="C102" t="s">
        <v>196</v>
      </c>
      <c r="D102" s="74">
        <f t="shared" ref="D102:H102" si="60">(D6/D38-1)</f>
        <v>1.0886131069010041E-4</v>
      </c>
      <c r="E102" s="74">
        <f t="shared" si="60"/>
        <v>-1.24117704363228E-2</v>
      </c>
      <c r="F102" s="74">
        <f t="shared" si="60"/>
        <v>-2.1329560061590147E-2</v>
      </c>
      <c r="G102" s="74">
        <f t="shared" si="60"/>
        <v>-1.9060524836307713E-2</v>
      </c>
      <c r="H102" s="74">
        <f t="shared" si="60"/>
        <v>-1.3538592830501628E-2</v>
      </c>
      <c r="I102" s="74">
        <f t="shared" ref="I102:M102" si="61">(I6/I38-1)</f>
        <v>-7.9589817325302903E-3</v>
      </c>
      <c r="J102" s="74">
        <f t="shared" si="61"/>
        <v>-2.5771451407887724E-3</v>
      </c>
      <c r="K102" s="74">
        <f t="shared" si="61"/>
        <v>-2.8193568388521495E-3</v>
      </c>
      <c r="L102" s="74">
        <f t="shared" si="61"/>
        <v>-3.79387506388984E-3</v>
      </c>
      <c r="M102" s="74" t="e">
        <f t="shared" si="61"/>
        <v>#DIV/0!</v>
      </c>
    </row>
    <row r="103" spans="2:13">
      <c r="B103" t="s">
        <v>197</v>
      </c>
      <c r="C103" t="s">
        <v>198</v>
      </c>
      <c r="D103" s="74">
        <f t="shared" ref="D103:H103" si="62">(D7/D39-1)</f>
        <v>1.0967034384878893E-3</v>
      </c>
      <c r="E103" s="74">
        <f t="shared" si="62"/>
        <v>4.032944893841206E-3</v>
      </c>
      <c r="F103" s="74">
        <f t="shared" si="62"/>
        <v>4.0377818002736987E-3</v>
      </c>
      <c r="G103" s="74">
        <f t="shared" si="62"/>
        <v>3.749961226516163E-3</v>
      </c>
      <c r="H103" s="74">
        <f t="shared" si="62"/>
        <v>3.2174805311593335E-3</v>
      </c>
      <c r="I103" s="74">
        <f t="shared" ref="I103:M103" si="63">(I7/I39-1)</f>
        <v>2.588585636579932E-3</v>
      </c>
      <c r="J103" s="74">
        <f t="shared" si="63"/>
        <v>1.4063384642377663E-3</v>
      </c>
      <c r="K103" s="74">
        <f t="shared" si="63"/>
        <v>2.7330678826631427E-4</v>
      </c>
      <c r="L103" s="74">
        <f t="shared" si="63"/>
        <v>-9.7737014128806976E-4</v>
      </c>
      <c r="M103" s="74" t="e">
        <f t="shared" si="63"/>
        <v>#DIV/0!</v>
      </c>
    </row>
    <row r="104" spans="2:13">
      <c r="B104" t="s">
        <v>199</v>
      </c>
      <c r="C104" t="s">
        <v>200</v>
      </c>
      <c r="D104" s="74">
        <f t="shared" ref="D104:H104" si="64">(D8/D40-1)</f>
        <v>0</v>
      </c>
      <c r="E104" s="74">
        <f t="shared" si="64"/>
        <v>0</v>
      </c>
      <c r="F104" s="74">
        <f t="shared" si="64"/>
        <v>0</v>
      </c>
      <c r="G104" s="74">
        <f t="shared" si="64"/>
        <v>0</v>
      </c>
      <c r="H104" s="74">
        <f t="shared" si="64"/>
        <v>0</v>
      </c>
      <c r="I104" s="74">
        <f t="shared" ref="I104:M104" si="65">(I8/I40-1)</f>
        <v>0</v>
      </c>
      <c r="J104" s="74">
        <f t="shared" si="65"/>
        <v>0</v>
      </c>
      <c r="K104" s="74">
        <f t="shared" si="65"/>
        <v>0</v>
      </c>
      <c r="L104" s="74">
        <f t="shared" si="65"/>
        <v>0</v>
      </c>
      <c r="M104" s="74" t="e">
        <f t="shared" si="65"/>
        <v>#DIV/0!</v>
      </c>
    </row>
    <row r="105" spans="2:13">
      <c r="B105" t="s">
        <v>201</v>
      </c>
      <c r="C105" t="s">
        <v>202</v>
      </c>
      <c r="D105" s="74">
        <f t="shared" ref="D105:H105" si="66">(D9/D41-1)</f>
        <v>0</v>
      </c>
      <c r="E105" s="74">
        <f t="shared" si="66"/>
        <v>0</v>
      </c>
      <c r="F105" s="74">
        <f t="shared" si="66"/>
        <v>0</v>
      </c>
      <c r="G105" s="74">
        <f t="shared" si="66"/>
        <v>0</v>
      </c>
      <c r="H105" s="74">
        <f t="shared" si="66"/>
        <v>0</v>
      </c>
      <c r="I105" s="74">
        <f t="shared" ref="I105:M105" si="67">(I9/I41-1)</f>
        <v>0</v>
      </c>
      <c r="J105" s="74">
        <f t="shared" si="67"/>
        <v>0</v>
      </c>
      <c r="K105" s="74">
        <f t="shared" si="67"/>
        <v>0</v>
      </c>
      <c r="L105" s="74" t="e">
        <f t="shared" si="67"/>
        <v>#DIV/0!</v>
      </c>
      <c r="M105" s="74" t="e">
        <f t="shared" si="67"/>
        <v>#DIV/0!</v>
      </c>
    </row>
    <row r="106" spans="2:13">
      <c r="B106" t="s">
        <v>203</v>
      </c>
      <c r="C106" t="s">
        <v>204</v>
      </c>
      <c r="D106" s="74">
        <f t="shared" ref="D106:H106" si="68">(D10/D42-1)</f>
        <v>0</v>
      </c>
      <c r="E106" s="74" t="e">
        <f t="shared" si="68"/>
        <v>#DIV/0!</v>
      </c>
      <c r="F106" s="74" t="e">
        <f t="shared" si="68"/>
        <v>#DIV/0!</v>
      </c>
      <c r="G106" s="74" t="e">
        <f t="shared" si="68"/>
        <v>#DIV/0!</v>
      </c>
      <c r="H106" s="74" t="e">
        <f t="shared" si="68"/>
        <v>#DIV/0!</v>
      </c>
      <c r="I106" s="74" t="e">
        <f t="shared" ref="I106:M106" si="69">(I10/I42-1)</f>
        <v>#DIV/0!</v>
      </c>
      <c r="J106" s="74" t="e">
        <f t="shared" si="69"/>
        <v>#DIV/0!</v>
      </c>
      <c r="K106" s="74" t="e">
        <f t="shared" si="69"/>
        <v>#DIV/0!</v>
      </c>
      <c r="L106" s="74" t="e">
        <f t="shared" si="69"/>
        <v>#DIV/0!</v>
      </c>
      <c r="M106" s="74" t="e">
        <f t="shared" si="69"/>
        <v>#DIV/0!</v>
      </c>
    </row>
    <row r="107" spans="2:13">
      <c r="B107" t="s">
        <v>205</v>
      </c>
      <c r="C107" t="s">
        <v>206</v>
      </c>
      <c r="D107" s="74">
        <f t="shared" ref="D107:H107" si="70">(D11/D43-1)</f>
        <v>0</v>
      </c>
      <c r="E107" s="74">
        <f t="shared" si="70"/>
        <v>0</v>
      </c>
      <c r="F107" s="74">
        <f t="shared" si="70"/>
        <v>0</v>
      </c>
      <c r="G107" s="74">
        <f t="shared" si="70"/>
        <v>0</v>
      </c>
      <c r="H107" s="74">
        <f t="shared" si="70"/>
        <v>0</v>
      </c>
      <c r="I107" s="74">
        <f t="shared" ref="I107:M107" si="71">(I11/I43-1)</f>
        <v>0</v>
      </c>
      <c r="J107" s="74">
        <f t="shared" si="71"/>
        <v>0</v>
      </c>
      <c r="K107" s="74">
        <f t="shared" si="71"/>
        <v>0</v>
      </c>
      <c r="L107" s="74">
        <f t="shared" si="71"/>
        <v>0</v>
      </c>
      <c r="M107" s="74" t="e">
        <f t="shared" si="71"/>
        <v>#DIV/0!</v>
      </c>
    </row>
    <row r="108" spans="2:13">
      <c r="B108" t="s">
        <v>207</v>
      </c>
      <c r="C108" t="s">
        <v>208</v>
      </c>
      <c r="D108" s="74">
        <f t="shared" ref="D108:H108" si="72">(D12/D44-1)</f>
        <v>0</v>
      </c>
      <c r="E108" s="74">
        <f t="shared" si="72"/>
        <v>-1.0113648450347568E-2</v>
      </c>
      <c r="F108" s="74">
        <f t="shared" si="72"/>
        <v>-5.152828794709019E-3</v>
      </c>
      <c r="G108" s="74">
        <f t="shared" si="72"/>
        <v>-8.5234331911583361E-3</v>
      </c>
      <c r="H108" s="74">
        <f t="shared" si="72"/>
        <v>-1.1882617769241599E-2</v>
      </c>
      <c r="I108" s="74">
        <f t="shared" ref="I108:M108" si="73">(I12/I44-1)</f>
        <v>-1.5230421220016832E-2</v>
      </c>
      <c r="J108" s="74">
        <f t="shared" si="73"/>
        <v>-1.8566882103455029E-2</v>
      </c>
      <c r="K108" s="74">
        <f t="shared" si="73"/>
        <v>-2.6593214728002912E-2</v>
      </c>
      <c r="L108" s="74">
        <f t="shared" si="73"/>
        <v>-3.4553906592905359E-2</v>
      </c>
      <c r="M108" s="74" t="e">
        <f t="shared" si="73"/>
        <v>#DIV/0!</v>
      </c>
    </row>
    <row r="109" spans="2:13">
      <c r="B109" t="s">
        <v>209</v>
      </c>
      <c r="C109" t="s">
        <v>210</v>
      </c>
      <c r="D109" s="74">
        <f t="shared" ref="D109:H109" si="74">(D13/D45-1)</f>
        <v>-5.8549278976471886E-3</v>
      </c>
      <c r="E109" s="74">
        <f t="shared" si="74"/>
        <v>-1.5909361665535915E-2</v>
      </c>
      <c r="F109" s="74">
        <f t="shared" si="74"/>
        <v>-1.0977587251294052E-2</v>
      </c>
      <c r="G109" s="74">
        <f t="shared" si="74"/>
        <v>-1.4328457002030892E-2</v>
      </c>
      <c r="H109" s="74">
        <f t="shared" si="74"/>
        <v>-1.7667973796614445E-2</v>
      </c>
      <c r="I109" s="74">
        <f t="shared" ref="I109:M109" si="75">(I13/I45-1)</f>
        <v>-2.0996176099570052E-2</v>
      </c>
      <c r="J109" s="74">
        <f t="shared" si="75"/>
        <v>-2.4313102245102414E-2</v>
      </c>
      <c r="K109" s="74">
        <f t="shared" si="75"/>
        <v>-3.2292441270850958E-2</v>
      </c>
      <c r="L109" s="74">
        <f t="shared" si="75"/>
        <v>-4.0206523858869025E-2</v>
      </c>
      <c r="M109" s="74" t="e">
        <f t="shared" si="75"/>
        <v>#DIV/0!</v>
      </c>
    </row>
    <row r="110" spans="2:13">
      <c r="B110" t="s">
        <v>55</v>
      </c>
      <c r="C110" t="s">
        <v>211</v>
      </c>
      <c r="D110" s="74">
        <f t="shared" ref="D110:H110" si="76">(D14/D46-1)</f>
        <v>0</v>
      </c>
      <c r="E110" s="74">
        <f t="shared" si="76"/>
        <v>9.0964548800664957E-4</v>
      </c>
      <c r="F110" s="74">
        <f t="shared" si="76"/>
        <v>1.8273277559783807E-3</v>
      </c>
      <c r="G110" s="74">
        <f t="shared" si="76"/>
        <v>-6.2623165110964329E-4</v>
      </c>
      <c r="H110" s="74">
        <f t="shared" si="76"/>
        <v>-3.0737820847974717E-3</v>
      </c>
      <c r="I110" s="74">
        <f t="shared" ref="I110:M110" si="77">(I14/I46-1)</f>
        <v>-5.5153382615663604E-3</v>
      </c>
      <c r="J110" s="74">
        <f t="shared" si="77"/>
        <v>-7.9509148618560621E-3</v>
      </c>
      <c r="K110" s="74">
        <f t="shared" si="77"/>
        <v>-7.1356659900578823E-3</v>
      </c>
      <c r="L110" s="74">
        <f t="shared" si="77"/>
        <v>-6.3197471607617794E-3</v>
      </c>
      <c r="M110" s="74" t="e">
        <f t="shared" si="77"/>
        <v>#DIV/0!</v>
      </c>
    </row>
    <row r="111" spans="2:13">
      <c r="B111" t="s">
        <v>212</v>
      </c>
      <c r="C111" t="s">
        <v>213</v>
      </c>
      <c r="D111" s="74" t="e">
        <f t="shared" ref="D111:H111" si="78">(D15/D47-1)</f>
        <v>#DIV/0!</v>
      </c>
      <c r="E111" s="74" t="e">
        <f t="shared" si="78"/>
        <v>#DIV/0!</v>
      </c>
      <c r="F111" s="74" t="e">
        <f t="shared" si="78"/>
        <v>#DIV/0!</v>
      </c>
      <c r="G111" s="74" t="e">
        <f t="shared" si="78"/>
        <v>#DIV/0!</v>
      </c>
      <c r="H111" s="74" t="e">
        <f t="shared" si="78"/>
        <v>#DIV/0!</v>
      </c>
      <c r="I111" s="74" t="e">
        <f t="shared" ref="I111:M111" si="79">(I15/I47-1)</f>
        <v>#DIV/0!</v>
      </c>
      <c r="J111" s="74" t="e">
        <f t="shared" si="79"/>
        <v>#DIV/0!</v>
      </c>
      <c r="K111" s="74" t="e">
        <f t="shared" si="79"/>
        <v>#DIV/0!</v>
      </c>
      <c r="L111" s="74" t="e">
        <f t="shared" si="79"/>
        <v>#DIV/0!</v>
      </c>
      <c r="M111" s="74" t="e">
        <f t="shared" si="79"/>
        <v>#DIV/0!</v>
      </c>
    </row>
    <row r="112" spans="2:13">
      <c r="B112" t="s">
        <v>214</v>
      </c>
      <c r="C112" t="s">
        <v>215</v>
      </c>
      <c r="D112" s="74" t="e">
        <f t="shared" ref="D112:H112" si="80">(D16/D48-1)</f>
        <v>#DIV/0!</v>
      </c>
      <c r="E112" s="74" t="e">
        <f t="shared" si="80"/>
        <v>#DIV/0!</v>
      </c>
      <c r="F112" s="74" t="e">
        <f t="shared" si="80"/>
        <v>#DIV/0!</v>
      </c>
      <c r="G112" s="74" t="e">
        <f t="shared" si="80"/>
        <v>#DIV/0!</v>
      </c>
      <c r="H112" s="74" t="e">
        <f t="shared" si="80"/>
        <v>#DIV/0!</v>
      </c>
      <c r="I112" s="74" t="e">
        <f t="shared" ref="I112:M112" si="81">(I16/I48-1)</f>
        <v>#DIV/0!</v>
      </c>
      <c r="J112" s="74" t="e">
        <f t="shared" si="81"/>
        <v>#DIV/0!</v>
      </c>
      <c r="K112" s="74" t="e">
        <f t="shared" si="81"/>
        <v>#DIV/0!</v>
      </c>
      <c r="L112" s="74" t="e">
        <f t="shared" si="81"/>
        <v>#DIV/0!</v>
      </c>
      <c r="M112" s="74" t="e">
        <f t="shared" si="81"/>
        <v>#DIV/0!</v>
      </c>
    </row>
    <row r="113" spans="2:13">
      <c r="B113" t="s">
        <v>216</v>
      </c>
      <c r="C113" t="s">
        <v>217</v>
      </c>
      <c r="D113" s="74">
        <f t="shared" ref="D113:H113" si="82">(D17/D49-1)</f>
        <v>0</v>
      </c>
      <c r="E113" s="74">
        <f t="shared" si="82"/>
        <v>0</v>
      </c>
      <c r="F113" s="74">
        <f t="shared" si="82"/>
        <v>0</v>
      </c>
      <c r="G113" s="74">
        <f t="shared" si="82"/>
        <v>0</v>
      </c>
      <c r="H113" s="74">
        <f t="shared" si="82"/>
        <v>0</v>
      </c>
      <c r="I113" s="74">
        <f t="shared" ref="I113:M113" si="83">(I17/I49-1)</f>
        <v>0</v>
      </c>
      <c r="J113" s="74">
        <f t="shared" si="83"/>
        <v>0</v>
      </c>
      <c r="K113" s="74">
        <f t="shared" si="83"/>
        <v>0</v>
      </c>
      <c r="L113" s="74" t="e">
        <f t="shared" si="83"/>
        <v>#DIV/0!</v>
      </c>
      <c r="M113" s="74" t="e">
        <f t="shared" si="83"/>
        <v>#DIV/0!</v>
      </c>
    </row>
    <row r="114" spans="2:13">
      <c r="B114" t="s">
        <v>218</v>
      </c>
      <c r="C114" t="s">
        <v>219</v>
      </c>
      <c r="D114" s="74">
        <f t="shared" ref="D114:H114" si="84">(D18/D50-1)</f>
        <v>0</v>
      </c>
      <c r="E114" s="74">
        <f t="shared" si="84"/>
        <v>0</v>
      </c>
      <c r="F114" s="74">
        <f t="shared" si="84"/>
        <v>0</v>
      </c>
      <c r="G114" s="74">
        <f t="shared" si="84"/>
        <v>0</v>
      </c>
      <c r="H114" s="74">
        <f t="shared" si="84"/>
        <v>0</v>
      </c>
      <c r="I114" s="74">
        <f t="shared" ref="I114:M114" si="85">(I18/I50-1)</f>
        <v>0</v>
      </c>
      <c r="J114" s="74">
        <f t="shared" si="85"/>
        <v>0</v>
      </c>
      <c r="K114" s="74">
        <f t="shared" si="85"/>
        <v>0</v>
      </c>
      <c r="L114" s="74" t="e">
        <f t="shared" si="85"/>
        <v>#DIV/0!</v>
      </c>
      <c r="M114" s="74" t="e">
        <f t="shared" si="85"/>
        <v>#DIV/0!</v>
      </c>
    </row>
    <row r="115" spans="2:13">
      <c r="B115" t="s">
        <v>220</v>
      </c>
      <c r="C115" t="s">
        <v>221</v>
      </c>
      <c r="D115" s="74">
        <f t="shared" ref="D115:H115" si="86">(D19/D51-1)</f>
        <v>-4.8840072693567826E-4</v>
      </c>
      <c r="E115" s="74">
        <f t="shared" si="86"/>
        <v>-4.8675246381923998E-4</v>
      </c>
      <c r="F115" s="74">
        <f t="shared" si="86"/>
        <v>-4.8511528845684992E-4</v>
      </c>
      <c r="G115" s="74">
        <f t="shared" si="86"/>
        <v>-4.831321651519449E-4</v>
      </c>
      <c r="H115" s="74">
        <f t="shared" si="86"/>
        <v>-4.7899642523296926E-4</v>
      </c>
      <c r="I115" s="74">
        <f t="shared" ref="I115:M115" si="87">(I19/I51-1)</f>
        <v>-4.7742882662560326E-4</v>
      </c>
      <c r="J115" s="74">
        <f t="shared" si="87"/>
        <v>-4.7587145502359096E-4</v>
      </c>
      <c r="K115" s="74">
        <f t="shared" si="87"/>
        <v>-4.7796404554389937E-4</v>
      </c>
      <c r="L115" s="74">
        <f t="shared" si="87"/>
        <v>-4.7365525620268745E-4</v>
      </c>
      <c r="M115" s="74" t="e">
        <f t="shared" si="87"/>
        <v>#DIV/0!</v>
      </c>
    </row>
    <row r="116" spans="2:13">
      <c r="B116" t="s">
        <v>222</v>
      </c>
      <c r="C116" t="s">
        <v>223</v>
      </c>
      <c r="D116" s="74">
        <f t="shared" ref="D116:H116" si="88">(D20/D52-1)</f>
        <v>0</v>
      </c>
      <c r="E116" s="74">
        <f t="shared" si="88"/>
        <v>0</v>
      </c>
      <c r="F116" s="74">
        <f t="shared" si="88"/>
        <v>0</v>
      </c>
      <c r="G116" s="74">
        <f t="shared" si="88"/>
        <v>0</v>
      </c>
      <c r="H116" s="74">
        <f t="shared" si="88"/>
        <v>0</v>
      </c>
      <c r="I116" s="74">
        <f t="shared" ref="I116:M116" si="89">(I20/I52-1)</f>
        <v>0</v>
      </c>
      <c r="J116" s="74">
        <f t="shared" si="89"/>
        <v>0</v>
      </c>
      <c r="K116" s="74">
        <f t="shared" si="89"/>
        <v>0</v>
      </c>
      <c r="L116" s="74">
        <f t="shared" si="89"/>
        <v>0</v>
      </c>
      <c r="M116" s="74" t="e">
        <f t="shared" si="89"/>
        <v>#DIV/0!</v>
      </c>
    </row>
    <row r="117" spans="2:13">
      <c r="B117" t="s">
        <v>224</v>
      </c>
      <c r="C117" t="s">
        <v>225</v>
      </c>
      <c r="D117" s="74">
        <f t="shared" ref="D117:H117" si="90">(D21/D53-1)</f>
        <v>-2.0536692223427355E-4</v>
      </c>
      <c r="E117" s="74">
        <f t="shared" si="90"/>
        <v>6.0241349764966756E-4</v>
      </c>
      <c r="F117" s="74">
        <f t="shared" si="90"/>
        <v>1.413141158323139E-3</v>
      </c>
      <c r="G117" s="74">
        <f t="shared" si="90"/>
        <v>6.2205721684871484E-4</v>
      </c>
      <c r="H117" s="74">
        <f t="shared" si="90"/>
        <v>5.60730365819051E-4</v>
      </c>
      <c r="I117" s="74">
        <f t="shared" ref="I117:M117" si="91">(I21/I53-1)</f>
        <v>-2.3194679367499749E-4</v>
      </c>
      <c r="J117" s="74">
        <f t="shared" si="91"/>
        <v>-1.0277752636298487E-3</v>
      </c>
      <c r="K117" s="74">
        <f t="shared" si="91"/>
        <v>-1.8267438642239897E-3</v>
      </c>
      <c r="L117" s="74">
        <f t="shared" si="91"/>
        <v>1.8654045255477314E-3</v>
      </c>
      <c r="M117" s="74" t="e">
        <f t="shared" si="91"/>
        <v>#DIV/0!</v>
      </c>
    </row>
    <row r="118" spans="2:13">
      <c r="B118" t="s">
        <v>226</v>
      </c>
      <c r="C118" t="s">
        <v>227</v>
      </c>
      <c r="D118" s="74">
        <f t="shared" ref="D118:H118" si="92">(D22/D54-1)</f>
        <v>1.0471204188481797E-2</v>
      </c>
      <c r="E118" s="74">
        <f t="shared" si="92"/>
        <v>9.3416238830512643E-3</v>
      </c>
      <c r="F118" s="74">
        <f t="shared" si="92"/>
        <v>1.3497078794710404E-2</v>
      </c>
      <c r="G118" s="74">
        <f t="shared" si="92"/>
        <v>1.3719850845221426E-2</v>
      </c>
      <c r="H118" s="74">
        <f t="shared" si="92"/>
        <v>1.3387819903288856E-2</v>
      </c>
      <c r="I118" s="74">
        <f t="shared" ref="I118:M118" si="93">(I22/I54-1)</f>
        <v>1.3074237679094436E-2</v>
      </c>
      <c r="J118" s="74">
        <f t="shared" si="93"/>
        <v>1.2452042783587913E-2</v>
      </c>
      <c r="K118" s="74">
        <f t="shared" si="93"/>
        <v>1.1496641679886066E-2</v>
      </c>
      <c r="L118" s="74">
        <f t="shared" si="93"/>
        <v>1.034736265498748E-2</v>
      </c>
      <c r="M118" s="74" t="e">
        <f t="shared" si="93"/>
        <v>#DIV/0!</v>
      </c>
    </row>
    <row r="119" spans="2:13">
      <c r="B119" t="s">
        <v>228</v>
      </c>
      <c r="C119" t="s">
        <v>229</v>
      </c>
      <c r="D119" s="74">
        <f t="shared" ref="D119:H119" si="94">(D23/D55-1)</f>
        <v>-7.0021881838073785E-3</v>
      </c>
      <c r="E119" s="74">
        <f t="shared" si="94"/>
        <v>-5.4668082720643607E-3</v>
      </c>
      <c r="F119" s="74">
        <f t="shared" si="94"/>
        <v>-3.9290543455497984E-3</v>
      </c>
      <c r="G119" s="74">
        <f t="shared" si="94"/>
        <v>-3.0115102103868141E-3</v>
      </c>
      <c r="H119" s="74">
        <f t="shared" si="94"/>
        <v>-2.0931208671149948E-3</v>
      </c>
      <c r="I119" s="74">
        <f t="shared" ref="I119:M119" si="95">(I23/I55-1)</f>
        <v>-1.1738855371599133E-3</v>
      </c>
      <c r="J119" s="74">
        <f t="shared" si="95"/>
        <v>-2.5380344122949428E-4</v>
      </c>
      <c r="K119" s="74">
        <f t="shared" si="95"/>
        <v>6.6712620068609674E-4</v>
      </c>
      <c r="L119" s="74">
        <f t="shared" si="95"/>
        <v>1.5889041693151196E-3</v>
      </c>
      <c r="M119" s="74" t="e">
        <f t="shared" si="95"/>
        <v>#DIV/0!</v>
      </c>
    </row>
    <row r="120" spans="2:13">
      <c r="B120" t="s">
        <v>230</v>
      </c>
      <c r="C120" t="s">
        <v>231</v>
      </c>
      <c r="D120" s="74">
        <f t="shared" ref="D120:H120" si="96">(D24/D56-1)</f>
        <v>2.5469981807155762E-2</v>
      </c>
      <c r="E120" s="74">
        <f t="shared" si="96"/>
        <v>8.6007624346958078E-2</v>
      </c>
      <c r="F120" s="74">
        <f t="shared" si="96"/>
        <v>0.10057758804741268</v>
      </c>
      <c r="G120" s="74">
        <f t="shared" si="96"/>
        <v>9.9332558668958626E-2</v>
      </c>
      <c r="H120" s="74">
        <f t="shared" si="96"/>
        <v>0.10472759287776112</v>
      </c>
      <c r="I120" s="74">
        <f t="shared" ref="I120:M120" si="97">(I24/I56-1)</f>
        <v>0.10540383490870608</v>
      </c>
      <c r="J120" s="74">
        <f t="shared" si="97"/>
        <v>0.10087008804665243</v>
      </c>
      <c r="K120" s="74">
        <f t="shared" si="97"/>
        <v>8.8287193702048405E-2</v>
      </c>
      <c r="L120" s="74">
        <f t="shared" si="97"/>
        <v>8.4601770760887041E-2</v>
      </c>
      <c r="M120" s="74" t="e">
        <f t="shared" si="97"/>
        <v>#DIV/0!</v>
      </c>
    </row>
    <row r="121" spans="2:13">
      <c r="B121" s="56" t="s">
        <v>1385</v>
      </c>
      <c r="C121" s="56" t="s">
        <v>1384</v>
      </c>
      <c r="D121" s="74">
        <f t="shared" ref="D121:H121" si="98">(D25/D57-1)</f>
        <v>0</v>
      </c>
      <c r="E121" s="74">
        <f t="shared" si="98"/>
        <v>0</v>
      </c>
      <c r="F121" s="74">
        <f t="shared" si="98"/>
        <v>0</v>
      </c>
      <c r="G121" s="74">
        <f t="shared" si="98"/>
        <v>0</v>
      </c>
      <c r="H121" s="74">
        <f t="shared" si="98"/>
        <v>0</v>
      </c>
      <c r="I121" s="74">
        <f t="shared" ref="I121:M121" si="99">(I25/I57-1)</f>
        <v>0</v>
      </c>
      <c r="J121" s="74">
        <f t="shared" si="99"/>
        <v>0</v>
      </c>
      <c r="K121" s="74">
        <f t="shared" si="99"/>
        <v>0</v>
      </c>
      <c r="L121" s="74">
        <f t="shared" si="99"/>
        <v>0</v>
      </c>
      <c r="M121" s="74" t="e">
        <f t="shared" si="99"/>
        <v>#DIV/0!</v>
      </c>
    </row>
    <row r="122" spans="2:13">
      <c r="B122" s="56"/>
      <c r="D122" s="74"/>
      <c r="E122" s="74"/>
      <c r="F122" s="74"/>
      <c r="G122" s="74"/>
      <c r="H122" s="74"/>
    </row>
    <row r="123" spans="2:13">
      <c r="B123" s="75" t="s">
        <v>1921</v>
      </c>
      <c r="D123" s="74"/>
      <c r="E123" s="74"/>
      <c r="F123" s="74"/>
      <c r="G123" s="74"/>
      <c r="H123" s="74"/>
    </row>
    <row r="124" spans="2:13">
      <c r="B124" s="56" t="s">
        <v>1710</v>
      </c>
      <c r="D124" s="74">
        <f t="shared" ref="D124" si="100">(D28/D60-1)</f>
        <v>2.4399813235264523E-2</v>
      </c>
      <c r="E124" s="74">
        <f>(E28/E60-1)</f>
        <v>-0.29265109077864071</v>
      </c>
      <c r="F124" s="74">
        <f t="shared" ref="F124:I124" si="101">(F28/F60-1)</f>
        <v>-0.21535196172173554</v>
      </c>
      <c r="G124" s="74">
        <f t="shared" si="101"/>
        <v>-0.1813637493386967</v>
      </c>
      <c r="H124" s="74">
        <f t="shared" si="101"/>
        <v>-2.7862473799524889E-2</v>
      </c>
      <c r="I124" s="74">
        <f t="shared" si="101"/>
        <v>-2.781974457225922E-2</v>
      </c>
      <c r="J124" s="74">
        <f t="shared" ref="J124:M124" si="102">(J28/J60-1)</f>
        <v>-5.6031759192639141E-2</v>
      </c>
      <c r="K124" s="74">
        <f t="shared" si="102"/>
        <v>-6.625577272211014E-2</v>
      </c>
      <c r="L124" s="74">
        <f t="shared" si="102"/>
        <v>-6.8086378140201576E-2</v>
      </c>
      <c r="M124" s="74" t="e">
        <f t="shared" si="102"/>
        <v>#DIV/0!</v>
      </c>
    </row>
    <row r="125" spans="2:13">
      <c r="B125" s="56" t="s">
        <v>1711</v>
      </c>
      <c r="D125" s="74">
        <f t="shared" ref="D125" si="103">(D29/D61-1)</f>
        <v>-9.4125607791576638E-2</v>
      </c>
      <c r="E125" s="74">
        <f t="shared" ref="E125:I125" si="104">(E29/E61-1)</f>
        <v>-0.33886528926697634</v>
      </c>
      <c r="F125" s="74">
        <f t="shared" si="104"/>
        <v>-0.17458926395301722</v>
      </c>
      <c r="G125" s="74">
        <f t="shared" si="104"/>
        <v>-0.18656386289896365</v>
      </c>
      <c r="H125" s="74">
        <f t="shared" si="104"/>
        <v>-6.4060779305606497E-2</v>
      </c>
      <c r="I125" s="74">
        <f t="shared" si="104"/>
        <v>-2.781974457225922E-2</v>
      </c>
      <c r="J125" s="74">
        <f t="shared" ref="J125:M125" si="105">(J29/J61-1)</f>
        <v>-5.6031759192639141E-2</v>
      </c>
      <c r="K125" s="74">
        <f t="shared" si="105"/>
        <v>-6.625577272211014E-2</v>
      </c>
      <c r="L125" s="74">
        <f t="shared" si="105"/>
        <v>-6.8086378140201576E-2</v>
      </c>
      <c r="M125" s="74" t="e">
        <f t="shared" si="105"/>
        <v>#DIV/0!</v>
      </c>
    </row>
    <row r="126" spans="2:13">
      <c r="B126" s="56" t="s">
        <v>1712</v>
      </c>
      <c r="D126" s="74">
        <f t="shared" ref="D126" si="106">(D30/D62-1)</f>
        <v>8.4021718903271037E-4</v>
      </c>
      <c r="E126" s="74">
        <f t="shared" ref="E126:I126" si="107">(E30/E62-1)</f>
        <v>-7.7675010036248993E-2</v>
      </c>
      <c r="F126" s="74">
        <f t="shared" si="107"/>
        <v>-0.23470303432301109</v>
      </c>
      <c r="G126" s="74">
        <f t="shared" si="107"/>
        <v>-0.16705365581319154</v>
      </c>
      <c r="H126" s="74">
        <f t="shared" si="107"/>
        <v>-3.342942423239692E-2</v>
      </c>
      <c r="I126" s="74" t="e">
        <f t="shared" si="107"/>
        <v>#DIV/0!</v>
      </c>
      <c r="J126" s="74" t="e">
        <f t="shared" ref="J126:M126" si="108">(J30/J62-1)</f>
        <v>#DIV/0!</v>
      </c>
      <c r="K126" s="74" t="e">
        <f t="shared" si="108"/>
        <v>#DIV/0!</v>
      </c>
      <c r="L126" s="74" t="e">
        <f t="shared" si="108"/>
        <v>#DIV/0!</v>
      </c>
      <c r="M126" s="74" t="e">
        <f t="shared" si="108"/>
        <v>#DIV/0!</v>
      </c>
    </row>
    <row r="127" spans="2:13">
      <c r="B127" s="56" t="s">
        <v>1713</v>
      </c>
      <c r="D127" s="74">
        <f t="shared" ref="D127" si="109">(D31/D63-1)</f>
        <v>-9.2375974294863772E-3</v>
      </c>
      <c r="E127" s="74">
        <f t="shared" ref="E127:I127" si="110">(E31/E63-1)</f>
        <v>-7.7675010036248993E-2</v>
      </c>
      <c r="F127" s="74">
        <f t="shared" si="110"/>
        <v>-0.23470303432301109</v>
      </c>
      <c r="G127" s="74">
        <f t="shared" si="110"/>
        <v>-0.16705365581319154</v>
      </c>
      <c r="H127" s="74">
        <f t="shared" si="110"/>
        <v>-3.342942423239692E-2</v>
      </c>
      <c r="I127" s="74">
        <f t="shared" si="110"/>
        <v>-7.4292529802108209E-2</v>
      </c>
      <c r="J127" s="74">
        <f t="shared" ref="J127:M127" si="111">(J31/J63-1)</f>
        <v>-7.0892895038976556E-2</v>
      </c>
      <c r="K127" s="74">
        <f t="shared" si="111"/>
        <v>-4.5448948174446557E-2</v>
      </c>
      <c r="L127" s="74">
        <f t="shared" si="111"/>
        <v>-0.1814406819912997</v>
      </c>
      <c r="M127" s="74" t="e">
        <f t="shared" si="111"/>
        <v>#DIV/0!</v>
      </c>
    </row>
    <row r="128" spans="2:13">
      <c r="B128" s="56" t="s">
        <v>1714</v>
      </c>
      <c r="D128" s="74">
        <f t="shared" ref="D128" si="112">(D32/D64-1)</f>
        <v>7.5506931699615754E-2</v>
      </c>
      <c r="E128" s="74">
        <f t="shared" ref="E128:I128" si="113">(E32/E64-1)</f>
        <v>-7.7675010036248993E-2</v>
      </c>
      <c r="F128" s="74">
        <f t="shared" si="113"/>
        <v>-0.23470303432301109</v>
      </c>
      <c r="G128" s="74">
        <f t="shared" si="113"/>
        <v>-0.16705365581319154</v>
      </c>
      <c r="H128" s="74">
        <f t="shared" si="113"/>
        <v>-3.342942423239692E-2</v>
      </c>
      <c r="I128" s="74">
        <f t="shared" si="113"/>
        <v>-3.8963328541009368E-2</v>
      </c>
      <c r="J128" s="74">
        <f t="shared" ref="J128:M128" si="114">(J32/J64-1)</f>
        <v>-5.6153042250507657E-2</v>
      </c>
      <c r="K128" s="74">
        <f t="shared" si="114"/>
        <v>-6.4781169300129116E-2</v>
      </c>
      <c r="L128" s="74">
        <f t="shared" si="114"/>
        <v>-9.6952948502739167E-2</v>
      </c>
      <c r="M128" s="74" t="e">
        <f t="shared" si="114"/>
        <v>#DIV/0!</v>
      </c>
    </row>
  </sheetData>
  <mergeCells count="4">
    <mergeCell ref="B2:M2"/>
    <mergeCell ref="B34:M34"/>
    <mergeCell ref="B66:M66"/>
    <mergeCell ref="B98:M98"/>
  </mergeCells>
  <conditionalFormatting sqref="D68:M96 I100:M121 D100:H123 D124:M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1640625" defaultRowHeight="14.5"/>
  <cols>
    <col min="1" max="1" width="41.1796875" customWidth="1"/>
    <col min="2" max="2" width="23.453125" customWidth="1"/>
    <col min="3" max="3" width="10.453125" customWidth="1"/>
  </cols>
  <sheetData>
    <row r="1" spans="1:12">
      <c r="A1" s="75" t="s">
        <v>178</v>
      </c>
      <c r="B1" s="75" t="s">
        <v>179</v>
      </c>
      <c r="C1" s="78" t="s">
        <v>190</v>
      </c>
      <c r="D1" s="78" t="s">
        <v>191</v>
      </c>
      <c r="E1" s="78" t="s">
        <v>175</v>
      </c>
      <c r="F1" s="78" t="s">
        <v>176</v>
      </c>
      <c r="G1" s="78" t="s">
        <v>177</v>
      </c>
      <c r="H1" s="78" t="s">
        <v>765</v>
      </c>
      <c r="I1" s="78" t="s">
        <v>766</v>
      </c>
      <c r="J1" s="78" t="s">
        <v>767</v>
      </c>
      <c r="K1" s="78" t="s">
        <v>1157</v>
      </c>
    </row>
    <row r="2" spans="1:12">
      <c r="A2" t="s">
        <v>192</v>
      </c>
      <c r="B2" t="s">
        <v>193</v>
      </c>
      <c r="C2" s="70">
        <f>Grants!Y75</f>
        <v>427.26494400000001</v>
      </c>
      <c r="D2" s="70">
        <f>Grants!Z75</f>
        <v>418.03001728324807</v>
      </c>
      <c r="E2" s="70">
        <f>Grants!AA75</f>
        <v>422.5102225824408</v>
      </c>
      <c r="F2" s="70">
        <f>Grants!AB75</f>
        <v>427.2815256817579</v>
      </c>
      <c r="G2" s="70">
        <f>Grants!AC75</f>
        <v>410.47107700000004</v>
      </c>
      <c r="H2" s="70">
        <f>Grants!AD75</f>
        <v>405.8184041145779</v>
      </c>
      <c r="I2" s="70">
        <f>Grants!AE75</f>
        <v>408.36749628573835</v>
      </c>
      <c r="J2" s="70">
        <f>Grants!AF75</f>
        <v>407.0560067810282</v>
      </c>
      <c r="K2" s="70">
        <f>Grants!AG75</f>
        <v>409.781722</v>
      </c>
      <c r="L2" s="70"/>
    </row>
    <row r="3" spans="1:12">
      <c r="A3" t="s">
        <v>134</v>
      </c>
      <c r="B3" t="s">
        <v>194</v>
      </c>
      <c r="C3" s="70">
        <f>Grants!Y96</f>
        <v>77.707285714285717</v>
      </c>
      <c r="D3" s="70">
        <f>Grants!Z96</f>
        <v>77.707285714285717</v>
      </c>
      <c r="E3" s="70">
        <f>Grants!AA96</f>
        <v>77.707285714285717</v>
      </c>
      <c r="F3" s="70">
        <f>Grants!AB96</f>
        <v>79.301285714285726</v>
      </c>
      <c r="G3" s="70">
        <f>Grants!AC96</f>
        <v>79.301285714285726</v>
      </c>
      <c r="H3" s="70">
        <f>Grants!AD96</f>
        <v>75.229285714285723</v>
      </c>
      <c r="I3" s="70">
        <f>Grants!AE96</f>
        <v>75.229285714285723</v>
      </c>
      <c r="J3" s="70">
        <f>Grants!AF96</f>
        <v>75.229285714285723</v>
      </c>
      <c r="K3" s="70">
        <f>Grants!AG96</f>
        <v>75.229285714285723</v>
      </c>
      <c r="L3" s="70"/>
    </row>
    <row r="4" spans="1:12">
      <c r="A4" t="s">
        <v>195</v>
      </c>
      <c r="B4" t="s">
        <v>196</v>
      </c>
      <c r="C4" s="70">
        <f>'Federal and State Purchases'!Y11</f>
        <v>1837.4</v>
      </c>
      <c r="D4" s="70">
        <f>'Federal and State Purchases'!Z11</f>
        <v>1825.6946245721695</v>
      </c>
      <c r="E4" s="70">
        <f>'Federal and State Purchases'!AA11</f>
        <v>1824.7079499083909</v>
      </c>
      <c r="F4" s="70">
        <f>'Federal and State Purchases'!AB11</f>
        <v>1842.722974448649</v>
      </c>
      <c r="G4" s="70">
        <f>'Federal and State Purchases'!AC11</f>
        <v>1864.4617545065134</v>
      </c>
      <c r="H4" s="70">
        <f>'Federal and State Purchases'!AD11</f>
        <v>1887.0641967723745</v>
      </c>
      <c r="I4" s="70">
        <f>'Federal and State Purchases'!AE11</f>
        <v>1910.2363352794166</v>
      </c>
      <c r="J4" s="70">
        <f>'Federal and State Purchases'!AF11</f>
        <v>1923.8766679807525</v>
      </c>
      <c r="K4" s="70">
        <f>'Federal and State Purchases'!AG11</f>
        <v>1936.1957022275615</v>
      </c>
      <c r="L4" s="70"/>
    </row>
    <row r="5" spans="1:12">
      <c r="A5" t="s">
        <v>197</v>
      </c>
      <c r="B5" t="s">
        <v>198</v>
      </c>
      <c r="C5" s="70">
        <f>'Federal and State Purchases'!Y27</f>
        <v>3103.6</v>
      </c>
      <c r="D5" s="70">
        <f>'Federal and State Purchases'!Z27</f>
        <v>3143.6834211166383</v>
      </c>
      <c r="E5" s="70">
        <f>'Federal and State Purchases'!AA27</f>
        <v>3173.0556045016788</v>
      </c>
      <c r="F5" s="70">
        <f>'Federal and State Purchases'!AB27</f>
        <v>3202.0540144700153</v>
      </c>
      <c r="G5" s="70">
        <f>'Federal and State Purchases'!AC27</f>
        <v>3230.0235873157189</v>
      </c>
      <c r="H5" s="70">
        <f>'Federal and State Purchases'!AD27</f>
        <v>3258.1273261947244</v>
      </c>
      <c r="I5" s="70">
        <f>'Federal and State Purchases'!AE27</f>
        <v>3285.2129820722521</v>
      </c>
      <c r="J5" s="70">
        <f>'Federal and State Purchases'!AF27</f>
        <v>3312.2754217136699</v>
      </c>
      <c r="K5" s="70">
        <f>'Federal and State Purchases'!AG27</f>
        <v>3340.4653146443643</v>
      </c>
      <c r="L5" s="70"/>
    </row>
    <row r="6" spans="1:12">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c r="A10" s="56" t="s">
        <v>207</v>
      </c>
      <c r="B10" s="56" t="s">
        <v>208</v>
      </c>
      <c r="C10" s="70">
        <f>Medicaid!Y29</f>
        <v>613.56899999999996</v>
      </c>
      <c r="D10" s="70">
        <f>Medicaid!Z29</f>
        <v>632.92691652098893</v>
      </c>
      <c r="E10" s="70">
        <f>Medicaid!AA29</f>
        <v>637.01889906864915</v>
      </c>
      <c r="F10" s="70">
        <f>Medicaid!AB29</f>
        <v>639.34620048688248</v>
      </c>
      <c r="G10" s="70">
        <f>Medicaid!AC29</f>
        <v>641.68200452866301</v>
      </c>
      <c r="H10" s="70">
        <f>Medicaid!AD29</f>
        <v>644.02634225769702</v>
      </c>
      <c r="I10" s="70">
        <f>Medicaid!AE29</f>
        <v>646.37924485117935</v>
      </c>
      <c r="J10" s="70">
        <f>Medicaid!AF29</f>
        <v>650.10964612892383</v>
      </c>
      <c r="K10" s="70">
        <f>Medicaid!AG29</f>
        <v>653.86157639882549</v>
      </c>
      <c r="L10" s="70"/>
    </row>
    <row r="11" spans="1:12">
      <c r="A11" s="56" t="s">
        <v>209</v>
      </c>
      <c r="B11" s="56" t="s">
        <v>210</v>
      </c>
      <c r="C11" s="70">
        <f>Medicaid!Y27</f>
        <v>916.9</v>
      </c>
      <c r="D11" s="70">
        <f>Medicaid!Z27</f>
        <v>945.8279179001787</v>
      </c>
      <c r="E11" s="70">
        <f>Medicaid!AA27</f>
        <v>951.94285981860958</v>
      </c>
      <c r="F11" s="70">
        <f>Medicaid!AB27</f>
        <v>955.42071262795628</v>
      </c>
      <c r="G11" s="70">
        <f>Medicaid!AC27</f>
        <v>958.91127151523483</v>
      </c>
      <c r="H11" s="70">
        <f>Medicaid!AD27</f>
        <v>962.41458290116088</v>
      </c>
      <c r="I11" s="70">
        <f>Medicaid!AE27</f>
        <v>965.9306933760447</v>
      </c>
      <c r="J11" s="70">
        <f>Medicaid!AF27</f>
        <v>971.50529856562218</v>
      </c>
      <c r="K11" s="70">
        <f>Medicaid!AG27</f>
        <v>977.11207606655989</v>
      </c>
      <c r="L11" s="70"/>
    </row>
    <row r="12" spans="1:12">
      <c r="A12" t="s">
        <v>55</v>
      </c>
      <c r="B12" t="s">
        <v>211</v>
      </c>
      <c r="C12" s="70">
        <f>Medicare!Y10</f>
        <v>965.3</v>
      </c>
      <c r="D12" s="70">
        <f>Medicare!Z10</f>
        <v>980.56003292022876</v>
      </c>
      <c r="E12" s="70">
        <f>Medicare!AA10</f>
        <v>996.18777418821298</v>
      </c>
      <c r="F12" s="70">
        <f>Medicare!AB10</f>
        <v>1008.812306797969</v>
      </c>
      <c r="G12" s="70">
        <f>Medicare!AC10</f>
        <v>1021.5968281445319</v>
      </c>
      <c r="H12" s="70">
        <f>Medicare!AD10</f>
        <v>1034.5433657402616</v>
      </c>
      <c r="I12" s="70">
        <f>Medicare!AE10</f>
        <v>1047.6539727918666</v>
      </c>
      <c r="J12" s="70">
        <f>Medicare!AF10</f>
        <v>1064.1436593437684</v>
      </c>
      <c r="K12" s="70">
        <f>Medicare!AG10</f>
        <v>1080.8928874710773</v>
      </c>
      <c r="L12" s="70"/>
    </row>
    <row r="13" spans="1:12">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c r="A16" t="s">
        <v>797</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c r="A17" t="s">
        <v>220</v>
      </c>
      <c r="B17" t="s">
        <v>221</v>
      </c>
      <c r="C17" s="70">
        <f>'Social Benefits'!Y33</f>
        <v>2046.499</v>
      </c>
      <c r="D17" s="70">
        <f>'Social Benefits'!Z33</f>
        <v>2053.4323333333332</v>
      </c>
      <c r="E17" s="70">
        <f>'Social Benefits'!AA33</f>
        <v>2060.3656666666666</v>
      </c>
      <c r="F17" s="70">
        <f>'Social Benefits'!AB33</f>
        <v>2068.8270000000002</v>
      </c>
      <c r="G17" s="70">
        <f>'Social Benefits'!AC33</f>
        <v>2110.6089412743336</v>
      </c>
      <c r="H17" s="70">
        <f>'Social Benefits'!AD33</f>
        <v>2117.542274607667</v>
      </c>
      <c r="I17" s="70">
        <f>'Social Benefits'!AE33</f>
        <v>2124.4756079410004</v>
      </c>
      <c r="J17" s="70">
        <f>'Social Benefits'!AF33</f>
        <v>2115.1699412743337</v>
      </c>
      <c r="K17" s="70">
        <f>'Social Benefits'!AG33</f>
        <v>2159.15720553131</v>
      </c>
      <c r="L17" s="70"/>
    </row>
    <row r="18" spans="1:12">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c r="A19" t="s">
        <v>224</v>
      </c>
      <c r="B19" t="s">
        <v>225</v>
      </c>
      <c r="C19" s="70">
        <f>Taxes!Y9</f>
        <v>4381.5</v>
      </c>
      <c r="D19" s="70">
        <f>Taxes!Z9</f>
        <v>4464.988320834409</v>
      </c>
      <c r="E19" s="70">
        <f>Taxes!AA9</f>
        <v>4497.010445756734</v>
      </c>
      <c r="F19" s="70">
        <f>Taxes!AB9</f>
        <v>4528.0426969786186</v>
      </c>
      <c r="G19" s="70">
        <f>Taxes!AC9</f>
        <v>4601.4561928739067</v>
      </c>
      <c r="H19" s="70">
        <f>Taxes!AD9</f>
        <v>4633.1814901803309</v>
      </c>
      <c r="I19" s="70">
        <f>Taxes!AE9</f>
        <v>4665.1529828726379</v>
      </c>
      <c r="J19" s="70">
        <f>Taxes!AF9</f>
        <v>4697.372840770222</v>
      </c>
      <c r="K19" s="70">
        <f>Taxes!AG9</f>
        <v>4780.1184210201982</v>
      </c>
      <c r="L19" s="70"/>
    </row>
    <row r="20" spans="1:12">
      <c r="A20" t="s">
        <v>226</v>
      </c>
      <c r="B20" t="s">
        <v>227</v>
      </c>
      <c r="C20" s="70">
        <f>Taxes!Y19</f>
        <v>2296.6999999999998</v>
      </c>
      <c r="D20" s="70">
        <f>Taxes!Z19</f>
        <v>2315.2235824181621</v>
      </c>
      <c r="E20" s="70">
        <f>Taxes!AA19</f>
        <v>2347.0677549482875</v>
      </c>
      <c r="F20" s="70">
        <f>Taxes!AB19</f>
        <v>2370.910285239449</v>
      </c>
      <c r="G20" s="70">
        <f>Taxes!AC19</f>
        <v>2395.4883941419525</v>
      </c>
      <c r="H20" s="70">
        <f>Taxes!AD19</f>
        <v>2420.0058245704026</v>
      </c>
      <c r="I20" s="70">
        <f>Taxes!AE19</f>
        <v>2443.5642635095865</v>
      </c>
      <c r="J20" s="70">
        <f>Taxes!AF19</f>
        <v>2466.8106652938673</v>
      </c>
      <c r="K20" s="70">
        <f>Taxes!AG19</f>
        <v>2487.6029479748304</v>
      </c>
      <c r="L20" s="70"/>
    </row>
    <row r="21" spans="1:12">
      <c r="A21" t="s">
        <v>228</v>
      </c>
      <c r="B21" t="s">
        <v>229</v>
      </c>
      <c r="C21" s="70">
        <f>Taxes!Y16</f>
        <v>453.8</v>
      </c>
      <c r="D21" s="70">
        <f>Taxes!Z16</f>
        <v>464.97471675520438</v>
      </c>
      <c r="E21" s="70">
        <f>Taxes!AA16</f>
        <v>476.42460824500336</v>
      </c>
      <c r="F21" s="70">
        <f>Taxes!AB16</f>
        <v>485.99246115610663</v>
      </c>
      <c r="G21" s="70">
        <f>Taxes!AC16</f>
        <v>495.7524615922207</v>
      </c>
      <c r="H21" s="70">
        <f>Taxes!AD16</f>
        <v>505.70846837848751</v>
      </c>
      <c r="I21" s="70">
        <f>Taxes!AE16</f>
        <v>515.86441783535611</v>
      </c>
      <c r="J21" s="70">
        <f>Taxes!AF16</f>
        <v>526.22432533489143</v>
      </c>
      <c r="K21" s="70">
        <f>Taxes!AG16</f>
        <v>536.79228688833746</v>
      </c>
      <c r="L21" s="70"/>
    </row>
    <row r="22" spans="1:12">
      <c r="A22" t="s">
        <v>230</v>
      </c>
      <c r="B22" t="s">
        <v>231</v>
      </c>
      <c r="C22" s="70">
        <f>Taxes!Y25</f>
        <v>169.1</v>
      </c>
      <c r="D22" s="70">
        <f>Taxes!Z25</f>
        <v>172.78949768486035</v>
      </c>
      <c r="E22" s="70">
        <f>Taxes!AA25</f>
        <v>175.48840676301387</v>
      </c>
      <c r="F22" s="70">
        <f>Taxes!AB25</f>
        <v>176.81116879472424</v>
      </c>
      <c r="G22" s="70">
        <f>Taxes!AC25</f>
        <v>178.43051424161635</v>
      </c>
      <c r="H22" s="70">
        <f>Taxes!AD25</f>
        <v>180.04392802020482</v>
      </c>
      <c r="I22" s="70">
        <f>Taxes!AE25</f>
        <v>181.0701066367335</v>
      </c>
      <c r="J22" s="70">
        <f>Taxes!AF25</f>
        <v>181.15908166128801</v>
      </c>
      <c r="K22" s="70">
        <f>Taxes!AG25</f>
        <v>180.36423810860106</v>
      </c>
      <c r="L22" s="70"/>
    </row>
    <row r="23" spans="1:12">
      <c r="A23" s="56" t="s">
        <v>1385</v>
      </c>
      <c r="B23" t="s">
        <v>1384</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c r="A24" s="77"/>
      <c r="B24" t="s">
        <v>1907</v>
      </c>
      <c r="C24" s="70">
        <f>'Supply Side IRA'!Y14</f>
        <v>123.69179914307749</v>
      </c>
      <c r="D24" s="70">
        <f>'Supply Side IRA'!Z14</f>
        <v>127.72437784850848</v>
      </c>
      <c r="E24" s="70">
        <f>'Supply Side IRA'!AA14</f>
        <v>131.46353647701008</v>
      </c>
      <c r="F24" s="70">
        <f>'Supply Side IRA'!AB14</f>
        <v>135.1017576210221</v>
      </c>
      <c r="G24" s="70">
        <f>'Supply Side IRA'!AC14</f>
        <v>138.71843725919896</v>
      </c>
      <c r="H24" s="70">
        <f>'Supply Side IRA'!AD14</f>
        <v>142.30543339016739</v>
      </c>
      <c r="I24" s="70">
        <f>'Supply Side IRA'!AE14</f>
        <v>145.84032049073122</v>
      </c>
      <c r="J24" s="70">
        <f>'Supply Side IRA'!AF14</f>
        <v>149.34489919786131</v>
      </c>
      <c r="K24" s="70">
        <f>'Supply Side IRA'!AG14</f>
        <v>151.58482045676931</v>
      </c>
    </row>
    <row r="25" spans="1:12">
      <c r="A25" s="68"/>
      <c r="C25" s="72"/>
      <c r="D25" s="72"/>
      <c r="E25" s="72"/>
      <c r="F25" s="72"/>
      <c r="G25" s="72"/>
    </row>
    <row r="26" spans="1:12">
      <c r="A26" s="68"/>
      <c r="C26" s="72"/>
      <c r="D26" s="72"/>
      <c r="E26" s="72"/>
      <c r="F26" s="72"/>
      <c r="G26" s="72"/>
    </row>
    <row r="27" spans="1:12">
      <c r="A27" s="68"/>
      <c r="C27" s="72"/>
      <c r="D27" s="72"/>
      <c r="E27" s="72"/>
      <c r="F27" s="72"/>
      <c r="G27" s="72"/>
    </row>
    <row r="28" spans="1:12">
      <c r="A28" s="56"/>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4"/>
  <sheetViews>
    <sheetView zoomScale="120" zoomScaleNormal="120" workbookViewId="0">
      <pane xSplit="2" ySplit="7" topLeftCell="S22" activePane="bottomRight" state="frozen"/>
      <selection pane="topRight" activeCell="C1" sqref="C1"/>
      <selection pane="bottomLeft" activeCell="A8" sqref="A8"/>
      <selection pane="bottomRight" activeCell="X32" sqref="X32"/>
    </sheetView>
  </sheetViews>
  <sheetFormatPr defaultColWidth="10.81640625" defaultRowHeight="14.5"/>
  <cols>
    <col min="1" max="1" width="6.54296875" customWidth="1"/>
    <col min="2" max="2" width="65" customWidth="1"/>
    <col min="3" max="25" width="11.54296875" customWidth="1"/>
  </cols>
  <sheetData>
    <row r="2" spans="1:29" ht="21" customHeight="1">
      <c r="A2" s="1282" t="s">
        <v>1812</v>
      </c>
      <c r="B2" s="1282"/>
      <c r="C2" s="1282"/>
      <c r="D2" s="1282"/>
      <c r="E2" s="1282"/>
      <c r="F2" s="1282"/>
      <c r="G2" s="1282"/>
      <c r="H2" s="1282"/>
      <c r="I2" s="1282"/>
      <c r="J2" s="1282"/>
      <c r="K2" s="123"/>
      <c r="L2" s="146"/>
      <c r="M2" s="158"/>
      <c r="N2" s="133"/>
      <c r="O2" s="146"/>
      <c r="P2" s="158"/>
      <c r="Q2" s="133"/>
      <c r="R2" s="146"/>
      <c r="S2" s="158"/>
      <c r="T2" s="133"/>
      <c r="U2" s="146"/>
      <c r="V2" s="158"/>
      <c r="W2" s="133"/>
      <c r="X2" s="146"/>
      <c r="Y2" s="158"/>
      <c r="Z2" s="75"/>
      <c r="AA2" s="75"/>
      <c r="AB2" s="75"/>
      <c r="AC2" s="75"/>
    </row>
    <row r="3" spans="1:29">
      <c r="A3" s="75" t="s">
        <v>884</v>
      </c>
      <c r="B3" s="75"/>
      <c r="C3" s="75"/>
      <c r="D3" s="75"/>
      <c r="E3" s="75"/>
      <c r="F3" s="75"/>
      <c r="G3" s="75"/>
      <c r="H3" s="75"/>
      <c r="I3" s="75"/>
      <c r="J3" s="75"/>
      <c r="K3" s="75"/>
      <c r="L3" s="147"/>
      <c r="M3" s="159"/>
      <c r="N3" s="134"/>
      <c r="O3" s="147"/>
      <c r="P3" s="159"/>
      <c r="Q3" s="134"/>
      <c r="R3" s="147"/>
      <c r="S3" s="159"/>
      <c r="T3" s="134"/>
      <c r="U3" s="147"/>
      <c r="V3" s="159"/>
      <c r="W3" s="134"/>
      <c r="X3" s="147"/>
      <c r="Y3" s="159"/>
      <c r="Z3" s="75"/>
      <c r="AA3" s="75"/>
      <c r="AB3" s="75"/>
      <c r="AC3" s="75"/>
    </row>
    <row r="4" spans="1:29" ht="15" customHeight="1">
      <c r="A4" s="1283"/>
      <c r="B4" s="1283"/>
      <c r="C4" s="1283"/>
      <c r="D4" s="80"/>
      <c r="E4" s="80"/>
      <c r="F4" s="80"/>
      <c r="G4" s="80"/>
      <c r="H4" s="80"/>
      <c r="I4" s="80"/>
      <c r="J4" s="80"/>
      <c r="K4" s="80"/>
      <c r="L4" s="148"/>
      <c r="M4" s="160"/>
      <c r="N4" s="136"/>
      <c r="O4" s="148"/>
      <c r="P4" s="160"/>
      <c r="Q4" s="136"/>
      <c r="R4" s="148"/>
      <c r="S4" s="160"/>
      <c r="T4" s="136"/>
      <c r="U4" s="148"/>
      <c r="V4" s="160"/>
      <c r="W4" s="136"/>
      <c r="X4" s="148"/>
      <c r="Y4" s="160"/>
    </row>
    <row r="5" spans="1:29">
      <c r="A5" s="1284" t="s">
        <v>815</v>
      </c>
      <c r="B5" s="1287"/>
      <c r="C5" s="1290" t="s">
        <v>896</v>
      </c>
      <c r="D5" s="1290" t="s">
        <v>896</v>
      </c>
      <c r="E5" s="1290" t="s">
        <v>896</v>
      </c>
      <c r="F5" s="1290" t="s">
        <v>896</v>
      </c>
      <c r="G5" s="1290" t="s">
        <v>896</v>
      </c>
      <c r="H5" s="1290" t="s">
        <v>896</v>
      </c>
      <c r="I5" s="1290" t="s">
        <v>896</v>
      </c>
      <c r="J5" s="1291" t="s">
        <v>896</v>
      </c>
      <c r="K5" s="181"/>
      <c r="L5" s="149"/>
      <c r="M5" s="162"/>
      <c r="N5" s="137"/>
      <c r="O5" s="149"/>
      <c r="P5" s="162"/>
      <c r="Q5" s="137"/>
      <c r="R5" s="149"/>
      <c r="S5" s="162"/>
      <c r="T5" s="137"/>
      <c r="U5" s="149"/>
      <c r="V5" s="162"/>
      <c r="W5" s="137"/>
      <c r="X5" s="149"/>
      <c r="Y5" s="162"/>
    </row>
    <row r="6" spans="1:29">
      <c r="A6" s="1285" t="s">
        <v>815</v>
      </c>
      <c r="B6" s="1288"/>
      <c r="C6" s="1292">
        <v>2022</v>
      </c>
      <c r="D6" s="1293"/>
      <c r="E6" s="1293"/>
      <c r="F6" s="1293"/>
      <c r="G6" s="1293"/>
      <c r="H6" s="1294"/>
      <c r="I6" s="1292">
        <v>2023</v>
      </c>
      <c r="J6" s="1293">
        <v>2023</v>
      </c>
      <c r="K6" s="1294">
        <v>2023</v>
      </c>
      <c r="L6" s="150"/>
      <c r="M6" s="163"/>
      <c r="N6" s="138"/>
      <c r="O6" s="150"/>
      <c r="P6" s="163"/>
      <c r="Q6" s="138"/>
      <c r="R6" s="150"/>
      <c r="S6" s="163"/>
      <c r="T6" s="138"/>
      <c r="U6" s="150"/>
      <c r="V6" s="163"/>
      <c r="W6" s="138"/>
      <c r="X6" s="150"/>
      <c r="Y6" s="163"/>
    </row>
    <row r="7" spans="1:29" ht="32.5" customHeight="1">
      <c r="A7" s="1286" t="s">
        <v>815</v>
      </c>
      <c r="B7" s="1289"/>
      <c r="C7" s="186" t="s">
        <v>1754</v>
      </c>
      <c r="D7" s="186" t="s">
        <v>1832</v>
      </c>
      <c r="E7" s="186" t="s">
        <v>1833</v>
      </c>
      <c r="F7" s="186" t="s">
        <v>1837</v>
      </c>
      <c r="G7" s="186" t="s">
        <v>1838</v>
      </c>
      <c r="H7" s="186" t="s">
        <v>1839</v>
      </c>
      <c r="I7" s="186" t="s">
        <v>234</v>
      </c>
      <c r="J7" s="186" t="s">
        <v>235</v>
      </c>
      <c r="K7" s="186" t="s">
        <v>1910</v>
      </c>
      <c r="L7" s="82" t="s">
        <v>1919</v>
      </c>
      <c r="M7" s="88" t="s">
        <v>1920</v>
      </c>
      <c r="N7" s="81" t="s">
        <v>1929</v>
      </c>
      <c r="O7" s="82" t="s">
        <v>1930</v>
      </c>
      <c r="P7" s="88" t="s">
        <v>1832</v>
      </c>
      <c r="Q7" s="81" t="s">
        <v>1833</v>
      </c>
      <c r="R7" s="82" t="s">
        <v>1837</v>
      </c>
      <c r="S7" s="88" t="s">
        <v>1838</v>
      </c>
      <c r="T7" s="81" t="s">
        <v>2281</v>
      </c>
      <c r="U7" s="82" t="s">
        <v>2282</v>
      </c>
      <c r="V7" s="88" t="s">
        <v>2283</v>
      </c>
      <c r="W7" s="81" t="s">
        <v>2284</v>
      </c>
      <c r="X7" s="82" t="s">
        <v>2285</v>
      </c>
      <c r="Y7" s="1239" t="s">
        <v>2286</v>
      </c>
      <c r="Z7" s="126" t="s">
        <v>1938</v>
      </c>
    </row>
    <row r="8" spans="1:29">
      <c r="A8" s="171">
        <v>1</v>
      </c>
      <c r="B8" s="46" t="s">
        <v>239</v>
      </c>
      <c r="C8" s="187">
        <v>21852.3</v>
      </c>
      <c r="D8" s="187">
        <v>21975.8</v>
      </c>
      <c r="E8" s="188">
        <v>22080.400000000001</v>
      </c>
      <c r="F8" s="188">
        <v>22201.9</v>
      </c>
      <c r="G8" s="188">
        <v>22240.1</v>
      </c>
      <c r="H8" s="188">
        <v>22281.9</v>
      </c>
      <c r="I8" s="187">
        <v>22525.3</v>
      </c>
      <c r="J8" s="188">
        <v>22648.400000000001</v>
      </c>
      <c r="K8" s="187">
        <v>22757.9</v>
      </c>
      <c r="L8" s="83">
        <v>22806.1</v>
      </c>
      <c r="M8" s="90">
        <v>22876.6</v>
      </c>
      <c r="N8" s="100">
        <v>22921.4</v>
      </c>
      <c r="O8" s="175">
        <v>22986.400000000001</v>
      </c>
      <c r="P8" s="90">
        <v>23094.5</v>
      </c>
      <c r="Q8" s="100">
        <v>23176.2</v>
      </c>
      <c r="R8" s="83">
        <v>23189.4</v>
      </c>
      <c r="S8" s="90">
        <v>23241.5</v>
      </c>
      <c r="T8" s="106">
        <v>23311.599999999999</v>
      </c>
      <c r="U8" s="83">
        <v>23560</v>
      </c>
      <c r="V8" s="90">
        <v>23626.3</v>
      </c>
      <c r="W8" s="106">
        <v>23746.6</v>
      </c>
      <c r="X8" s="112">
        <v>23809.599999999999</v>
      </c>
      <c r="Y8" s="1240">
        <v>23923.7</v>
      </c>
    </row>
    <row r="9" spans="1:29">
      <c r="A9" s="172">
        <v>2</v>
      </c>
      <c r="B9" s="129" t="s">
        <v>1755</v>
      </c>
      <c r="C9" s="189">
        <v>13654.1</v>
      </c>
      <c r="D9" s="189">
        <v>13754.9</v>
      </c>
      <c r="E9" s="190">
        <v>13856.1</v>
      </c>
      <c r="F9" s="190">
        <v>13828.8</v>
      </c>
      <c r="G9" s="190">
        <v>13822.8</v>
      </c>
      <c r="H9" s="190">
        <v>13832.7</v>
      </c>
      <c r="I9" s="189">
        <v>13885.2</v>
      </c>
      <c r="J9" s="190">
        <v>13968.7</v>
      </c>
      <c r="K9" s="189">
        <v>14041.7</v>
      </c>
      <c r="L9" s="84">
        <v>14092.7</v>
      </c>
      <c r="M9" s="89">
        <v>14151.1</v>
      </c>
      <c r="N9" s="102">
        <v>14218.6</v>
      </c>
      <c r="O9" s="176">
        <v>14296.4</v>
      </c>
      <c r="P9" s="89">
        <v>14372.7</v>
      </c>
      <c r="Q9" s="102">
        <v>14437.1</v>
      </c>
      <c r="R9" s="84">
        <v>14416.2</v>
      </c>
      <c r="S9" s="89">
        <v>14436.6</v>
      </c>
      <c r="T9" s="107">
        <v>14491.6</v>
      </c>
      <c r="U9" s="84">
        <v>14555.2</v>
      </c>
      <c r="V9" s="89">
        <v>14649.5</v>
      </c>
      <c r="W9" s="107">
        <v>14729.9</v>
      </c>
      <c r="X9" s="113">
        <v>14764.7</v>
      </c>
      <c r="Y9" s="1240">
        <v>14859.1</v>
      </c>
    </row>
    <row r="10" spans="1:29">
      <c r="A10" s="172">
        <v>3</v>
      </c>
      <c r="B10" s="130" t="s">
        <v>1756</v>
      </c>
      <c r="C10" s="189">
        <v>11271.8</v>
      </c>
      <c r="D10" s="189">
        <v>11360.7</v>
      </c>
      <c r="E10" s="190">
        <v>11450.6</v>
      </c>
      <c r="F10" s="190">
        <v>11420.4</v>
      </c>
      <c r="G10" s="190">
        <v>11408.7</v>
      </c>
      <c r="H10" s="190">
        <v>11412.7</v>
      </c>
      <c r="I10" s="189">
        <v>11494.7</v>
      </c>
      <c r="J10" s="190">
        <v>11568.5</v>
      </c>
      <c r="K10" s="189">
        <v>11633.1</v>
      </c>
      <c r="L10" s="84">
        <v>11680.1</v>
      </c>
      <c r="M10" s="89">
        <v>11730.8</v>
      </c>
      <c r="N10" s="102">
        <v>11788.9</v>
      </c>
      <c r="O10" s="176">
        <v>11855.6</v>
      </c>
      <c r="P10" s="89">
        <v>11921.2</v>
      </c>
      <c r="Q10" s="102">
        <v>11975.7</v>
      </c>
      <c r="R10" s="84">
        <v>11950.9</v>
      </c>
      <c r="S10" s="89">
        <v>11965.4</v>
      </c>
      <c r="T10" s="107">
        <v>12011.8</v>
      </c>
      <c r="U10" s="84">
        <v>12059.7</v>
      </c>
      <c r="V10" s="89">
        <v>12143.3</v>
      </c>
      <c r="W10" s="107">
        <v>12213.8</v>
      </c>
      <c r="X10" s="113">
        <v>12242</v>
      </c>
      <c r="Y10" s="1240">
        <v>12325.5</v>
      </c>
    </row>
    <row r="11" spans="1:29">
      <c r="A11" s="172">
        <v>4</v>
      </c>
      <c r="B11" s="135" t="s">
        <v>1757</v>
      </c>
      <c r="C11" s="191">
        <v>9656.4</v>
      </c>
      <c r="D11" s="191">
        <v>9735.9</v>
      </c>
      <c r="E11" s="192">
        <v>9819.5</v>
      </c>
      <c r="F11" s="192">
        <v>9785.7999999999993</v>
      </c>
      <c r="G11" s="192">
        <v>9763.9</v>
      </c>
      <c r="H11" s="192">
        <v>9762.2999999999993</v>
      </c>
      <c r="I11" s="191">
        <v>9818.2999999999993</v>
      </c>
      <c r="J11" s="192">
        <v>9882.7999999999993</v>
      </c>
      <c r="K11" s="191">
        <v>9937.7000000000007</v>
      </c>
      <c r="L11" s="85">
        <v>9976.9</v>
      </c>
      <c r="M11" s="91">
        <v>10019.799999999999</v>
      </c>
      <c r="N11" s="103">
        <v>10070.4</v>
      </c>
      <c r="O11" s="177">
        <v>10117.4</v>
      </c>
      <c r="P11" s="91">
        <v>10167.9</v>
      </c>
      <c r="Q11" s="103">
        <v>10207.1</v>
      </c>
      <c r="R11" s="85">
        <v>10171.700000000001</v>
      </c>
      <c r="S11" s="91">
        <v>10179.4</v>
      </c>
      <c r="T11" s="108">
        <v>10214.799999999999</v>
      </c>
      <c r="U11" s="85">
        <v>10247.799999999999</v>
      </c>
      <c r="V11" s="91">
        <v>10318.1</v>
      </c>
      <c r="W11" s="108">
        <v>10374.299999999999</v>
      </c>
      <c r="X11" s="114">
        <v>10395.200000000001</v>
      </c>
      <c r="Y11" s="1241">
        <v>10468.9</v>
      </c>
    </row>
    <row r="12" spans="1:29">
      <c r="A12" s="172">
        <v>5</v>
      </c>
      <c r="B12" s="131" t="s">
        <v>1758</v>
      </c>
      <c r="C12" s="191">
        <v>1767.7</v>
      </c>
      <c r="D12" s="191">
        <v>1780.1</v>
      </c>
      <c r="E12" s="192">
        <v>1797.4</v>
      </c>
      <c r="F12" s="192">
        <v>1795.8</v>
      </c>
      <c r="G12" s="192">
        <v>1793.7</v>
      </c>
      <c r="H12" s="192">
        <v>1789.6</v>
      </c>
      <c r="I12" s="191">
        <v>1804.5</v>
      </c>
      <c r="J12" s="192">
        <v>1806.7</v>
      </c>
      <c r="K12" s="191">
        <v>1818.5</v>
      </c>
      <c r="L12" s="85">
        <v>1828.4</v>
      </c>
      <c r="M12" s="91">
        <v>1836.7</v>
      </c>
      <c r="N12" s="103">
        <v>1847.2</v>
      </c>
      <c r="O12" s="177">
        <v>1859</v>
      </c>
      <c r="P12" s="91">
        <v>1867.1</v>
      </c>
      <c r="Q12" s="103">
        <v>1876.1</v>
      </c>
      <c r="R12" s="85">
        <v>1875.9</v>
      </c>
      <c r="S12" s="91">
        <v>1879.8</v>
      </c>
      <c r="T12" s="108">
        <v>1881.1</v>
      </c>
      <c r="U12" s="85">
        <v>1887.9</v>
      </c>
      <c r="V12" s="91">
        <v>1903.8</v>
      </c>
      <c r="W12" s="108">
        <v>1921.6</v>
      </c>
      <c r="X12" s="114">
        <v>1926.3</v>
      </c>
      <c r="Y12" s="1241">
        <v>1941.2</v>
      </c>
    </row>
    <row r="13" spans="1:29">
      <c r="A13" s="172">
        <v>6</v>
      </c>
      <c r="B13" s="145" t="s">
        <v>1759</v>
      </c>
      <c r="C13" s="191">
        <v>1046.3</v>
      </c>
      <c r="D13" s="191">
        <v>1054.4000000000001</v>
      </c>
      <c r="E13" s="192">
        <v>1064.8</v>
      </c>
      <c r="F13" s="192">
        <v>1061.4000000000001</v>
      </c>
      <c r="G13" s="192">
        <v>1055.5</v>
      </c>
      <c r="H13" s="192">
        <v>1046.9000000000001</v>
      </c>
      <c r="I13" s="191">
        <v>1066</v>
      </c>
      <c r="J13" s="192">
        <v>1064.3</v>
      </c>
      <c r="K13" s="191">
        <v>1071.2</v>
      </c>
      <c r="L13" s="85">
        <v>1077.3</v>
      </c>
      <c r="M13" s="91">
        <v>1079.5</v>
      </c>
      <c r="N13" s="103">
        <v>1088.5999999999999</v>
      </c>
      <c r="O13" s="177">
        <v>1096.9000000000001</v>
      </c>
      <c r="P13" s="91">
        <v>1102.2</v>
      </c>
      <c r="Q13" s="103">
        <v>1108.5999999999999</v>
      </c>
      <c r="R13" s="85">
        <v>1103.3</v>
      </c>
      <c r="S13" s="91">
        <v>1103.3</v>
      </c>
      <c r="T13" s="108">
        <v>1101</v>
      </c>
      <c r="U13" s="85">
        <v>1103.5999999999999</v>
      </c>
      <c r="V13" s="91">
        <v>1114.8</v>
      </c>
      <c r="W13" s="108">
        <v>1125.3</v>
      </c>
      <c r="X13" s="114">
        <v>1126.8</v>
      </c>
      <c r="Y13" s="1241">
        <v>1138.5999999999999</v>
      </c>
    </row>
    <row r="14" spans="1:29">
      <c r="A14" s="172">
        <v>7</v>
      </c>
      <c r="B14" s="131" t="s">
        <v>1760</v>
      </c>
      <c r="C14" s="191">
        <v>7888.7</v>
      </c>
      <c r="D14" s="191">
        <v>7955.8</v>
      </c>
      <c r="E14" s="192">
        <v>8022.1</v>
      </c>
      <c r="F14" s="192">
        <v>7990</v>
      </c>
      <c r="G14" s="192">
        <v>7970.1</v>
      </c>
      <c r="H14" s="192">
        <v>7972.7</v>
      </c>
      <c r="I14" s="191">
        <v>8013.8</v>
      </c>
      <c r="J14" s="192">
        <v>8076.2</v>
      </c>
      <c r="K14" s="191">
        <v>8119.2</v>
      </c>
      <c r="L14" s="85">
        <v>8148.5</v>
      </c>
      <c r="M14" s="91">
        <v>8183.1</v>
      </c>
      <c r="N14" s="103">
        <v>8223.2000000000007</v>
      </c>
      <c r="O14" s="177">
        <v>8258.4</v>
      </c>
      <c r="P14" s="91">
        <v>8300.7999999999993</v>
      </c>
      <c r="Q14" s="103">
        <v>8331</v>
      </c>
      <c r="R14" s="85">
        <v>8295.7000000000007</v>
      </c>
      <c r="S14" s="91">
        <v>8299.6</v>
      </c>
      <c r="T14" s="108">
        <v>8333.7000000000007</v>
      </c>
      <c r="U14" s="85">
        <v>8360</v>
      </c>
      <c r="V14" s="91">
        <v>8414.2999999999993</v>
      </c>
      <c r="W14" s="108">
        <v>8452.7000000000007</v>
      </c>
      <c r="X14" s="114">
        <v>8468.9</v>
      </c>
      <c r="Y14" s="1241">
        <v>8527.7000000000007</v>
      </c>
    </row>
    <row r="15" spans="1:29">
      <c r="A15" s="172">
        <v>8</v>
      </c>
      <c r="B15" s="151" t="s">
        <v>1761</v>
      </c>
      <c r="C15" s="191">
        <v>1734</v>
      </c>
      <c r="D15" s="191">
        <v>1748.4</v>
      </c>
      <c r="E15" s="192">
        <v>1762.3</v>
      </c>
      <c r="F15" s="192">
        <v>1757.7</v>
      </c>
      <c r="G15" s="192">
        <v>1749.7</v>
      </c>
      <c r="H15" s="192">
        <v>1745.6</v>
      </c>
      <c r="I15" s="191">
        <v>1778.8</v>
      </c>
      <c r="J15" s="192">
        <v>1795.8</v>
      </c>
      <c r="K15" s="191">
        <v>1796</v>
      </c>
      <c r="L15" s="85">
        <v>1797.8</v>
      </c>
      <c r="M15" s="91">
        <v>1793.1</v>
      </c>
      <c r="N15" s="103">
        <v>1804.5</v>
      </c>
      <c r="O15" s="177">
        <v>1816.7</v>
      </c>
      <c r="P15" s="91">
        <v>1828</v>
      </c>
      <c r="Q15" s="103">
        <v>1837.3</v>
      </c>
      <c r="R15" s="85">
        <v>1825.7</v>
      </c>
      <c r="S15" s="91">
        <v>1822.5</v>
      </c>
      <c r="T15" s="108">
        <v>1833.5</v>
      </c>
      <c r="U15" s="85">
        <v>1833.8</v>
      </c>
      <c r="V15" s="91">
        <v>1851</v>
      </c>
      <c r="W15" s="108">
        <v>1850.9</v>
      </c>
      <c r="X15" s="114">
        <v>1851.2</v>
      </c>
      <c r="Y15" s="1241">
        <v>1866</v>
      </c>
    </row>
    <row r="16" spans="1:29">
      <c r="A16" s="172">
        <v>9</v>
      </c>
      <c r="B16" s="151" t="s">
        <v>1762</v>
      </c>
      <c r="C16" s="191">
        <v>6154.8</v>
      </c>
      <c r="D16" s="191">
        <v>6207.4</v>
      </c>
      <c r="E16" s="192">
        <v>6259.8</v>
      </c>
      <c r="F16" s="192">
        <v>6232.2</v>
      </c>
      <c r="G16" s="192">
        <v>6220.4</v>
      </c>
      <c r="H16" s="192">
        <v>6227.2</v>
      </c>
      <c r="I16" s="191">
        <v>6235</v>
      </c>
      <c r="J16" s="192">
        <v>6280.4</v>
      </c>
      <c r="K16" s="191">
        <v>6323.1</v>
      </c>
      <c r="L16" s="85">
        <v>6350.7</v>
      </c>
      <c r="M16" s="91">
        <v>6390</v>
      </c>
      <c r="N16" s="103">
        <v>6418.7</v>
      </c>
      <c r="O16" s="177">
        <v>6441.7</v>
      </c>
      <c r="P16" s="91">
        <v>6472.8</v>
      </c>
      <c r="Q16" s="103">
        <v>6493.8</v>
      </c>
      <c r="R16" s="85">
        <v>6470.1</v>
      </c>
      <c r="S16" s="91">
        <v>6477.1</v>
      </c>
      <c r="T16" s="108">
        <v>6500.2</v>
      </c>
      <c r="U16" s="85">
        <v>6526.2</v>
      </c>
      <c r="V16" s="91">
        <v>6563.3</v>
      </c>
      <c r="W16" s="108">
        <v>6601.8</v>
      </c>
      <c r="X16" s="114">
        <v>6617.6</v>
      </c>
      <c r="Y16" s="1241">
        <v>6661.7</v>
      </c>
    </row>
    <row r="17" spans="1:27" ht="16.399999999999999" customHeight="1">
      <c r="A17" s="172">
        <v>10</v>
      </c>
      <c r="B17" s="135" t="s">
        <v>1763</v>
      </c>
      <c r="C17" s="191">
        <v>1615.4</v>
      </c>
      <c r="D17" s="191">
        <v>1624.8</v>
      </c>
      <c r="E17" s="192">
        <v>1631.1</v>
      </c>
      <c r="F17" s="192">
        <v>1634.6</v>
      </c>
      <c r="G17" s="192">
        <v>1644.8</v>
      </c>
      <c r="H17" s="192">
        <v>1650.4</v>
      </c>
      <c r="I17" s="191">
        <v>1676.4</v>
      </c>
      <c r="J17" s="192">
        <v>1685.7</v>
      </c>
      <c r="K17" s="191">
        <v>1695.5</v>
      </c>
      <c r="L17" s="85">
        <v>1703.2</v>
      </c>
      <c r="M17" s="91">
        <v>1711</v>
      </c>
      <c r="N17" s="103">
        <v>1718.6</v>
      </c>
      <c r="O17" s="177">
        <v>1738.2</v>
      </c>
      <c r="P17" s="91">
        <v>1753.3</v>
      </c>
      <c r="Q17" s="103">
        <v>1768.6</v>
      </c>
      <c r="R17" s="85">
        <v>1779.3</v>
      </c>
      <c r="S17" s="91">
        <v>1786</v>
      </c>
      <c r="T17" s="108">
        <v>1797</v>
      </c>
      <c r="U17" s="85">
        <v>1811.9</v>
      </c>
      <c r="V17" s="91">
        <v>1825.2</v>
      </c>
      <c r="W17" s="108">
        <v>1839.5</v>
      </c>
      <c r="X17" s="114">
        <v>1846.8</v>
      </c>
      <c r="Y17" s="1241">
        <v>1856.7</v>
      </c>
    </row>
    <row r="18" spans="1:27" ht="16.399999999999999" customHeight="1">
      <c r="A18" s="172">
        <v>11</v>
      </c>
      <c r="B18" s="130" t="s">
        <v>1764</v>
      </c>
      <c r="C18" s="189">
        <v>2382.3000000000002</v>
      </c>
      <c r="D18" s="189">
        <v>2394.1</v>
      </c>
      <c r="E18" s="190">
        <v>2405.5</v>
      </c>
      <c r="F18" s="190">
        <v>2408.5</v>
      </c>
      <c r="G18" s="190">
        <v>2414.1</v>
      </c>
      <c r="H18" s="190">
        <v>2420</v>
      </c>
      <c r="I18" s="189">
        <v>2390.6</v>
      </c>
      <c r="J18" s="190">
        <v>2400.1999999999998</v>
      </c>
      <c r="K18" s="189">
        <v>2408.6</v>
      </c>
      <c r="L18" s="84">
        <v>2412.6</v>
      </c>
      <c r="M18" s="89">
        <v>2420.3000000000002</v>
      </c>
      <c r="N18" s="102">
        <v>2429.6</v>
      </c>
      <c r="O18" s="176">
        <v>2440.8000000000002</v>
      </c>
      <c r="P18" s="89">
        <v>2451.5</v>
      </c>
      <c r="Q18" s="102">
        <v>2461.4</v>
      </c>
      <c r="R18" s="84">
        <v>2465.3000000000002</v>
      </c>
      <c r="S18" s="89">
        <v>2471.1999999999998</v>
      </c>
      <c r="T18" s="107">
        <v>2479.8000000000002</v>
      </c>
      <c r="U18" s="84">
        <v>2495.5</v>
      </c>
      <c r="V18" s="89">
        <v>2506.1999999999998</v>
      </c>
      <c r="W18" s="107">
        <v>2516.1999999999998</v>
      </c>
      <c r="X18" s="113">
        <v>2522.6999999999998</v>
      </c>
      <c r="Y18" s="1240">
        <v>2533.6</v>
      </c>
    </row>
    <row r="19" spans="1:27" ht="16.5" customHeight="1">
      <c r="A19" s="173">
        <v>12</v>
      </c>
      <c r="B19" s="166" t="s">
        <v>1765</v>
      </c>
      <c r="C19" s="191">
        <v>1614.2</v>
      </c>
      <c r="D19" s="191">
        <v>1620.2</v>
      </c>
      <c r="E19" s="192">
        <v>1625.6</v>
      </c>
      <c r="F19" s="192">
        <v>1630.6</v>
      </c>
      <c r="G19" s="192">
        <v>1637.1</v>
      </c>
      <c r="H19" s="192">
        <v>1642.9</v>
      </c>
      <c r="I19" s="191">
        <v>1594</v>
      </c>
      <c r="J19" s="192">
        <v>1599</v>
      </c>
      <c r="K19" s="191">
        <v>1603.5</v>
      </c>
      <c r="L19" s="85">
        <v>1604.7</v>
      </c>
      <c r="M19" s="91">
        <v>1609.4</v>
      </c>
      <c r="N19" s="103">
        <v>1615</v>
      </c>
      <c r="O19" s="177">
        <v>1622</v>
      </c>
      <c r="P19" s="91">
        <v>1628.6</v>
      </c>
      <c r="Q19" s="103">
        <v>1635</v>
      </c>
      <c r="R19" s="85">
        <v>1640.6</v>
      </c>
      <c r="S19" s="91">
        <v>1645.5</v>
      </c>
      <c r="T19" s="108">
        <v>1650.9</v>
      </c>
      <c r="U19" s="85">
        <v>1659.5</v>
      </c>
      <c r="V19" s="91">
        <v>1664.5</v>
      </c>
      <c r="W19" s="108">
        <v>1669.7</v>
      </c>
      <c r="X19" s="114">
        <v>1674.3</v>
      </c>
      <c r="Y19" s="1241">
        <v>1679.4</v>
      </c>
    </row>
    <row r="20" spans="1:27">
      <c r="A20" s="173">
        <v>13</v>
      </c>
      <c r="B20" s="166" t="s">
        <v>1766</v>
      </c>
      <c r="C20" s="191">
        <v>768.1</v>
      </c>
      <c r="D20" s="191">
        <v>774</v>
      </c>
      <c r="E20" s="192">
        <v>779.9</v>
      </c>
      <c r="F20" s="192">
        <v>777.9</v>
      </c>
      <c r="G20" s="192">
        <v>777</v>
      </c>
      <c r="H20" s="192">
        <v>777.1</v>
      </c>
      <c r="I20" s="191">
        <v>796.6</v>
      </c>
      <c r="J20" s="192">
        <v>801.1</v>
      </c>
      <c r="K20" s="191">
        <v>805.1</v>
      </c>
      <c r="L20" s="85">
        <v>807.9</v>
      </c>
      <c r="M20" s="91">
        <v>811</v>
      </c>
      <c r="N20" s="103">
        <v>814.6</v>
      </c>
      <c r="O20" s="177">
        <v>818.7</v>
      </c>
      <c r="P20" s="91">
        <v>822.9</v>
      </c>
      <c r="Q20" s="103">
        <v>826.4</v>
      </c>
      <c r="R20" s="85">
        <v>824.7</v>
      </c>
      <c r="S20" s="91">
        <v>825.7</v>
      </c>
      <c r="T20" s="108">
        <v>828.9</v>
      </c>
      <c r="U20" s="85">
        <v>836</v>
      </c>
      <c r="V20" s="91">
        <v>841.7</v>
      </c>
      <c r="W20" s="108">
        <v>846.4</v>
      </c>
      <c r="X20" s="114">
        <v>848.4</v>
      </c>
      <c r="Y20" s="1241">
        <v>854.2</v>
      </c>
    </row>
    <row r="21" spans="1:27" ht="16.399999999999999" customHeight="1">
      <c r="A21" s="173">
        <v>14</v>
      </c>
      <c r="B21" s="161" t="s">
        <v>1767</v>
      </c>
      <c r="C21" s="189">
        <v>1846.5</v>
      </c>
      <c r="D21" s="189">
        <v>1869.7</v>
      </c>
      <c r="E21" s="190">
        <v>1874.4</v>
      </c>
      <c r="F21" s="190">
        <v>1877.2</v>
      </c>
      <c r="G21" s="190">
        <v>1882.7</v>
      </c>
      <c r="H21" s="190">
        <v>1888.6</v>
      </c>
      <c r="I21" s="189">
        <v>1832.2</v>
      </c>
      <c r="J21" s="190">
        <v>1828.6</v>
      </c>
      <c r="K21" s="189">
        <v>1821.5</v>
      </c>
      <c r="L21" s="84">
        <v>1821.1</v>
      </c>
      <c r="M21" s="89">
        <v>1821.3</v>
      </c>
      <c r="N21" s="102">
        <v>1829.9</v>
      </c>
      <c r="O21" s="176">
        <v>1839.7</v>
      </c>
      <c r="P21" s="89">
        <v>1861.1</v>
      </c>
      <c r="Q21" s="102">
        <v>1877.8</v>
      </c>
      <c r="R21" s="84">
        <v>1880.2</v>
      </c>
      <c r="S21" s="89">
        <v>1886.2</v>
      </c>
      <c r="T21" s="107">
        <v>1881.5</v>
      </c>
      <c r="U21" s="84">
        <v>1885.1</v>
      </c>
      <c r="V21" s="89">
        <v>1891.8</v>
      </c>
      <c r="W21" s="107">
        <v>1894.4</v>
      </c>
      <c r="X21" s="113">
        <v>1894.7</v>
      </c>
      <c r="Y21" s="1240">
        <v>1894.4</v>
      </c>
    </row>
    <row r="22" spans="1:27">
      <c r="A22" s="172">
        <v>15</v>
      </c>
      <c r="B22" s="44" t="s">
        <v>1768</v>
      </c>
      <c r="C22" s="191">
        <v>94.8</v>
      </c>
      <c r="D22" s="191">
        <v>95.9</v>
      </c>
      <c r="E22" s="192">
        <v>97.1</v>
      </c>
      <c r="F22" s="192">
        <v>99</v>
      </c>
      <c r="G22" s="192">
        <v>100.9</v>
      </c>
      <c r="H22" s="192">
        <v>102.8</v>
      </c>
      <c r="I22" s="191">
        <v>78.7</v>
      </c>
      <c r="J22" s="192">
        <v>71.2</v>
      </c>
      <c r="K22" s="191">
        <v>63.8</v>
      </c>
      <c r="L22" s="85">
        <v>61</v>
      </c>
      <c r="M22" s="91">
        <v>58.2</v>
      </c>
      <c r="N22" s="103">
        <v>55.5</v>
      </c>
      <c r="O22" s="177">
        <v>52.7</v>
      </c>
      <c r="P22" s="91">
        <v>49.9</v>
      </c>
      <c r="Q22" s="103">
        <v>47.2</v>
      </c>
      <c r="R22" s="85">
        <v>42.6</v>
      </c>
      <c r="S22" s="91">
        <v>38</v>
      </c>
      <c r="T22" s="108">
        <v>33.4</v>
      </c>
      <c r="U22" s="85">
        <v>34.5</v>
      </c>
      <c r="V22" s="91">
        <v>35.6</v>
      </c>
      <c r="W22" s="108">
        <v>36.700000000000003</v>
      </c>
      <c r="X22" s="114">
        <v>32.200000000000003</v>
      </c>
      <c r="Y22" s="1241">
        <v>27.7</v>
      </c>
    </row>
    <row r="23" spans="1:27">
      <c r="A23" s="172">
        <v>16</v>
      </c>
      <c r="B23" s="44" t="s">
        <v>1769</v>
      </c>
      <c r="C23" s="191">
        <v>1751.7</v>
      </c>
      <c r="D23" s="191">
        <v>1773.7</v>
      </c>
      <c r="E23" s="192">
        <v>1777.4</v>
      </c>
      <c r="F23" s="192">
        <v>1778.3</v>
      </c>
      <c r="G23" s="192">
        <v>1781.9</v>
      </c>
      <c r="H23" s="192">
        <v>1785.8</v>
      </c>
      <c r="I23" s="191">
        <v>1753.5</v>
      </c>
      <c r="J23" s="192">
        <v>1757.4</v>
      </c>
      <c r="K23" s="191">
        <v>1757.7</v>
      </c>
      <c r="L23" s="85">
        <v>1760.1</v>
      </c>
      <c r="M23" s="91">
        <v>1763.1</v>
      </c>
      <c r="N23" s="103">
        <v>1774.4</v>
      </c>
      <c r="O23" s="177">
        <v>1787</v>
      </c>
      <c r="P23" s="91">
        <v>1811.2</v>
      </c>
      <c r="Q23" s="103">
        <v>1830.6</v>
      </c>
      <c r="R23" s="85">
        <v>1837.6</v>
      </c>
      <c r="S23" s="91">
        <v>1848.2</v>
      </c>
      <c r="T23" s="108">
        <v>1848.1</v>
      </c>
      <c r="U23" s="85">
        <v>1850.6</v>
      </c>
      <c r="V23" s="91">
        <v>1856.3</v>
      </c>
      <c r="W23" s="108">
        <v>1857.7</v>
      </c>
      <c r="X23" s="114">
        <v>1862.5</v>
      </c>
      <c r="Y23" s="1241">
        <v>1866.7</v>
      </c>
    </row>
    <row r="24" spans="1:27">
      <c r="A24" s="173">
        <v>17</v>
      </c>
      <c r="B24" s="161" t="s">
        <v>1770</v>
      </c>
      <c r="C24" s="189">
        <v>792.9</v>
      </c>
      <c r="D24" s="189">
        <v>794.9</v>
      </c>
      <c r="E24" s="190">
        <v>797</v>
      </c>
      <c r="F24" s="190">
        <v>804.7</v>
      </c>
      <c r="G24" s="190">
        <v>810.6</v>
      </c>
      <c r="H24" s="190">
        <v>820</v>
      </c>
      <c r="I24" s="189">
        <v>930.9</v>
      </c>
      <c r="J24" s="190">
        <v>945.7</v>
      </c>
      <c r="K24" s="189">
        <v>960.7</v>
      </c>
      <c r="L24" s="84">
        <v>960.6</v>
      </c>
      <c r="M24" s="89">
        <v>960.8</v>
      </c>
      <c r="N24" s="102">
        <v>961.8</v>
      </c>
      <c r="O24" s="176">
        <v>967.2</v>
      </c>
      <c r="P24" s="89">
        <v>974.5</v>
      </c>
      <c r="Q24" s="102">
        <v>981.5</v>
      </c>
      <c r="R24" s="84">
        <v>985.3</v>
      </c>
      <c r="S24" s="89">
        <v>988.1</v>
      </c>
      <c r="T24" s="107">
        <v>991</v>
      </c>
      <c r="U24" s="84">
        <v>1007.5</v>
      </c>
      <c r="V24" s="89">
        <v>1024.2</v>
      </c>
      <c r="W24" s="107">
        <v>1040.2</v>
      </c>
      <c r="X24" s="113">
        <v>1040.4000000000001</v>
      </c>
      <c r="Y24" s="1240">
        <v>1041.5</v>
      </c>
    </row>
    <row r="25" spans="1:27">
      <c r="A25" s="172">
        <v>18</v>
      </c>
      <c r="B25" s="129" t="s">
        <v>1771</v>
      </c>
      <c r="C25" s="189">
        <v>3350.6</v>
      </c>
      <c r="D25" s="189">
        <v>3358.1</v>
      </c>
      <c r="E25" s="190">
        <v>3367.7</v>
      </c>
      <c r="F25" s="190">
        <v>3413.8</v>
      </c>
      <c r="G25" s="190">
        <v>3424.7</v>
      </c>
      <c r="H25" s="190">
        <v>3433.5</v>
      </c>
      <c r="I25" s="189">
        <v>3559.3</v>
      </c>
      <c r="J25" s="190">
        <v>3570.9</v>
      </c>
      <c r="K25" s="189">
        <v>3600.9</v>
      </c>
      <c r="L25" s="84">
        <v>3606.8</v>
      </c>
      <c r="M25" s="89">
        <v>3610.2</v>
      </c>
      <c r="N25" s="102">
        <v>3590.7</v>
      </c>
      <c r="O25" s="176">
        <v>3594.4</v>
      </c>
      <c r="P25" s="89">
        <v>3607.3</v>
      </c>
      <c r="Q25" s="102">
        <v>3617.9</v>
      </c>
      <c r="R25" s="84">
        <v>3645.6</v>
      </c>
      <c r="S25" s="89">
        <v>3672.7</v>
      </c>
      <c r="T25" s="107">
        <v>3683.6</v>
      </c>
      <c r="U25" s="84">
        <v>3751.1</v>
      </c>
      <c r="V25" s="89">
        <v>3673.7</v>
      </c>
      <c r="W25" s="107">
        <v>3673.7</v>
      </c>
      <c r="X25" s="113">
        <v>3689</v>
      </c>
      <c r="Y25" s="1240">
        <v>3704.4</v>
      </c>
    </row>
    <row r="26" spans="1:27">
      <c r="A26" s="172">
        <v>19</v>
      </c>
      <c r="B26" s="44" t="s">
        <v>1772</v>
      </c>
      <c r="C26" s="191">
        <v>1731.1</v>
      </c>
      <c r="D26" s="191">
        <v>1738</v>
      </c>
      <c r="E26" s="192">
        <v>1745.2</v>
      </c>
      <c r="F26" s="192">
        <v>1766.6</v>
      </c>
      <c r="G26" s="192">
        <v>1788.7</v>
      </c>
      <c r="H26" s="192">
        <v>1811.6</v>
      </c>
      <c r="I26" s="191">
        <v>1736.2</v>
      </c>
      <c r="J26" s="192">
        <v>1744.3</v>
      </c>
      <c r="K26" s="191">
        <v>1752.6</v>
      </c>
      <c r="L26" s="85">
        <v>1753.6</v>
      </c>
      <c r="M26" s="91">
        <v>1754.7</v>
      </c>
      <c r="N26" s="103">
        <v>1756.1</v>
      </c>
      <c r="O26" s="177">
        <v>1766.1</v>
      </c>
      <c r="P26" s="91">
        <v>1776.3</v>
      </c>
      <c r="Q26" s="103">
        <v>1786.7</v>
      </c>
      <c r="R26" s="85">
        <v>1801</v>
      </c>
      <c r="S26" s="91">
        <v>1815.5</v>
      </c>
      <c r="T26" s="108">
        <v>1830.2</v>
      </c>
      <c r="U26" s="85">
        <v>1821.9</v>
      </c>
      <c r="V26" s="91">
        <v>1813.9</v>
      </c>
      <c r="W26" s="108">
        <v>1806.8</v>
      </c>
      <c r="X26" s="114">
        <v>1812.4</v>
      </c>
      <c r="Y26" s="1241">
        <v>1817.8</v>
      </c>
    </row>
    <row r="27" spans="1:27">
      <c r="A27" s="172">
        <v>20</v>
      </c>
      <c r="B27" s="44" t="s">
        <v>1773</v>
      </c>
      <c r="C27" s="191">
        <v>1619.5</v>
      </c>
      <c r="D27" s="191">
        <v>1620.1</v>
      </c>
      <c r="E27" s="192">
        <v>1622.6</v>
      </c>
      <c r="F27" s="192">
        <v>1647.2</v>
      </c>
      <c r="G27" s="192">
        <v>1636</v>
      </c>
      <c r="H27" s="192">
        <v>1622</v>
      </c>
      <c r="I27" s="191">
        <v>1823.1</v>
      </c>
      <c r="J27" s="192">
        <v>1826.6</v>
      </c>
      <c r="K27" s="191">
        <v>1848.3</v>
      </c>
      <c r="L27" s="85">
        <v>1853.3</v>
      </c>
      <c r="M27" s="91">
        <v>1855.5</v>
      </c>
      <c r="N27" s="103">
        <v>1834.7</v>
      </c>
      <c r="O27" s="177">
        <v>1828.3</v>
      </c>
      <c r="P27" s="91">
        <v>1831</v>
      </c>
      <c r="Q27" s="103">
        <v>1831.2</v>
      </c>
      <c r="R27" s="85">
        <v>1844.6</v>
      </c>
      <c r="S27" s="91">
        <v>1857.2</v>
      </c>
      <c r="T27" s="108">
        <v>1853.4</v>
      </c>
      <c r="U27" s="85">
        <v>1929.2</v>
      </c>
      <c r="V27" s="91">
        <v>1859.8</v>
      </c>
      <c r="W27" s="108">
        <v>1866.9</v>
      </c>
      <c r="X27" s="114">
        <v>1876.6</v>
      </c>
      <c r="Y27" s="1241">
        <v>1886.6</v>
      </c>
    </row>
    <row r="28" spans="1:27">
      <c r="A28" s="172">
        <v>21</v>
      </c>
      <c r="B28" s="129" t="s">
        <v>1774</v>
      </c>
      <c r="C28" s="189">
        <v>3891.7</v>
      </c>
      <c r="D28" s="189">
        <v>3893.9</v>
      </c>
      <c r="E28" s="190">
        <v>3892.9</v>
      </c>
      <c r="F28" s="190">
        <v>3981.6</v>
      </c>
      <c r="G28" s="190">
        <v>4002.2</v>
      </c>
      <c r="H28" s="190">
        <v>4010.8</v>
      </c>
      <c r="I28" s="189">
        <v>4083.3</v>
      </c>
      <c r="J28" s="190">
        <v>4108.8</v>
      </c>
      <c r="K28" s="189">
        <v>4115.1000000000004</v>
      </c>
      <c r="L28" s="84">
        <v>4112.3</v>
      </c>
      <c r="M28" s="89">
        <v>4126.8</v>
      </c>
      <c r="N28" s="102">
        <v>4121.3</v>
      </c>
      <c r="O28" s="176">
        <v>4097.8999999999996</v>
      </c>
      <c r="P28" s="89">
        <v>4096.5</v>
      </c>
      <c r="Q28" s="102">
        <v>4086.6</v>
      </c>
      <c r="R28" s="84">
        <v>4083.8</v>
      </c>
      <c r="S28" s="89">
        <v>4082</v>
      </c>
      <c r="T28" s="107">
        <v>4094.6</v>
      </c>
      <c r="U28" s="84">
        <v>4213.5</v>
      </c>
      <c r="V28" s="89">
        <v>4251</v>
      </c>
      <c r="W28" s="107">
        <v>4282</v>
      </c>
      <c r="X28" s="113">
        <v>4298.6000000000004</v>
      </c>
      <c r="Y28" s="1240">
        <v>4313.6000000000004</v>
      </c>
    </row>
    <row r="29" spans="1:27">
      <c r="A29" s="172">
        <v>22</v>
      </c>
      <c r="B29" s="44" t="s">
        <v>1775</v>
      </c>
      <c r="C29" s="191">
        <v>3821.1</v>
      </c>
      <c r="D29" s="191">
        <v>3824.5</v>
      </c>
      <c r="E29" s="192">
        <v>3823.5</v>
      </c>
      <c r="F29" s="192">
        <v>3912.2</v>
      </c>
      <c r="G29" s="192">
        <v>3932.8</v>
      </c>
      <c r="H29" s="192">
        <v>3941.2</v>
      </c>
      <c r="I29" s="191">
        <v>3983.1</v>
      </c>
      <c r="J29" s="192">
        <v>4007.9</v>
      </c>
      <c r="K29" s="191">
        <v>4013.6</v>
      </c>
      <c r="L29" s="85">
        <v>4010.1</v>
      </c>
      <c r="M29" s="91">
        <v>4024</v>
      </c>
      <c r="N29" s="103">
        <v>4017.8</v>
      </c>
      <c r="O29" s="177">
        <v>3993.8</v>
      </c>
      <c r="P29" s="91">
        <v>3991.8</v>
      </c>
      <c r="Q29" s="103">
        <v>3977.7</v>
      </c>
      <c r="R29" s="85">
        <v>3977.9</v>
      </c>
      <c r="S29" s="91">
        <v>3972.1</v>
      </c>
      <c r="T29" s="108">
        <v>3987.7</v>
      </c>
      <c r="U29" s="85">
        <v>4091.3</v>
      </c>
      <c r="V29" s="91">
        <v>4141.6000000000004</v>
      </c>
      <c r="W29" s="108">
        <v>4172.1000000000004</v>
      </c>
      <c r="X29" s="114">
        <v>4188.3</v>
      </c>
      <c r="Y29" s="1241">
        <v>4202.7</v>
      </c>
      <c r="Z29" s="94"/>
      <c r="AA29" s="180"/>
    </row>
    <row r="30" spans="1:27" ht="16.5" customHeight="1">
      <c r="A30" s="87">
        <v>23</v>
      </c>
      <c r="B30" s="96" t="s">
        <v>1776</v>
      </c>
      <c r="C30" s="97">
        <v>1211.0999999999999</v>
      </c>
      <c r="D30" s="97">
        <v>1215.9000000000001</v>
      </c>
      <c r="E30" s="98">
        <v>1216.9000000000001</v>
      </c>
      <c r="F30" s="192">
        <v>1229.0999999999999</v>
      </c>
      <c r="G30" s="192">
        <v>1224.3</v>
      </c>
      <c r="H30" s="192">
        <v>1223.5999999999999</v>
      </c>
      <c r="I30" s="191">
        <v>1335.4</v>
      </c>
      <c r="J30" s="192">
        <v>1340.1</v>
      </c>
      <c r="K30" s="191">
        <v>1344.5</v>
      </c>
      <c r="L30" s="85">
        <v>1349.9</v>
      </c>
      <c r="M30" s="91">
        <v>1354.7</v>
      </c>
      <c r="N30" s="103">
        <v>1356.7</v>
      </c>
      <c r="O30" s="177">
        <v>1358.3</v>
      </c>
      <c r="P30" s="91">
        <v>1362.1</v>
      </c>
      <c r="Q30" s="103">
        <v>1363.4</v>
      </c>
      <c r="R30" s="85">
        <v>1378.6</v>
      </c>
      <c r="S30" s="91">
        <v>1370.3</v>
      </c>
      <c r="T30" s="108">
        <v>1373.8</v>
      </c>
      <c r="U30" s="85">
        <v>1421.7</v>
      </c>
      <c r="V30" s="91">
        <v>1425.2</v>
      </c>
      <c r="W30" s="108">
        <v>1432.4</v>
      </c>
      <c r="X30" s="114">
        <v>1436</v>
      </c>
      <c r="Y30" s="1241">
        <v>1438.8</v>
      </c>
      <c r="Z30" s="99">
        <f>'Social Benefits'!Z70</f>
        <v>1439.4290000000001</v>
      </c>
    </row>
    <row r="31" spans="1:27" ht="16.399999999999999" customHeight="1">
      <c r="A31" s="87">
        <v>24</v>
      </c>
      <c r="B31" s="96" t="s">
        <v>1777</v>
      </c>
      <c r="C31" s="97">
        <v>914.1</v>
      </c>
      <c r="D31" s="97">
        <v>920.1</v>
      </c>
      <c r="E31" s="98">
        <v>926.7</v>
      </c>
      <c r="F31" s="192">
        <v>933.8</v>
      </c>
      <c r="G31" s="192">
        <v>941.5</v>
      </c>
      <c r="H31" s="192">
        <v>949.7</v>
      </c>
      <c r="I31" s="191">
        <v>936.9</v>
      </c>
      <c r="J31" s="192">
        <v>938.1</v>
      </c>
      <c r="K31" s="191">
        <v>939.3</v>
      </c>
      <c r="L31" s="85">
        <v>940.6</v>
      </c>
      <c r="M31" s="91">
        <v>941.9</v>
      </c>
      <c r="N31" s="103">
        <v>943.3</v>
      </c>
      <c r="O31" s="177">
        <v>944.8</v>
      </c>
      <c r="P31" s="91">
        <v>946.3</v>
      </c>
      <c r="Q31" s="103">
        <v>947.9</v>
      </c>
      <c r="R31" s="85">
        <v>949.6</v>
      </c>
      <c r="S31" s="91">
        <v>951.3</v>
      </c>
      <c r="T31" s="108">
        <v>953.1</v>
      </c>
      <c r="U31" s="85">
        <v>960.2</v>
      </c>
      <c r="V31" s="91">
        <v>965.1</v>
      </c>
      <c r="W31" s="108">
        <v>970.5</v>
      </c>
      <c r="X31" s="114">
        <v>976.5</v>
      </c>
      <c r="Y31" s="1241">
        <v>983</v>
      </c>
      <c r="Z31" s="101">
        <f>Medicare!Z10</f>
        <v>980.56003292022876</v>
      </c>
    </row>
    <row r="32" spans="1:27">
      <c r="A32" s="87">
        <v>25</v>
      </c>
      <c r="B32" s="96" t="s">
        <v>54</v>
      </c>
      <c r="C32" s="97">
        <v>790.3</v>
      </c>
      <c r="D32" s="97">
        <v>785.3</v>
      </c>
      <c r="E32" s="98">
        <v>782.8</v>
      </c>
      <c r="F32" s="192">
        <v>791.2</v>
      </c>
      <c r="G32" s="192">
        <v>796.9</v>
      </c>
      <c r="H32" s="192">
        <v>800.6</v>
      </c>
      <c r="I32" s="191">
        <v>856.7</v>
      </c>
      <c r="J32" s="192">
        <v>871.5</v>
      </c>
      <c r="K32" s="191">
        <v>886.1</v>
      </c>
      <c r="L32" s="85">
        <v>908.2</v>
      </c>
      <c r="M32" s="91">
        <v>916.2</v>
      </c>
      <c r="N32" s="103">
        <v>909.8</v>
      </c>
      <c r="O32" s="177">
        <v>893.4</v>
      </c>
      <c r="P32" s="91">
        <v>879.5</v>
      </c>
      <c r="Q32" s="103">
        <v>868.8</v>
      </c>
      <c r="R32" s="85">
        <v>863.5</v>
      </c>
      <c r="S32" s="91">
        <v>865.8</v>
      </c>
      <c r="T32" s="108">
        <v>875.6</v>
      </c>
      <c r="U32" s="85">
        <v>900.4</v>
      </c>
      <c r="V32" s="91">
        <v>918.6</v>
      </c>
      <c r="W32" s="108">
        <v>931.7</v>
      </c>
      <c r="X32" s="114">
        <v>939.7</v>
      </c>
      <c r="Y32" s="1241">
        <v>945.2</v>
      </c>
      <c r="Z32" s="101">
        <f>forecast!D11</f>
        <v>945.8279179001787</v>
      </c>
    </row>
    <row r="33" spans="1:27">
      <c r="A33" s="87">
        <v>26</v>
      </c>
      <c r="B33" s="96" t="s">
        <v>263</v>
      </c>
      <c r="C33" s="97">
        <v>18.7</v>
      </c>
      <c r="D33" s="97">
        <v>18.899999999999999</v>
      </c>
      <c r="E33" s="98">
        <v>18</v>
      </c>
      <c r="F33" s="192">
        <v>18.899999999999999</v>
      </c>
      <c r="G33" s="192">
        <v>20.6</v>
      </c>
      <c r="H33" s="192">
        <v>21.6</v>
      </c>
      <c r="I33" s="191">
        <v>21.1</v>
      </c>
      <c r="J33" s="192">
        <v>22</v>
      </c>
      <c r="K33" s="191">
        <v>22.8</v>
      </c>
      <c r="L33" s="85">
        <v>22.8</v>
      </c>
      <c r="M33" s="91">
        <v>22.3</v>
      </c>
      <c r="N33" s="103">
        <v>21.6</v>
      </c>
      <c r="O33" s="177">
        <v>21.1</v>
      </c>
      <c r="P33" s="91">
        <v>21.1</v>
      </c>
      <c r="Q33" s="103">
        <v>20.8</v>
      </c>
      <c r="R33" s="85">
        <v>22.1</v>
      </c>
      <c r="S33" s="91">
        <v>23.1</v>
      </c>
      <c r="T33" s="108">
        <v>22.9</v>
      </c>
      <c r="U33" s="85">
        <v>22.6</v>
      </c>
      <c r="V33" s="91">
        <v>22.8</v>
      </c>
      <c r="W33" s="108">
        <v>22.8</v>
      </c>
      <c r="X33" s="114">
        <v>22.4</v>
      </c>
      <c r="Y33" s="1241">
        <v>22.7</v>
      </c>
      <c r="Z33" s="101">
        <f>forecast!D9+forecast!D8</f>
        <v>22.5</v>
      </c>
    </row>
    <row r="34" spans="1:27" ht="16.399999999999999" customHeight="1">
      <c r="A34" s="172">
        <v>27</v>
      </c>
      <c r="B34" s="135" t="s">
        <v>1778</v>
      </c>
      <c r="C34" s="191">
        <v>161.1</v>
      </c>
      <c r="D34" s="191">
        <v>161.6</v>
      </c>
      <c r="E34" s="192">
        <v>162.5</v>
      </c>
      <c r="F34" s="192">
        <v>163.19999999999999</v>
      </c>
      <c r="G34" s="192">
        <v>164</v>
      </c>
      <c r="H34" s="192">
        <v>164.8</v>
      </c>
      <c r="I34" s="191">
        <v>173.1</v>
      </c>
      <c r="J34" s="192">
        <v>172.9</v>
      </c>
      <c r="K34" s="191">
        <v>172.7</v>
      </c>
      <c r="L34" s="85">
        <v>172.7</v>
      </c>
      <c r="M34" s="91">
        <v>172.4</v>
      </c>
      <c r="N34" s="103">
        <v>172.5</v>
      </c>
      <c r="O34" s="177">
        <v>172.7</v>
      </c>
      <c r="P34" s="91">
        <v>172.9</v>
      </c>
      <c r="Q34" s="103">
        <v>173</v>
      </c>
      <c r="R34" s="85">
        <v>173.3</v>
      </c>
      <c r="S34" s="91">
        <v>173.6</v>
      </c>
      <c r="T34" s="108">
        <v>173.9</v>
      </c>
      <c r="U34" s="85">
        <v>174.3</v>
      </c>
      <c r="V34" s="91">
        <v>174.7</v>
      </c>
      <c r="W34" s="108">
        <v>175.1</v>
      </c>
      <c r="X34" s="114">
        <v>175.3</v>
      </c>
      <c r="Y34" s="1241">
        <v>175.7</v>
      </c>
    </row>
    <row r="35" spans="1:27">
      <c r="A35" s="172">
        <v>28</v>
      </c>
      <c r="B35" s="135" t="s">
        <v>532</v>
      </c>
      <c r="C35" s="191">
        <v>725.8</v>
      </c>
      <c r="D35" s="191">
        <v>722.7</v>
      </c>
      <c r="E35" s="192">
        <v>716.6</v>
      </c>
      <c r="F35" s="192">
        <v>776</v>
      </c>
      <c r="G35" s="192">
        <v>785.4</v>
      </c>
      <c r="H35" s="192">
        <v>780.9</v>
      </c>
      <c r="I35" s="191">
        <v>659.8</v>
      </c>
      <c r="J35" s="192">
        <v>663.3</v>
      </c>
      <c r="K35" s="191">
        <v>648.20000000000005</v>
      </c>
      <c r="L35" s="85">
        <v>615.9</v>
      </c>
      <c r="M35" s="91">
        <v>616.4</v>
      </c>
      <c r="N35" s="103">
        <v>613.79999999999995</v>
      </c>
      <c r="O35" s="177">
        <v>603.5</v>
      </c>
      <c r="P35" s="91">
        <v>610</v>
      </c>
      <c r="Q35" s="103">
        <v>603.79999999999995</v>
      </c>
      <c r="R35" s="85">
        <v>590.79999999999995</v>
      </c>
      <c r="S35" s="91">
        <v>588.1</v>
      </c>
      <c r="T35" s="108">
        <v>588.29999999999995</v>
      </c>
      <c r="U35" s="85">
        <v>612</v>
      </c>
      <c r="V35" s="91">
        <v>635.29999999999995</v>
      </c>
      <c r="W35" s="108">
        <v>639.6</v>
      </c>
      <c r="X35" s="114">
        <v>638.4</v>
      </c>
      <c r="Y35" s="1241">
        <v>637.29999999999995</v>
      </c>
    </row>
    <row r="36" spans="1:27">
      <c r="A36" s="172">
        <v>29</v>
      </c>
      <c r="B36" s="132" t="s">
        <v>1779</v>
      </c>
      <c r="C36" s="191">
        <v>70.7</v>
      </c>
      <c r="D36" s="191">
        <v>69.400000000000006</v>
      </c>
      <c r="E36" s="192">
        <v>69.400000000000006</v>
      </c>
      <c r="F36" s="192">
        <v>69.400000000000006</v>
      </c>
      <c r="G36" s="192">
        <v>69.5</v>
      </c>
      <c r="H36" s="192">
        <v>69.599999999999994</v>
      </c>
      <c r="I36" s="191">
        <v>100.2</v>
      </c>
      <c r="J36" s="192">
        <v>100.9</v>
      </c>
      <c r="K36" s="191">
        <v>101.6</v>
      </c>
      <c r="L36" s="85">
        <v>102.2</v>
      </c>
      <c r="M36" s="91">
        <v>102.8</v>
      </c>
      <c r="N36" s="103">
        <v>103.5</v>
      </c>
      <c r="O36" s="177">
        <v>104.1</v>
      </c>
      <c r="P36" s="91">
        <v>104.7</v>
      </c>
      <c r="Q36" s="103">
        <v>108.9</v>
      </c>
      <c r="R36" s="85">
        <v>105.8</v>
      </c>
      <c r="S36" s="91">
        <v>109.9</v>
      </c>
      <c r="T36" s="108">
        <v>106.9</v>
      </c>
      <c r="U36" s="85">
        <v>122.2</v>
      </c>
      <c r="V36" s="91">
        <v>109.4</v>
      </c>
      <c r="W36" s="108">
        <v>109.9</v>
      </c>
      <c r="X36" s="114">
        <v>110.4</v>
      </c>
      <c r="Y36" s="1241">
        <v>110.8</v>
      </c>
    </row>
    <row r="37" spans="1:27">
      <c r="A37" s="87">
        <v>30</v>
      </c>
      <c r="B37" s="117" t="s">
        <v>1780</v>
      </c>
      <c r="C37" s="119">
        <v>1683.6</v>
      </c>
      <c r="D37" s="119">
        <v>1695.6</v>
      </c>
      <c r="E37" s="120">
        <v>1707.7</v>
      </c>
      <c r="F37" s="190">
        <v>1704.3</v>
      </c>
      <c r="G37" s="190">
        <v>1703.1</v>
      </c>
      <c r="H37" s="190">
        <v>1703.8</v>
      </c>
      <c r="I37" s="189">
        <v>1765.5</v>
      </c>
      <c r="J37" s="190">
        <v>1774.3</v>
      </c>
      <c r="K37" s="189">
        <v>1782</v>
      </c>
      <c r="L37" s="84">
        <v>1787.4</v>
      </c>
      <c r="M37" s="89">
        <v>1793.6</v>
      </c>
      <c r="N37" s="102">
        <v>1800.9</v>
      </c>
      <c r="O37" s="176">
        <v>1809.2</v>
      </c>
      <c r="P37" s="89">
        <v>1817.6</v>
      </c>
      <c r="Q37" s="102">
        <v>1824.6</v>
      </c>
      <c r="R37" s="84">
        <v>1821.7</v>
      </c>
      <c r="S37" s="89">
        <v>1824.1</v>
      </c>
      <c r="T37" s="107">
        <v>1830.7</v>
      </c>
      <c r="U37" s="84">
        <v>1852.4</v>
      </c>
      <c r="V37" s="89">
        <v>1863.9</v>
      </c>
      <c r="W37" s="107">
        <v>1873.5</v>
      </c>
      <c r="X37" s="113">
        <v>1877.7</v>
      </c>
      <c r="Y37" s="1240">
        <v>1889.2</v>
      </c>
      <c r="Z37" s="99">
        <f>Taxes!Z12+Taxes!Z23</f>
        <v>1892.9629166831573</v>
      </c>
    </row>
    <row r="38" spans="1:27">
      <c r="A38" s="87">
        <v>31</v>
      </c>
      <c r="B38" s="121" t="s">
        <v>242</v>
      </c>
      <c r="C38" s="119">
        <v>3224.2</v>
      </c>
      <c r="D38" s="119">
        <v>3236.7</v>
      </c>
      <c r="E38" s="120">
        <v>3248.6</v>
      </c>
      <c r="F38" s="190">
        <v>3232.7</v>
      </c>
      <c r="G38" s="190">
        <v>3213.6</v>
      </c>
      <c r="H38" s="190">
        <v>3202.1</v>
      </c>
      <c r="I38" s="189">
        <v>2767.2</v>
      </c>
      <c r="J38" s="190">
        <v>2763.4</v>
      </c>
      <c r="K38" s="189">
        <v>2760.4</v>
      </c>
      <c r="L38" s="84">
        <v>2707.4</v>
      </c>
      <c r="M38" s="89">
        <v>2691.2</v>
      </c>
      <c r="N38" s="102">
        <v>2712.9</v>
      </c>
      <c r="O38" s="176">
        <v>2744.1</v>
      </c>
      <c r="P38" s="89">
        <v>2768.2</v>
      </c>
      <c r="Q38" s="102">
        <v>2783.7</v>
      </c>
      <c r="R38" s="84">
        <v>2785.6</v>
      </c>
      <c r="S38" s="89">
        <v>2791.7</v>
      </c>
      <c r="T38" s="107">
        <v>2800.1</v>
      </c>
      <c r="U38" s="84">
        <v>2930.6</v>
      </c>
      <c r="V38" s="89">
        <v>2949.7</v>
      </c>
      <c r="W38" s="107">
        <v>2966.9</v>
      </c>
      <c r="X38" s="113">
        <v>2977.9</v>
      </c>
      <c r="Y38" s="1240">
        <v>2998.1</v>
      </c>
      <c r="Z38" s="99">
        <f>Taxes!Z10+Taxes!Z21</f>
        <v>2998.3118360201192</v>
      </c>
    </row>
    <row r="39" spans="1:27">
      <c r="A39" s="172">
        <v>32</v>
      </c>
      <c r="B39" s="46" t="s">
        <v>1781</v>
      </c>
      <c r="C39" s="189">
        <v>18628.099999999999</v>
      </c>
      <c r="D39" s="189">
        <v>18739.099999999999</v>
      </c>
      <c r="E39" s="190">
        <v>18831.7</v>
      </c>
      <c r="F39" s="190">
        <v>18969.2</v>
      </c>
      <c r="G39" s="190">
        <v>19026.5</v>
      </c>
      <c r="H39" s="190">
        <v>19079.7</v>
      </c>
      <c r="I39" s="189">
        <v>19758.099999999999</v>
      </c>
      <c r="J39" s="190">
        <v>19885</v>
      </c>
      <c r="K39" s="189">
        <v>19997.5</v>
      </c>
      <c r="L39" s="84">
        <v>20098.7</v>
      </c>
      <c r="M39" s="89">
        <v>20185.400000000001</v>
      </c>
      <c r="N39" s="102">
        <v>20208.400000000001</v>
      </c>
      <c r="O39" s="176">
        <v>20242.2</v>
      </c>
      <c r="P39" s="89">
        <v>20326.400000000001</v>
      </c>
      <c r="Q39" s="102">
        <v>20392.5</v>
      </c>
      <c r="R39" s="84">
        <v>20403.8</v>
      </c>
      <c r="S39" s="89">
        <v>20449.8</v>
      </c>
      <c r="T39" s="107">
        <v>20511.5</v>
      </c>
      <c r="U39" s="84">
        <v>20629.3</v>
      </c>
      <c r="V39" s="89">
        <v>20676.599999999999</v>
      </c>
      <c r="W39" s="107">
        <v>20779.7</v>
      </c>
      <c r="X39" s="113">
        <v>20831.7</v>
      </c>
      <c r="Y39" s="1240">
        <v>20925.599999999999</v>
      </c>
    </row>
    <row r="40" spans="1:27">
      <c r="A40" s="172">
        <v>33</v>
      </c>
      <c r="B40" s="46" t="s">
        <v>243</v>
      </c>
      <c r="C40" s="189">
        <v>17983.400000000001</v>
      </c>
      <c r="D40" s="189">
        <v>18132.7</v>
      </c>
      <c r="E40" s="190">
        <v>18257.400000000001</v>
      </c>
      <c r="F40" s="190">
        <v>18391.8</v>
      </c>
      <c r="G40" s="190">
        <v>18362.3</v>
      </c>
      <c r="H40" s="190">
        <v>18377.400000000001</v>
      </c>
      <c r="I40" s="189">
        <v>18887</v>
      </c>
      <c r="J40" s="190">
        <v>18959</v>
      </c>
      <c r="K40" s="189">
        <v>18950</v>
      </c>
      <c r="L40" s="84">
        <v>19056.2</v>
      </c>
      <c r="M40" s="89">
        <v>19125.400000000001</v>
      </c>
      <c r="N40" s="102">
        <v>19228.3</v>
      </c>
      <c r="O40" s="176">
        <v>19351.5</v>
      </c>
      <c r="P40" s="89">
        <v>19417</v>
      </c>
      <c r="Q40" s="102">
        <v>19600.900000000001</v>
      </c>
      <c r="R40" s="84">
        <v>19622.8</v>
      </c>
      <c r="S40" s="89">
        <v>19683.8</v>
      </c>
      <c r="T40" s="107">
        <v>19779.3</v>
      </c>
      <c r="U40" s="84">
        <v>19799.3</v>
      </c>
      <c r="V40" s="89">
        <v>19911.3</v>
      </c>
      <c r="W40" s="107">
        <v>20043</v>
      </c>
      <c r="X40" s="113">
        <v>20063.099999999999</v>
      </c>
      <c r="Y40" s="1240">
        <v>20119.5</v>
      </c>
    </row>
    <row r="41" spans="1:27">
      <c r="A41" s="172">
        <v>34</v>
      </c>
      <c r="B41" s="128" t="s">
        <v>1715</v>
      </c>
      <c r="C41" s="191">
        <v>17420.3</v>
      </c>
      <c r="D41" s="191">
        <v>17550.900000000001</v>
      </c>
      <c r="E41" s="192">
        <v>17656.8</v>
      </c>
      <c r="F41" s="192">
        <v>17778.2</v>
      </c>
      <c r="G41" s="192">
        <v>17735</v>
      </c>
      <c r="H41" s="192">
        <v>17736.5</v>
      </c>
      <c r="I41" s="191">
        <v>18229.599999999999</v>
      </c>
      <c r="J41" s="192">
        <v>18296.5</v>
      </c>
      <c r="K41" s="191">
        <v>18282.599999999999</v>
      </c>
      <c r="L41" s="85">
        <v>18363.8</v>
      </c>
      <c r="M41" s="91">
        <v>18407.8</v>
      </c>
      <c r="N41" s="103">
        <v>18485.400000000001</v>
      </c>
      <c r="O41" s="177">
        <v>18595.400000000001</v>
      </c>
      <c r="P41" s="91">
        <v>18651.599999999999</v>
      </c>
      <c r="Q41" s="103">
        <v>18791.5</v>
      </c>
      <c r="R41" s="85">
        <v>18826.8</v>
      </c>
      <c r="S41" s="91">
        <v>18903</v>
      </c>
      <c r="T41" s="108">
        <v>19013.7</v>
      </c>
      <c r="U41" s="85">
        <v>19028</v>
      </c>
      <c r="V41" s="91">
        <v>19136</v>
      </c>
      <c r="W41" s="108">
        <v>19263.7</v>
      </c>
      <c r="X41" s="114">
        <v>19289.900000000001</v>
      </c>
      <c r="Y41" s="1241">
        <v>19337.8</v>
      </c>
    </row>
    <row r="42" spans="1:27" ht="16.399999999999999" customHeight="1">
      <c r="A42" s="172">
        <v>35</v>
      </c>
      <c r="B42" s="44" t="s">
        <v>1738</v>
      </c>
      <c r="C42" s="191">
        <v>5988.2</v>
      </c>
      <c r="D42" s="191">
        <v>5981.9</v>
      </c>
      <c r="E42" s="192">
        <v>5995.6</v>
      </c>
      <c r="F42" s="192">
        <v>6064.4</v>
      </c>
      <c r="G42" s="192">
        <v>5974.1</v>
      </c>
      <c r="H42" s="192">
        <v>5901.5</v>
      </c>
      <c r="I42" s="191">
        <v>6148.2</v>
      </c>
      <c r="J42" s="192">
        <v>6164.2</v>
      </c>
      <c r="K42" s="191">
        <v>6089.2</v>
      </c>
      <c r="L42" s="85">
        <v>6139.1</v>
      </c>
      <c r="M42" s="91">
        <v>6144.7</v>
      </c>
      <c r="N42" s="103">
        <v>6150.1</v>
      </c>
      <c r="O42" s="177">
        <v>6188.2</v>
      </c>
      <c r="P42" s="91">
        <v>6228.7</v>
      </c>
      <c r="Q42" s="103">
        <v>6278.4</v>
      </c>
      <c r="R42" s="85">
        <v>6250.7</v>
      </c>
      <c r="S42" s="91">
        <v>6242.4</v>
      </c>
      <c r="T42" s="108">
        <v>6273.8</v>
      </c>
      <c r="U42" s="85">
        <v>6178.9</v>
      </c>
      <c r="V42" s="91">
        <v>6202.9</v>
      </c>
      <c r="W42" s="108">
        <v>6253.3</v>
      </c>
      <c r="X42" s="114">
        <v>6223.7</v>
      </c>
      <c r="Y42" s="1241">
        <v>6237.4</v>
      </c>
      <c r="Z42" s="94"/>
    </row>
    <row r="43" spans="1:27" ht="16.399999999999999" customHeight="1">
      <c r="A43" s="172">
        <v>36</v>
      </c>
      <c r="B43" s="135" t="s">
        <v>1782</v>
      </c>
      <c r="C43" s="191">
        <v>2189.5</v>
      </c>
      <c r="D43" s="191">
        <v>2197.8000000000002</v>
      </c>
      <c r="E43" s="192">
        <v>2200.1999999999998</v>
      </c>
      <c r="F43" s="192">
        <v>2238.9</v>
      </c>
      <c r="G43" s="192">
        <v>2167.3000000000002</v>
      </c>
      <c r="H43" s="192">
        <v>2134.9</v>
      </c>
      <c r="I43" s="191">
        <v>2213.6999999999998</v>
      </c>
      <c r="J43" s="192">
        <v>2203.6</v>
      </c>
      <c r="K43" s="191">
        <v>2167.3000000000002</v>
      </c>
      <c r="L43" s="85">
        <v>2183.6999999999998</v>
      </c>
      <c r="M43" s="91">
        <v>2202.8000000000002</v>
      </c>
      <c r="N43" s="103">
        <v>2194.1999999999998</v>
      </c>
      <c r="O43" s="177">
        <v>2206.9</v>
      </c>
      <c r="P43" s="91">
        <v>2193.1</v>
      </c>
      <c r="Q43" s="103">
        <v>2213.4</v>
      </c>
      <c r="R43" s="85">
        <v>2191.1</v>
      </c>
      <c r="S43" s="91">
        <v>2195.6999999999998</v>
      </c>
      <c r="T43" s="108">
        <v>2219.8000000000002</v>
      </c>
      <c r="U43" s="85">
        <v>2160.6</v>
      </c>
      <c r="V43" s="91">
        <v>2181</v>
      </c>
      <c r="W43" s="108">
        <v>2182.4</v>
      </c>
      <c r="X43" s="114">
        <v>2161.9</v>
      </c>
      <c r="Y43" s="1241">
        <v>2168.6</v>
      </c>
      <c r="Z43" s="94"/>
    </row>
    <row r="44" spans="1:27" ht="16.399999999999999" customHeight="1">
      <c r="A44" s="172">
        <v>37</v>
      </c>
      <c r="B44" s="135" t="s">
        <v>1783</v>
      </c>
      <c r="C44" s="191">
        <v>3798.7</v>
      </c>
      <c r="D44" s="191">
        <v>3784.1</v>
      </c>
      <c r="E44" s="192">
        <v>3795.4</v>
      </c>
      <c r="F44" s="192">
        <v>3825.6</v>
      </c>
      <c r="G44" s="192">
        <v>3806.8</v>
      </c>
      <c r="H44" s="192">
        <v>3766.5</v>
      </c>
      <c r="I44" s="191">
        <v>3934.5</v>
      </c>
      <c r="J44" s="192">
        <v>3960.6</v>
      </c>
      <c r="K44" s="191">
        <v>3921.9</v>
      </c>
      <c r="L44" s="85">
        <v>3955.4</v>
      </c>
      <c r="M44" s="91">
        <v>3941.9</v>
      </c>
      <c r="N44" s="103">
        <v>3955.9</v>
      </c>
      <c r="O44" s="177">
        <v>3981.3</v>
      </c>
      <c r="P44" s="91">
        <v>4035.5</v>
      </c>
      <c r="Q44" s="103">
        <v>4065</v>
      </c>
      <c r="R44" s="85">
        <v>4059.7</v>
      </c>
      <c r="S44" s="91">
        <v>4046.7</v>
      </c>
      <c r="T44" s="108">
        <v>4054</v>
      </c>
      <c r="U44" s="85">
        <v>4018.3</v>
      </c>
      <c r="V44" s="91">
        <v>4022</v>
      </c>
      <c r="W44" s="108">
        <v>4070.9</v>
      </c>
      <c r="X44" s="114">
        <v>4061.9</v>
      </c>
      <c r="Y44" s="1241">
        <v>4068.8</v>
      </c>
      <c r="Z44" s="94"/>
      <c r="AA44" s="180"/>
    </row>
    <row r="45" spans="1:27" ht="16.399999999999999" customHeight="1">
      <c r="A45" s="172">
        <v>38</v>
      </c>
      <c r="B45" s="44" t="s">
        <v>1739</v>
      </c>
      <c r="C45" s="191">
        <v>11432.1</v>
      </c>
      <c r="D45" s="191">
        <v>11568.9</v>
      </c>
      <c r="E45" s="192">
        <v>11661.2</v>
      </c>
      <c r="F45" s="192">
        <v>11713.7</v>
      </c>
      <c r="G45" s="192">
        <v>11760.9</v>
      </c>
      <c r="H45" s="192">
        <v>11835</v>
      </c>
      <c r="I45" s="191">
        <v>12081.4</v>
      </c>
      <c r="J45" s="192">
        <v>12132.4</v>
      </c>
      <c r="K45" s="191">
        <v>12193.4</v>
      </c>
      <c r="L45" s="85">
        <v>12224.7</v>
      </c>
      <c r="M45" s="91">
        <v>12263</v>
      </c>
      <c r="N45" s="103">
        <v>12335.3</v>
      </c>
      <c r="O45" s="177">
        <v>12407.2</v>
      </c>
      <c r="P45" s="91">
        <v>12422.9</v>
      </c>
      <c r="Q45" s="103">
        <v>12513</v>
      </c>
      <c r="R45" s="85">
        <v>12576.1</v>
      </c>
      <c r="S45" s="91">
        <v>12660.5</v>
      </c>
      <c r="T45" s="108">
        <v>12739.9</v>
      </c>
      <c r="U45" s="85">
        <v>12849</v>
      </c>
      <c r="V45" s="91">
        <v>12933.1</v>
      </c>
      <c r="W45" s="108">
        <v>13010.4</v>
      </c>
      <c r="X45" s="114">
        <v>13066.2</v>
      </c>
      <c r="Y45" s="1241">
        <v>13100.4</v>
      </c>
      <c r="Z45" s="94"/>
      <c r="AA45" s="180"/>
    </row>
    <row r="46" spans="1:27" ht="16.399999999999999" customHeight="1">
      <c r="A46" s="172">
        <v>39</v>
      </c>
      <c r="B46" s="128" t="s">
        <v>1784</v>
      </c>
      <c r="C46" s="191">
        <v>338.7</v>
      </c>
      <c r="D46" s="191">
        <v>357.1</v>
      </c>
      <c r="E46" s="192">
        <v>375.6</v>
      </c>
      <c r="F46" s="192">
        <v>389.1</v>
      </c>
      <c r="G46" s="192">
        <v>402.6</v>
      </c>
      <c r="H46" s="192">
        <v>416.1</v>
      </c>
      <c r="I46" s="191">
        <v>415</v>
      </c>
      <c r="J46" s="192">
        <v>419.8</v>
      </c>
      <c r="K46" s="191">
        <v>424.7</v>
      </c>
      <c r="L46" s="85">
        <v>449.7</v>
      </c>
      <c r="M46" s="91">
        <v>474.7</v>
      </c>
      <c r="N46" s="103">
        <v>499.8</v>
      </c>
      <c r="O46" s="177">
        <v>510</v>
      </c>
      <c r="P46" s="91">
        <v>519</v>
      </c>
      <c r="Q46" s="103">
        <v>562.79999999999995</v>
      </c>
      <c r="R46" s="85">
        <v>547.29999999999995</v>
      </c>
      <c r="S46" s="91">
        <v>531.70000000000005</v>
      </c>
      <c r="T46" s="108">
        <v>516.1</v>
      </c>
      <c r="U46" s="85">
        <v>519.79999999999995</v>
      </c>
      <c r="V46" s="91">
        <v>523.5</v>
      </c>
      <c r="W46" s="108">
        <v>527.20000000000005</v>
      </c>
      <c r="X46" s="114">
        <v>528.20000000000005</v>
      </c>
      <c r="Y46" s="1241">
        <v>529.20000000000005</v>
      </c>
      <c r="Z46" s="94"/>
      <c r="AA46" s="180"/>
    </row>
    <row r="47" spans="1:27">
      <c r="A47" s="172">
        <v>40</v>
      </c>
      <c r="B47" s="128" t="s">
        <v>1785</v>
      </c>
      <c r="C47" s="191">
        <v>224.4</v>
      </c>
      <c r="D47" s="191">
        <v>224.7</v>
      </c>
      <c r="E47" s="192">
        <v>225</v>
      </c>
      <c r="F47" s="192">
        <v>224.5</v>
      </c>
      <c r="G47" s="192">
        <v>224.7</v>
      </c>
      <c r="H47" s="192">
        <v>224.8</v>
      </c>
      <c r="I47" s="191">
        <v>242.4</v>
      </c>
      <c r="J47" s="192">
        <v>242.6</v>
      </c>
      <c r="K47" s="191">
        <v>242.8</v>
      </c>
      <c r="L47" s="85">
        <v>242.6</v>
      </c>
      <c r="M47" s="91">
        <v>242.9</v>
      </c>
      <c r="N47" s="103">
        <v>243.1</v>
      </c>
      <c r="O47" s="177">
        <v>246.1</v>
      </c>
      <c r="P47" s="91">
        <v>246.4</v>
      </c>
      <c r="Q47" s="103">
        <v>246.7</v>
      </c>
      <c r="R47" s="85">
        <v>248.8</v>
      </c>
      <c r="S47" s="91">
        <v>249.1</v>
      </c>
      <c r="T47" s="108">
        <v>249.5</v>
      </c>
      <c r="U47" s="85">
        <v>251.4</v>
      </c>
      <c r="V47" s="91">
        <v>251.8</v>
      </c>
      <c r="W47" s="108">
        <v>252.1</v>
      </c>
      <c r="X47" s="114">
        <v>245</v>
      </c>
      <c r="Y47" s="1241">
        <v>252.6</v>
      </c>
      <c r="Z47" s="94"/>
      <c r="AA47" s="180"/>
    </row>
    <row r="48" spans="1:27">
      <c r="A48" s="172">
        <v>41</v>
      </c>
      <c r="B48" s="44" t="s">
        <v>1786</v>
      </c>
      <c r="C48" s="191">
        <v>116.1</v>
      </c>
      <c r="D48" s="191">
        <v>116.4</v>
      </c>
      <c r="E48" s="192">
        <v>116.7</v>
      </c>
      <c r="F48" s="192">
        <v>116.9</v>
      </c>
      <c r="G48" s="192">
        <v>117.1</v>
      </c>
      <c r="H48" s="192">
        <v>117.2</v>
      </c>
      <c r="I48" s="191">
        <v>129.5</v>
      </c>
      <c r="J48" s="192">
        <v>129.69999999999999</v>
      </c>
      <c r="K48" s="191">
        <v>129.9</v>
      </c>
      <c r="L48" s="85">
        <v>130.1</v>
      </c>
      <c r="M48" s="91">
        <v>130.4</v>
      </c>
      <c r="N48" s="103">
        <v>130.6</v>
      </c>
      <c r="O48" s="177">
        <v>130.9</v>
      </c>
      <c r="P48" s="91">
        <v>131.19999999999999</v>
      </c>
      <c r="Q48" s="103">
        <v>131.5</v>
      </c>
      <c r="R48" s="85">
        <v>131.80000000000001</v>
      </c>
      <c r="S48" s="91">
        <v>132.1</v>
      </c>
      <c r="T48" s="108">
        <v>132.5</v>
      </c>
      <c r="U48" s="85">
        <v>132.9</v>
      </c>
      <c r="V48" s="91">
        <v>133.30000000000001</v>
      </c>
      <c r="W48" s="108">
        <v>133.6</v>
      </c>
      <c r="X48" s="114">
        <v>133.9</v>
      </c>
      <c r="Y48" s="1241">
        <v>134.1</v>
      </c>
      <c r="Z48" s="94"/>
      <c r="AA48" s="180"/>
    </row>
    <row r="49" spans="1:27">
      <c r="A49" s="172">
        <v>42</v>
      </c>
      <c r="B49" s="44" t="s">
        <v>1787</v>
      </c>
      <c r="C49" s="191">
        <v>108.3</v>
      </c>
      <c r="D49" s="191">
        <v>108.3</v>
      </c>
      <c r="E49" s="192">
        <v>108.3</v>
      </c>
      <c r="F49" s="192">
        <v>107.6</v>
      </c>
      <c r="G49" s="192">
        <v>107.6</v>
      </c>
      <c r="H49" s="192">
        <v>107.6</v>
      </c>
      <c r="I49" s="191">
        <v>112.9</v>
      </c>
      <c r="J49" s="192">
        <v>112.9</v>
      </c>
      <c r="K49" s="191">
        <v>112.9</v>
      </c>
      <c r="L49" s="85">
        <v>112.5</v>
      </c>
      <c r="M49" s="91">
        <v>112.5</v>
      </c>
      <c r="N49" s="103">
        <v>112.5</v>
      </c>
      <c r="O49" s="177">
        <v>115.2</v>
      </c>
      <c r="P49" s="91">
        <v>115.2</v>
      </c>
      <c r="Q49" s="103">
        <v>115.2</v>
      </c>
      <c r="R49" s="85">
        <v>117</v>
      </c>
      <c r="S49" s="91">
        <v>117</v>
      </c>
      <c r="T49" s="108">
        <v>117</v>
      </c>
      <c r="U49" s="85">
        <v>118.5</v>
      </c>
      <c r="V49" s="91">
        <v>118.5</v>
      </c>
      <c r="W49" s="108">
        <v>118.5</v>
      </c>
      <c r="X49" s="114">
        <v>111.2</v>
      </c>
      <c r="Y49" s="1241">
        <v>118.5</v>
      </c>
      <c r="Z49" s="94"/>
      <c r="AA49" s="180"/>
    </row>
    <row r="50" spans="1:27">
      <c r="A50" s="172">
        <v>43</v>
      </c>
      <c r="B50" s="46" t="s">
        <v>244</v>
      </c>
      <c r="C50" s="189">
        <v>644.70000000000005</v>
      </c>
      <c r="D50" s="189">
        <v>606.4</v>
      </c>
      <c r="E50" s="190">
        <v>574.4</v>
      </c>
      <c r="F50" s="190">
        <v>577.4</v>
      </c>
      <c r="G50" s="190">
        <v>664.1</v>
      </c>
      <c r="H50" s="190">
        <v>702.3</v>
      </c>
      <c r="I50" s="189">
        <v>871.1</v>
      </c>
      <c r="J50" s="190">
        <v>926</v>
      </c>
      <c r="K50" s="189">
        <v>1047.5</v>
      </c>
      <c r="L50" s="84">
        <v>1042.5</v>
      </c>
      <c r="M50" s="89">
        <v>1060</v>
      </c>
      <c r="N50" s="102">
        <v>980.1</v>
      </c>
      <c r="O50" s="176">
        <v>890.7</v>
      </c>
      <c r="P50" s="89">
        <v>909.4</v>
      </c>
      <c r="Q50" s="102">
        <v>791.6</v>
      </c>
      <c r="R50" s="84">
        <v>781</v>
      </c>
      <c r="S50" s="89">
        <v>766</v>
      </c>
      <c r="T50" s="107">
        <v>732.3</v>
      </c>
      <c r="U50" s="84">
        <v>830.1</v>
      </c>
      <c r="V50" s="89">
        <v>765.3</v>
      </c>
      <c r="W50" s="107">
        <v>736.7</v>
      </c>
      <c r="X50" s="113">
        <v>768.5</v>
      </c>
      <c r="Y50" s="1240">
        <v>806.1</v>
      </c>
      <c r="Z50" s="74"/>
    </row>
    <row r="51" spans="1:27">
      <c r="A51" s="173">
        <v>44</v>
      </c>
      <c r="B51" s="161" t="s">
        <v>1788</v>
      </c>
      <c r="C51" s="189">
        <v>3.5</v>
      </c>
      <c r="D51" s="189">
        <v>3.2</v>
      </c>
      <c r="E51" s="190">
        <v>3</v>
      </c>
      <c r="F51" s="190">
        <v>3</v>
      </c>
      <c r="G51" s="190">
        <v>3.5</v>
      </c>
      <c r="H51" s="190">
        <v>3.7</v>
      </c>
      <c r="I51" s="189">
        <v>4.4000000000000004</v>
      </c>
      <c r="J51" s="190">
        <v>4.7</v>
      </c>
      <c r="K51" s="189">
        <v>5.2</v>
      </c>
      <c r="L51" s="84">
        <v>5.2</v>
      </c>
      <c r="M51" s="89">
        <v>5.3</v>
      </c>
      <c r="N51" s="102">
        <v>4.8</v>
      </c>
      <c r="O51" s="176">
        <v>4.4000000000000004</v>
      </c>
      <c r="P51" s="89">
        <v>4.5</v>
      </c>
      <c r="Q51" s="102">
        <v>3.9</v>
      </c>
      <c r="R51" s="84">
        <v>3.8</v>
      </c>
      <c r="S51" s="89">
        <v>3.7</v>
      </c>
      <c r="T51" s="107">
        <v>3.6</v>
      </c>
      <c r="U51" s="84">
        <v>4</v>
      </c>
      <c r="V51" s="89">
        <v>3.7</v>
      </c>
      <c r="W51" s="107">
        <v>3.5</v>
      </c>
      <c r="X51" s="113">
        <v>3.7</v>
      </c>
      <c r="Y51" s="1240">
        <v>3.9</v>
      </c>
      <c r="Z51" s="74"/>
    </row>
    <row r="52" spans="1:27">
      <c r="A52" s="172"/>
      <c r="B52" s="46" t="s">
        <v>1740</v>
      </c>
      <c r="C52" s="189"/>
      <c r="D52" s="189"/>
      <c r="E52" s="190"/>
      <c r="F52" s="190"/>
      <c r="G52" s="190"/>
      <c r="H52" s="190"/>
      <c r="I52" s="189"/>
      <c r="J52" s="190"/>
      <c r="K52" s="189"/>
      <c r="L52" s="84"/>
      <c r="M52" s="89"/>
      <c r="N52" s="102"/>
      <c r="O52" s="176"/>
      <c r="P52" s="89"/>
      <c r="Q52" s="102"/>
      <c r="R52" s="84"/>
      <c r="S52" s="89"/>
      <c r="T52" s="107"/>
      <c r="U52" s="84"/>
      <c r="V52" s="89"/>
      <c r="W52" s="107"/>
      <c r="X52" s="113"/>
      <c r="Y52" s="1240"/>
    </row>
    <row r="53" spans="1:27" ht="31" customHeight="1">
      <c r="A53" s="173">
        <v>45</v>
      </c>
      <c r="B53" s="161" t="s">
        <v>1789</v>
      </c>
      <c r="C53" s="189">
        <v>14559.1</v>
      </c>
      <c r="D53" s="189">
        <v>14618.2</v>
      </c>
      <c r="E53" s="190">
        <v>14653.2</v>
      </c>
      <c r="F53" s="190">
        <v>14618.1</v>
      </c>
      <c r="G53" s="190">
        <v>14607</v>
      </c>
      <c r="H53" s="190">
        <v>14604.2</v>
      </c>
      <c r="I53" s="189">
        <v>15496.1</v>
      </c>
      <c r="J53" s="190">
        <v>15529.2</v>
      </c>
      <c r="K53" s="189">
        <v>15596.8</v>
      </c>
      <c r="L53" s="84">
        <v>15592.2</v>
      </c>
      <c r="M53" s="89">
        <v>15622.4</v>
      </c>
      <c r="N53" s="102">
        <v>15638</v>
      </c>
      <c r="O53" s="176">
        <v>15691.7</v>
      </c>
      <c r="P53" s="89">
        <v>15726.6</v>
      </c>
      <c r="Q53" s="102">
        <v>15741.9</v>
      </c>
      <c r="R53" s="84">
        <v>15749.7</v>
      </c>
      <c r="S53" s="89">
        <v>15795.9</v>
      </c>
      <c r="T53" s="107">
        <v>15823.3</v>
      </c>
      <c r="U53" s="84">
        <v>15862.4</v>
      </c>
      <c r="V53" s="89">
        <v>15834</v>
      </c>
      <c r="W53" s="107">
        <v>15853.2</v>
      </c>
      <c r="X53" s="113">
        <v>15849.1</v>
      </c>
      <c r="Y53" s="1240">
        <v>15931</v>
      </c>
    </row>
    <row r="54" spans="1:27">
      <c r="A54" s="172"/>
      <c r="B54" s="129" t="s">
        <v>1790</v>
      </c>
      <c r="C54" s="189"/>
      <c r="D54" s="189"/>
      <c r="E54" s="190"/>
      <c r="F54" s="190"/>
      <c r="G54" s="190"/>
      <c r="H54" s="190"/>
      <c r="I54" s="189"/>
      <c r="J54" s="190"/>
      <c r="K54" s="189"/>
      <c r="L54" s="84"/>
      <c r="M54" s="89"/>
      <c r="N54" s="102"/>
      <c r="O54" s="176"/>
      <c r="P54" s="89"/>
      <c r="Q54" s="102"/>
      <c r="R54" s="84"/>
      <c r="S54" s="89"/>
      <c r="T54" s="107"/>
      <c r="U54" s="84"/>
      <c r="V54" s="89"/>
      <c r="W54" s="107"/>
      <c r="X54" s="113"/>
      <c r="Y54" s="1240"/>
    </row>
    <row r="55" spans="1:27" ht="16.399999999999999" customHeight="1">
      <c r="A55" s="172">
        <v>46</v>
      </c>
      <c r="B55" s="132" t="s">
        <v>1791</v>
      </c>
      <c r="C55" s="191">
        <v>15100.2</v>
      </c>
      <c r="D55" s="191">
        <v>15149.6</v>
      </c>
      <c r="E55" s="192">
        <v>15172.2</v>
      </c>
      <c r="F55" s="192">
        <v>15218.9</v>
      </c>
      <c r="G55" s="192">
        <v>15238.7</v>
      </c>
      <c r="H55" s="192">
        <v>15250.6</v>
      </c>
      <c r="I55" s="191">
        <v>16601.900000000001</v>
      </c>
      <c r="J55" s="192">
        <v>16656.099999999999</v>
      </c>
      <c r="K55" s="191">
        <v>16730.2</v>
      </c>
      <c r="L55" s="85">
        <v>16763.900000000001</v>
      </c>
      <c r="M55" s="91">
        <v>16818.5</v>
      </c>
      <c r="N55" s="103">
        <v>16809.5</v>
      </c>
      <c r="O55" s="177">
        <v>16816.400000000001</v>
      </c>
      <c r="P55" s="91">
        <v>16826.2</v>
      </c>
      <c r="Q55" s="103">
        <v>16816.3</v>
      </c>
      <c r="R55" s="85">
        <v>16819.900000000001</v>
      </c>
      <c r="S55" s="91">
        <v>16859.599999999999</v>
      </c>
      <c r="T55" s="108">
        <v>16889.2</v>
      </c>
      <c r="U55" s="85">
        <v>16914.2</v>
      </c>
      <c r="V55" s="91">
        <v>16897.400000000001</v>
      </c>
      <c r="W55" s="108">
        <v>16924.3</v>
      </c>
      <c r="X55" s="114">
        <v>16921.900000000001</v>
      </c>
      <c r="Y55" s="1241">
        <v>16999.599999999999</v>
      </c>
    </row>
    <row r="56" spans="1:27">
      <c r="A56" s="172"/>
      <c r="B56" s="44" t="s">
        <v>1792</v>
      </c>
      <c r="C56" s="191"/>
      <c r="D56" s="191"/>
      <c r="E56" s="192"/>
      <c r="F56" s="192"/>
      <c r="G56" s="192"/>
      <c r="H56" s="192"/>
      <c r="I56" s="191"/>
      <c r="J56" s="192"/>
      <c r="K56" s="191"/>
      <c r="L56" s="85"/>
      <c r="M56" s="91"/>
      <c r="N56" s="103"/>
      <c r="O56" s="177"/>
      <c r="P56" s="91"/>
      <c r="Q56" s="103"/>
      <c r="R56" s="85"/>
      <c r="S56" s="91"/>
      <c r="T56" s="108"/>
      <c r="U56" s="85"/>
      <c r="V56" s="91"/>
      <c r="W56" s="108"/>
      <c r="X56" s="114"/>
      <c r="Y56" s="1241"/>
    </row>
    <row r="57" spans="1:27">
      <c r="A57" s="172">
        <v>47</v>
      </c>
      <c r="B57" s="135" t="s">
        <v>1793</v>
      </c>
      <c r="C57" s="193">
        <v>55836</v>
      </c>
      <c r="D57" s="193">
        <v>56139</v>
      </c>
      <c r="E57" s="194">
        <v>56387</v>
      </c>
      <c r="F57" s="194">
        <v>56770</v>
      </c>
      <c r="G57" s="194">
        <v>56917</v>
      </c>
      <c r="H57" s="194">
        <v>57053</v>
      </c>
      <c r="I57" s="193">
        <v>59062</v>
      </c>
      <c r="J57" s="194">
        <v>59423</v>
      </c>
      <c r="K57" s="193">
        <v>59738</v>
      </c>
      <c r="L57" s="86">
        <v>60018</v>
      </c>
      <c r="M57" s="92">
        <v>60253</v>
      </c>
      <c r="N57" s="104">
        <v>60309</v>
      </c>
      <c r="O57" s="178">
        <v>60380</v>
      </c>
      <c r="P57" s="92">
        <v>60598</v>
      </c>
      <c r="Q57" s="104">
        <v>60762</v>
      </c>
      <c r="R57" s="86">
        <v>60767</v>
      </c>
      <c r="S57" s="92">
        <v>60876</v>
      </c>
      <c r="T57" s="109">
        <v>61033</v>
      </c>
      <c r="U57" s="86">
        <v>61361</v>
      </c>
      <c r="V57" s="92">
        <v>61482</v>
      </c>
      <c r="W57" s="109">
        <v>61766</v>
      </c>
      <c r="X57" s="115">
        <v>61898</v>
      </c>
      <c r="Y57" s="1242">
        <v>62152</v>
      </c>
    </row>
    <row r="58" spans="1:27">
      <c r="A58" s="172">
        <v>48</v>
      </c>
      <c r="B58" s="135" t="s">
        <v>1794</v>
      </c>
      <c r="C58" s="193">
        <v>45261</v>
      </c>
      <c r="D58" s="193">
        <v>45385</v>
      </c>
      <c r="E58" s="194">
        <v>45429</v>
      </c>
      <c r="F58" s="194">
        <v>45546</v>
      </c>
      <c r="G58" s="194">
        <v>45586</v>
      </c>
      <c r="H58" s="194">
        <v>45603</v>
      </c>
      <c r="I58" s="193">
        <v>49627</v>
      </c>
      <c r="J58" s="194">
        <v>49774</v>
      </c>
      <c r="K58" s="193">
        <v>49978</v>
      </c>
      <c r="L58" s="86">
        <v>50060</v>
      </c>
      <c r="M58" s="92">
        <v>50203</v>
      </c>
      <c r="N58" s="104">
        <v>50166</v>
      </c>
      <c r="O58" s="178">
        <v>50161</v>
      </c>
      <c r="P58" s="92">
        <v>50163</v>
      </c>
      <c r="Q58" s="104">
        <v>50106</v>
      </c>
      <c r="R58" s="86">
        <v>50093</v>
      </c>
      <c r="S58" s="92">
        <v>50188</v>
      </c>
      <c r="T58" s="109">
        <v>50255</v>
      </c>
      <c r="U58" s="86">
        <v>50311</v>
      </c>
      <c r="V58" s="92">
        <v>50244</v>
      </c>
      <c r="W58" s="109">
        <v>50307</v>
      </c>
      <c r="X58" s="115">
        <v>50280</v>
      </c>
      <c r="Y58" s="1242">
        <v>50491</v>
      </c>
    </row>
    <row r="59" spans="1:27" ht="15" customHeight="1">
      <c r="A59" s="174">
        <v>49</v>
      </c>
      <c r="B59" s="128" t="s">
        <v>1795</v>
      </c>
      <c r="C59" s="195">
        <v>333624</v>
      </c>
      <c r="D59" s="195">
        <v>333799</v>
      </c>
      <c r="E59" s="79">
        <v>333976</v>
      </c>
      <c r="F59" s="79">
        <v>334141</v>
      </c>
      <c r="G59" s="79">
        <v>334287</v>
      </c>
      <c r="H59" s="79">
        <v>334420</v>
      </c>
      <c r="I59" s="195">
        <v>334533</v>
      </c>
      <c r="J59" s="79">
        <v>334637</v>
      </c>
      <c r="K59" s="195">
        <v>334753</v>
      </c>
      <c r="L59" s="111">
        <v>334880</v>
      </c>
      <c r="M59" s="93">
        <v>335013</v>
      </c>
      <c r="N59" s="105">
        <v>335080</v>
      </c>
      <c r="O59" s="179">
        <v>335248</v>
      </c>
      <c r="P59" s="93">
        <v>335431</v>
      </c>
      <c r="Q59" s="105">
        <v>335612</v>
      </c>
      <c r="R59" s="111">
        <v>335773</v>
      </c>
      <c r="S59" s="93">
        <v>335925</v>
      </c>
      <c r="T59" s="110">
        <v>336070</v>
      </c>
      <c r="U59" s="111">
        <v>336194</v>
      </c>
      <c r="V59" s="93">
        <v>336306</v>
      </c>
      <c r="W59" s="110">
        <v>336423</v>
      </c>
      <c r="X59" s="116">
        <v>336550</v>
      </c>
      <c r="Y59" s="1242">
        <v>336687</v>
      </c>
    </row>
    <row r="60" spans="1:27">
      <c r="A60" s="1295" t="s">
        <v>1796</v>
      </c>
      <c r="B60" s="1295"/>
      <c r="C60" s="1295"/>
      <c r="D60" s="1295"/>
      <c r="E60" s="1295"/>
      <c r="F60" s="1295"/>
      <c r="G60" s="1295"/>
      <c r="H60" s="1295"/>
      <c r="I60" s="1295"/>
      <c r="J60" s="1295"/>
      <c r="K60" s="185"/>
      <c r="L60" s="152"/>
      <c r="M60" s="164"/>
      <c r="N60" s="139"/>
      <c r="O60" s="152"/>
      <c r="P60" s="164"/>
      <c r="Q60" s="139"/>
      <c r="R60" s="152"/>
      <c r="S60" s="164"/>
      <c r="T60" s="139"/>
      <c r="U60" s="152"/>
      <c r="V60" s="164"/>
      <c r="W60" s="139"/>
      <c r="X60" s="152"/>
      <c r="Y60" s="164"/>
    </row>
    <row r="61" spans="1:27">
      <c r="A61" s="1278" t="s">
        <v>1797</v>
      </c>
      <c r="B61" s="1278"/>
      <c r="C61" s="1278"/>
      <c r="D61" s="1278"/>
      <c r="E61" s="1278"/>
      <c r="F61" s="1278"/>
      <c r="G61" s="1278"/>
      <c r="H61" s="1278"/>
      <c r="I61" s="1278"/>
      <c r="J61" s="1278"/>
      <c r="K61" s="122"/>
      <c r="L61" s="153"/>
      <c r="M61" s="165"/>
      <c r="N61" s="140"/>
      <c r="O61" s="153"/>
      <c r="P61" s="165"/>
      <c r="Q61" s="140"/>
      <c r="R61" s="153"/>
      <c r="S61" s="165"/>
      <c r="T61" s="140"/>
      <c r="U61" s="153"/>
      <c r="V61" s="165"/>
      <c r="W61" s="140"/>
      <c r="X61" s="153"/>
      <c r="Y61" s="165"/>
    </row>
    <row r="62" spans="1:27">
      <c r="A62" s="1278" t="s">
        <v>1798</v>
      </c>
      <c r="B62" s="1278"/>
      <c r="C62" s="1278"/>
      <c r="D62" s="1278"/>
      <c r="E62" s="1278"/>
      <c r="F62" s="1278"/>
      <c r="G62" s="1278"/>
      <c r="H62" s="1278"/>
      <c r="I62" s="1278"/>
      <c r="J62" s="1278"/>
      <c r="K62" s="122"/>
      <c r="L62" s="153"/>
      <c r="M62" s="165"/>
      <c r="N62" s="140"/>
      <c r="O62" s="153"/>
      <c r="P62" s="165"/>
      <c r="Q62" s="140"/>
      <c r="R62" s="153"/>
      <c r="S62" s="165"/>
      <c r="T62" s="140"/>
      <c r="U62" s="153"/>
      <c r="V62" s="165"/>
      <c r="W62" s="140"/>
      <c r="X62" s="153"/>
      <c r="Y62" s="165"/>
    </row>
    <row r="63" spans="1:27">
      <c r="A63" s="1278" t="s">
        <v>1799</v>
      </c>
      <c r="B63" s="1278"/>
      <c r="C63" s="1278"/>
      <c r="D63" s="1278"/>
      <c r="E63" s="1278"/>
      <c r="F63" s="1278"/>
      <c r="G63" s="1278"/>
      <c r="H63" s="1278"/>
      <c r="I63" s="1278"/>
      <c r="J63" s="1278"/>
      <c r="K63" s="122"/>
      <c r="L63" s="153"/>
      <c r="M63" s="165"/>
      <c r="N63" s="140"/>
      <c r="O63" s="153"/>
      <c r="P63" s="165"/>
      <c r="Q63" s="140"/>
      <c r="R63" s="153"/>
      <c r="S63" s="165"/>
      <c r="T63" s="140"/>
      <c r="U63" s="153"/>
      <c r="V63" s="165"/>
      <c r="W63" s="140"/>
      <c r="X63" s="153"/>
      <c r="Y63" s="165"/>
    </row>
    <row r="64" spans="1:27">
      <c r="A64" s="1278" t="s">
        <v>1800</v>
      </c>
      <c r="B64" s="1278"/>
      <c r="C64" s="1278"/>
      <c r="D64" s="1278"/>
      <c r="E64" s="1278"/>
      <c r="F64" s="1278"/>
      <c r="G64" s="1278"/>
      <c r="H64" s="1278"/>
      <c r="I64" s="1278"/>
      <c r="J64" s="1278"/>
      <c r="K64" s="122"/>
      <c r="L64" s="153"/>
      <c r="M64" s="165"/>
      <c r="N64" s="140"/>
      <c r="O64" s="153"/>
      <c r="P64" s="165"/>
      <c r="Q64" s="140"/>
      <c r="R64" s="153"/>
      <c r="S64" s="165"/>
      <c r="T64" s="140"/>
      <c r="U64" s="153"/>
      <c r="V64" s="165"/>
      <c r="W64" s="140"/>
      <c r="X64" s="153"/>
      <c r="Y64" s="165"/>
    </row>
    <row r="65" spans="1:25">
      <c r="A65" s="1278" t="s">
        <v>1801</v>
      </c>
      <c r="B65" s="1278"/>
      <c r="C65" s="1278"/>
      <c r="D65" s="1278"/>
      <c r="E65" s="1278"/>
      <c r="F65" s="1278"/>
      <c r="G65" s="1278"/>
      <c r="H65" s="1278"/>
      <c r="I65" s="1278"/>
      <c r="J65" s="1278"/>
      <c r="K65" s="122"/>
      <c r="L65" s="153"/>
      <c r="M65" s="165"/>
      <c r="N65" s="140"/>
      <c r="O65" s="153"/>
      <c r="P65" s="165"/>
      <c r="Q65" s="140"/>
      <c r="R65" s="153"/>
      <c r="S65" s="165"/>
      <c r="T65" s="140"/>
      <c r="U65" s="153"/>
      <c r="V65" s="165"/>
      <c r="W65" s="140"/>
      <c r="X65" s="153"/>
      <c r="Y65" s="165"/>
    </row>
    <row r="66" spans="1:25" ht="14.5" customHeight="1">
      <c r="A66" s="1278" t="s">
        <v>1802</v>
      </c>
      <c r="B66" s="1278"/>
      <c r="C66" s="1278"/>
      <c r="D66" s="1278"/>
      <c r="E66" s="1278"/>
      <c r="F66" s="1278"/>
      <c r="G66" s="1278"/>
      <c r="H66" s="1278"/>
      <c r="I66" s="1278"/>
      <c r="J66" s="1278"/>
      <c r="K66" s="122"/>
      <c r="L66" s="153"/>
      <c r="M66" s="165"/>
      <c r="N66" s="140"/>
      <c r="O66" s="153"/>
      <c r="P66" s="165"/>
      <c r="Q66" s="140"/>
      <c r="R66" s="153"/>
      <c r="S66" s="165"/>
      <c r="T66" s="140"/>
      <c r="U66" s="153"/>
      <c r="V66" s="165"/>
      <c r="W66" s="140"/>
      <c r="X66" s="153"/>
      <c r="Y66" s="165"/>
    </row>
    <row r="67" spans="1:25" ht="14.5" customHeight="1">
      <c r="A67" s="1279" t="s">
        <v>1803</v>
      </c>
      <c r="B67" s="1279"/>
      <c r="C67" s="1279"/>
      <c r="D67" s="1279"/>
      <c r="E67" s="1279"/>
      <c r="F67" s="1279"/>
      <c r="G67" s="1279"/>
      <c r="H67" s="1279"/>
      <c r="I67" s="1279"/>
      <c r="J67" s="1279"/>
      <c r="K67" s="127"/>
      <c r="L67" s="154"/>
      <c r="M67" s="167"/>
      <c r="N67" s="141"/>
      <c r="O67" s="154"/>
      <c r="P67" s="167"/>
      <c r="Q67" s="141"/>
      <c r="R67" s="154"/>
      <c r="S67" s="167"/>
      <c r="T67" s="141"/>
      <c r="U67" s="154"/>
      <c r="V67" s="167"/>
      <c r="W67" s="141"/>
      <c r="X67" s="154"/>
      <c r="Y67" s="167"/>
    </row>
    <row r="68" spans="1:25" ht="14.5" customHeight="1">
      <c r="A68" s="1280" t="s">
        <v>246</v>
      </c>
      <c r="B68" s="1280"/>
      <c r="C68" s="1280"/>
      <c r="D68" s="1280"/>
      <c r="E68" s="1280"/>
      <c r="F68" s="1280"/>
      <c r="G68" s="1280"/>
      <c r="H68" s="1280"/>
      <c r="I68" s="1280"/>
      <c r="J68" s="1280"/>
      <c r="K68" s="128"/>
      <c r="L68" s="155"/>
      <c r="M68" s="168"/>
      <c r="N68" s="142"/>
      <c r="O68" s="155"/>
      <c r="P68" s="168"/>
      <c r="Q68" s="142"/>
      <c r="R68" s="155"/>
      <c r="S68" s="168"/>
      <c r="T68" s="142"/>
      <c r="U68" s="155"/>
      <c r="V68" s="168"/>
      <c r="W68" s="142"/>
      <c r="X68" s="155"/>
      <c r="Y68" s="168"/>
    </row>
    <row r="69" spans="1:25">
      <c r="A69" s="1277" t="s">
        <v>885</v>
      </c>
      <c r="B69" s="1277"/>
      <c r="C69" s="1277"/>
      <c r="D69" s="1277"/>
      <c r="E69" s="1277"/>
      <c r="F69" s="1277"/>
      <c r="G69" s="1277"/>
    </row>
    <row r="70" spans="1:25">
      <c r="A70" s="1281" t="s">
        <v>886</v>
      </c>
      <c r="B70" s="1281"/>
      <c r="C70" s="1281"/>
      <c r="D70" s="1281"/>
      <c r="E70" s="1281"/>
      <c r="F70" s="1281"/>
      <c r="G70" s="1281"/>
    </row>
    <row r="71" spans="1:25">
      <c r="A71" s="1276" t="s">
        <v>887</v>
      </c>
      <c r="B71" s="1276"/>
      <c r="C71" s="1276"/>
      <c r="D71" s="1276"/>
      <c r="E71" s="1276"/>
      <c r="F71" s="1276"/>
      <c r="G71" s="1276"/>
    </row>
    <row r="72" spans="1:25">
      <c r="A72" s="1275" t="s">
        <v>888</v>
      </c>
      <c r="B72" s="1275"/>
      <c r="C72" s="1275"/>
      <c r="D72" s="1275"/>
      <c r="E72" s="1275"/>
      <c r="F72" s="1275"/>
      <c r="G72" s="1275"/>
    </row>
    <row r="73" spans="1:25">
      <c r="A73" s="1275" t="s">
        <v>889</v>
      </c>
      <c r="B73" s="1275"/>
      <c r="C73" s="1275"/>
      <c r="D73" s="1275"/>
      <c r="E73" s="1275"/>
      <c r="F73" s="1275"/>
      <c r="G73" s="1275"/>
    </row>
    <row r="74" spans="1:25">
      <c r="A74" s="1276" t="s">
        <v>890</v>
      </c>
      <c r="B74" s="1276"/>
      <c r="C74" s="1276"/>
      <c r="D74" s="1276"/>
      <c r="E74" s="1276"/>
      <c r="F74" s="1276"/>
      <c r="G74" s="1276"/>
    </row>
    <row r="76" spans="1:25">
      <c r="A76" s="1277" t="s">
        <v>891</v>
      </c>
      <c r="B76" s="1277"/>
      <c r="C76" s="1277"/>
      <c r="D76" s="1277"/>
      <c r="E76" s="1277"/>
      <c r="F76" s="1277"/>
      <c r="G76" s="1277"/>
    </row>
    <row r="78" spans="1:25">
      <c r="A78" s="56" t="s">
        <v>245</v>
      </c>
    </row>
    <row r="80" spans="1:25">
      <c r="A80" s="56" t="s">
        <v>246</v>
      </c>
    </row>
    <row r="82" spans="1:26">
      <c r="A82" t="s">
        <v>881</v>
      </c>
      <c r="B82" t="s">
        <v>882</v>
      </c>
      <c r="C82" s="182">
        <v>44743</v>
      </c>
      <c r="D82" s="182">
        <v>44774</v>
      </c>
      <c r="E82" s="182">
        <v>44805</v>
      </c>
      <c r="F82" s="182">
        <v>44835</v>
      </c>
      <c r="G82" s="182">
        <v>44866</v>
      </c>
      <c r="H82" s="182">
        <v>44896</v>
      </c>
      <c r="I82" s="182">
        <v>44927</v>
      </c>
      <c r="J82" s="182">
        <v>44958</v>
      </c>
      <c r="K82" s="182">
        <v>44986</v>
      </c>
      <c r="L82" s="157">
        <v>45017</v>
      </c>
      <c r="M82" s="170">
        <v>45047</v>
      </c>
      <c r="N82" s="144">
        <v>45078</v>
      </c>
      <c r="O82" s="157">
        <v>45108</v>
      </c>
      <c r="P82" s="170">
        <v>45139</v>
      </c>
      <c r="Q82" s="144">
        <v>45170</v>
      </c>
      <c r="R82" s="157">
        <v>45200</v>
      </c>
      <c r="S82" s="170">
        <v>45231</v>
      </c>
      <c r="T82" s="144">
        <v>45261</v>
      </c>
      <c r="U82" s="157">
        <v>45292</v>
      </c>
      <c r="V82" s="170">
        <v>45323</v>
      </c>
      <c r="W82" s="144">
        <v>45352</v>
      </c>
      <c r="X82" s="157">
        <v>45383</v>
      </c>
      <c r="Y82" s="170">
        <v>45413</v>
      </c>
    </row>
    <row r="83" spans="1:26">
      <c r="A83" s="95" t="s">
        <v>1937</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69">
        <f>'Federal and State Purchases'!AF33</f>
        <v>5280</v>
      </c>
      <c r="N83" s="143">
        <f>'Federal and State Purchases'!AG33</f>
        <v>5301</v>
      </c>
      <c r="O83" s="156">
        <f>'Federal and State Purchases'!AH33</f>
        <v>5301</v>
      </c>
      <c r="P83" s="169">
        <f>'Federal and State Purchases'!AI33</f>
        <v>5329</v>
      </c>
      <c r="Q83" s="143">
        <f>'Federal and State Purchases'!AJ33</f>
        <v>5346</v>
      </c>
      <c r="R83" s="156">
        <f>'Federal and State Purchases'!AK33</f>
        <v>5375</v>
      </c>
      <c r="S83" s="169">
        <f>'Federal and State Purchases'!AL33</f>
        <v>5383</v>
      </c>
      <c r="T83" s="143">
        <f>'Federal and State Purchases'!AM33</f>
        <v>5404</v>
      </c>
      <c r="U83" s="156">
        <v>5420</v>
      </c>
      <c r="V83" s="169">
        <v>5434</v>
      </c>
      <c r="W83" s="143">
        <v>5444</v>
      </c>
      <c r="X83" s="156">
        <v>5450</v>
      </c>
      <c r="Y83" s="169">
        <v>5455</v>
      </c>
    </row>
    <row r="84" spans="1:26">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69">
        <f>'Federal and State Purchases'!AF34</f>
        <v>14508</v>
      </c>
      <c r="N84" s="143">
        <f>'Federal and State Purchases'!AG34</f>
        <v>14536</v>
      </c>
      <c r="O84" s="156">
        <f>'Federal and State Purchases'!AH34</f>
        <v>14564</v>
      </c>
      <c r="P84" s="169">
        <f>'Federal and State Purchases'!AI34</f>
        <v>14585</v>
      </c>
      <c r="Q84" s="143">
        <f>'Federal and State Purchases'!AJ34</f>
        <v>14612</v>
      </c>
      <c r="R84" s="156">
        <f>'Federal and State Purchases'!AK34</f>
        <v>14642</v>
      </c>
      <c r="S84" s="169">
        <f>'Federal and State Purchases'!AL34</f>
        <v>14665</v>
      </c>
      <c r="T84" s="143">
        <f>'Federal and State Purchases'!AM34</f>
        <v>14711</v>
      </c>
      <c r="U84" s="156">
        <v>14742</v>
      </c>
      <c r="V84" s="169">
        <v>14776</v>
      </c>
      <c r="W84" s="143">
        <v>14832</v>
      </c>
      <c r="X84" s="156">
        <v>14831</v>
      </c>
      <c r="Y84" s="169">
        <v>14865</v>
      </c>
    </row>
    <row r="85" spans="1:26">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69">
        <f>'Federal and State Purchases'!AF35</f>
        <v>19788</v>
      </c>
      <c r="N85" s="143">
        <f>'Federal and State Purchases'!AG35</f>
        <v>19837</v>
      </c>
      <c r="O85" s="156">
        <f>'Federal and State Purchases'!AH35</f>
        <v>19865</v>
      </c>
      <c r="P85" s="169">
        <f>'Federal and State Purchases'!AI35</f>
        <v>19914</v>
      </c>
      <c r="Q85" s="143">
        <f>'Federal and State Purchases'!AJ35</f>
        <v>19958</v>
      </c>
      <c r="R85" s="156">
        <f>'Federal and State Purchases'!AK35</f>
        <v>20017</v>
      </c>
      <c r="S85" s="169">
        <f>'Federal and State Purchases'!AL35</f>
        <v>20048</v>
      </c>
      <c r="T85" s="143">
        <f>'Federal and State Purchases'!AM35</f>
        <v>20115</v>
      </c>
      <c r="U85" s="156">
        <f>'Federal and State Purchases'!AN35</f>
        <v>20162</v>
      </c>
      <c r="V85" s="169">
        <f>'Federal and State Purchases'!AO35</f>
        <v>20210</v>
      </c>
      <c r="W85" s="143">
        <f>'Federal and State Purchases'!AP35</f>
        <v>20272</v>
      </c>
      <c r="X85" s="156">
        <f>'Federal and State Purchases'!AQ35</f>
        <v>20278</v>
      </c>
      <c r="Y85" s="169">
        <f>'Federal and State Purchases'!AR35</f>
        <v>0</v>
      </c>
      <c r="Z85">
        <f>(W85/V85)^4</f>
        <v>1.0123277364184935</v>
      </c>
    </row>
    <row r="86" spans="1:26">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69">
        <f>'Federal and State Purchases'!AF36</f>
        <v>388978</v>
      </c>
      <c r="N86" s="143">
        <f>'Federal and State Purchases'!AG36</f>
        <v>396538</v>
      </c>
      <c r="O86" s="156">
        <f>'Federal and State Purchases'!AH36</f>
        <v>404059</v>
      </c>
      <c r="P86" s="169">
        <f>'Federal and State Purchases'!AI36</f>
        <v>407847</v>
      </c>
      <c r="Q86" s="143">
        <f>'Federal and State Purchases'!AJ36</f>
        <v>418897</v>
      </c>
      <c r="R86" s="156">
        <f>'Federal and State Purchases'!AK36</f>
        <v>432334</v>
      </c>
      <c r="S86" s="169">
        <f>'Federal and State Purchases'!AL36</f>
        <v>440095</v>
      </c>
      <c r="T86" s="143">
        <f>'Federal and State Purchases'!AM36</f>
        <v>446894</v>
      </c>
      <c r="U86" s="156">
        <f>'Federal and State Purchases'!AN36</f>
        <v>445408</v>
      </c>
      <c r="V86" s="169">
        <f>'Federal and State Purchases'!AO36</f>
        <v>448458</v>
      </c>
      <c r="W86" s="143">
        <f>'Federal and State Purchases'!AP36</f>
        <v>453062</v>
      </c>
      <c r="X86" s="156">
        <f>'Federal and State Purchases'!AQ36</f>
        <v>451154</v>
      </c>
      <c r="Y86" s="169">
        <f>'Federal and State Purchases'!AR36</f>
        <v>0</v>
      </c>
    </row>
    <row r="88" spans="1:26">
      <c r="A88" s="124"/>
    </row>
    <row r="89" spans="1:26" ht="16.5" customHeight="1">
      <c r="A89" s="124"/>
      <c r="B89" t="s">
        <v>1931</v>
      </c>
      <c r="I89" s="184">
        <v>119.011</v>
      </c>
      <c r="J89" s="184">
        <v>119.386</v>
      </c>
      <c r="K89" s="184">
        <v>119.53</v>
      </c>
      <c r="L89" s="184">
        <v>119.893</v>
      </c>
      <c r="M89" s="184">
        <v>120.02</v>
      </c>
      <c r="N89" s="184">
        <v>120.221</v>
      </c>
      <c r="O89" s="118">
        <v>120.373</v>
      </c>
      <c r="P89" s="118">
        <v>120.803</v>
      </c>
      <c r="Q89" s="118">
        <v>121.267</v>
      </c>
      <c r="R89" s="118">
        <v>121.309</v>
      </c>
      <c r="S89" s="118">
        <v>121.29600000000001</v>
      </c>
      <c r="T89" s="1244">
        <v>121.44799999999999</v>
      </c>
      <c r="U89" s="1244">
        <v>121.96599999999999</v>
      </c>
      <c r="V89" s="1244">
        <v>122.367</v>
      </c>
      <c r="W89" s="1244">
        <v>122.782</v>
      </c>
      <c r="X89" s="1244">
        <v>123.10599999999999</v>
      </c>
      <c r="Y89" s="1244">
        <v>123.096</v>
      </c>
      <c r="Z89" s="1245">
        <f>Deflators!Z45</f>
        <v>2.423474992777825E-2</v>
      </c>
    </row>
    <row r="90" spans="1:26">
      <c r="A90" s="124"/>
      <c r="U90" s="156">
        <f>V89/U89</f>
        <v>1.0032878015184561</v>
      </c>
      <c r="Z90">
        <f>(Y89/V89)^4-1</f>
        <v>2.404375119694957E-2</v>
      </c>
    </row>
    <row r="92" spans="1:26">
      <c r="O92" s="156">
        <f>AVERAGE(O89:Q89)</f>
        <v>120.81433333333332</v>
      </c>
      <c r="R92" s="156">
        <f>AVERAGE(R89:T89)</f>
        <v>121.351</v>
      </c>
      <c r="U92" s="156">
        <f>AVERAGE(U89:Z89)</f>
        <v>102.22353912498797</v>
      </c>
      <c r="X92">
        <f>AVERAGE(U89:W89)</f>
        <v>122.37166666666667</v>
      </c>
    </row>
    <row r="93" spans="1:26">
      <c r="O93" s="183">
        <f>(R92/O92)^4-1</f>
        <v>1.7887054480272058E-2</v>
      </c>
      <c r="R93" s="183">
        <f>(U92/R92)^4-1</f>
        <v>-0.49646436239998371</v>
      </c>
    </row>
    <row r="94" spans="1:26">
      <c r="X94">
        <f>(Z89/X92)^4-1</f>
        <v>-0.99999999999999845</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1640625" defaultRowHeight="14.5"/>
  <cols>
    <col min="1" max="1" width="33" customWidth="1"/>
    <col min="2" max="2" width="27.1796875" customWidth="1"/>
  </cols>
  <sheetData>
    <row r="1" spans="1:22">
      <c r="A1" s="75" t="s">
        <v>178</v>
      </c>
      <c r="B1" s="75" t="s">
        <v>179</v>
      </c>
      <c r="C1" s="200" t="s">
        <v>247</v>
      </c>
      <c r="D1" s="200" t="s">
        <v>248</v>
      </c>
      <c r="E1" s="200" t="s">
        <v>249</v>
      </c>
      <c r="F1" s="200" t="s">
        <v>250</v>
      </c>
      <c r="G1" s="75" t="s">
        <v>251</v>
      </c>
      <c r="H1" s="75" t="s">
        <v>180</v>
      </c>
      <c r="I1" s="75" t="s">
        <v>181</v>
      </c>
      <c r="J1" s="75" t="s">
        <v>182</v>
      </c>
      <c r="K1" s="75" t="s">
        <v>183</v>
      </c>
      <c r="L1" s="80" t="s">
        <v>184</v>
      </c>
      <c r="M1" s="80" t="s">
        <v>185</v>
      </c>
      <c r="N1" s="80" t="s">
        <v>186</v>
      </c>
      <c r="O1" s="80" t="s">
        <v>187</v>
      </c>
      <c r="P1" s="80" t="s">
        <v>188</v>
      </c>
      <c r="Q1" s="80" t="s">
        <v>189</v>
      </c>
      <c r="R1" s="80" t="s">
        <v>1935</v>
      </c>
      <c r="S1" s="80"/>
      <c r="T1" s="80"/>
      <c r="U1" s="80"/>
      <c r="V1" s="80"/>
    </row>
    <row r="2" spans="1:22" ht="29.15" customHeight="1">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56">
        <f>Grants!P75</f>
        <v>396.106852</v>
      </c>
      <c r="J2" s="56">
        <f>Grants!Q75</f>
        <v>433.66327480000001</v>
      </c>
      <c r="K2" s="56">
        <f>Grants!R75</f>
        <v>500.88603199999994</v>
      </c>
      <c r="L2" s="56">
        <f>Grants!S75</f>
        <v>486.87586800000008</v>
      </c>
      <c r="M2" s="56">
        <f>Grants!T75</f>
        <v>445.45392800000008</v>
      </c>
      <c r="N2" s="56">
        <f>Grants!U75</f>
        <v>439.61154320000009</v>
      </c>
      <c r="O2" s="56">
        <f>Grants!V75</f>
        <v>429.15772000000004</v>
      </c>
      <c r="P2" s="197">
        <f>Grants!W75</f>
        <v>415.61894400000006</v>
      </c>
      <c r="Q2" s="197">
        <f>Grants!X75</f>
        <v>427.53694400000006</v>
      </c>
      <c r="R2" s="197">
        <f>Grants!Y75</f>
        <v>427.26494400000001</v>
      </c>
    </row>
    <row r="3" spans="1:22" ht="29.15" customHeight="1">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6">
        <f>'Social Benefits'!P33</f>
        <v>1894.6239999999998</v>
      </c>
      <c r="J3" s="56">
        <f>'Social Benefits'!Q33</f>
        <v>1859.424</v>
      </c>
      <c r="K3" s="56">
        <f>'Social Benefits'!R33</f>
        <v>1856.6239999999998</v>
      </c>
      <c r="L3" s="56">
        <f>'Social Benefits'!S33</f>
        <v>1840.0239999999999</v>
      </c>
      <c r="M3" s="56">
        <f>'Social Benefits'!T33</f>
        <v>1904.0839999999996</v>
      </c>
      <c r="N3" s="56">
        <f>'Social Benefits'!U33</f>
        <v>1972.2840000000003</v>
      </c>
      <c r="O3" s="56">
        <f>'Social Benefits'!V33</f>
        <v>1951.7554285714286</v>
      </c>
      <c r="P3" s="197">
        <f>'Social Benefits'!W33</f>
        <v>1947.7554285714286</v>
      </c>
      <c r="Q3" s="197">
        <f>'Social Benefits'!X33</f>
        <v>1954.2990000000002</v>
      </c>
      <c r="R3" s="197">
        <f>'Social Benefits'!Y33</f>
        <v>2046.499</v>
      </c>
    </row>
    <row r="4" spans="1:22" ht="29.15" customHeight="1">
      <c r="A4" s="14" t="s">
        <v>794</v>
      </c>
      <c r="B4" t="s">
        <v>790</v>
      </c>
      <c r="C4">
        <f>'Social Benefits'!J24</f>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197">
        <f>'Social Benefits'!W24</f>
        <v>12</v>
      </c>
      <c r="Q4" s="197">
        <f>'Social Benefits'!X24</f>
        <v>4.2219999999999995</v>
      </c>
      <c r="R4" s="197">
        <f>'Social Benefits'!Y24</f>
        <v>4.2219999999999995</v>
      </c>
    </row>
    <row r="5" spans="1:22">
      <c r="A5" s="14" t="s">
        <v>793</v>
      </c>
      <c r="B5" t="s">
        <v>791</v>
      </c>
      <c r="C5">
        <f>'Social Benefits'!J30</f>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197">
        <f>'Social Benefits'!W30</f>
        <v>1.4159999999999999</v>
      </c>
      <c r="Q5" s="197">
        <f>'Social Benefits'!X30</f>
        <v>1.4790000000000001</v>
      </c>
      <c r="R5" s="197">
        <f>'Social Benefits'!Y30</f>
        <v>1.4790000000000001</v>
      </c>
    </row>
    <row r="6" spans="1:22">
      <c r="A6" s="56" t="s">
        <v>201</v>
      </c>
      <c r="B6" s="56" t="s">
        <v>828</v>
      </c>
      <c r="C6" s="201">
        <f>Subsidies!J45</f>
        <v>0</v>
      </c>
      <c r="D6" s="201">
        <f>Subsidies!K45</f>
        <v>0</v>
      </c>
      <c r="E6" s="201">
        <f>Subsidies!L45</f>
        <v>0</v>
      </c>
      <c r="F6" s="201">
        <f>Subsidies!M45</f>
        <v>0</v>
      </c>
      <c r="G6" s="201">
        <f>Subsidies!N45</f>
        <v>58.782959999999989</v>
      </c>
      <c r="H6" s="201">
        <f>Subsidies!O45</f>
        <v>267.78904</v>
      </c>
      <c r="I6" s="201">
        <f>Subsidies!P45</f>
        <v>110.24799999999999</v>
      </c>
      <c r="J6" s="201">
        <f>Subsidies!Q45</f>
        <v>110.24799999999999</v>
      </c>
      <c r="K6" s="201">
        <f>Subsidies!R45</f>
        <v>110.24799999999999</v>
      </c>
      <c r="L6" s="201">
        <f>Subsidies!S45</f>
        <v>110.24799999999999</v>
      </c>
      <c r="M6" s="201">
        <f>Subsidies!T45</f>
        <v>12.726000000000001</v>
      </c>
      <c r="N6" s="201">
        <f>Subsidies!U45</f>
        <v>12.726000000000001</v>
      </c>
      <c r="O6" s="201">
        <f>Subsidies!V45</f>
        <v>12.726000000000001</v>
      </c>
      <c r="P6" s="198">
        <f>Subsidies!W45</f>
        <v>12.726000000000001</v>
      </c>
      <c r="Q6" s="198">
        <f>Subsidies!X45</f>
        <v>1.365</v>
      </c>
      <c r="R6" s="198">
        <f>Subsidies!Y45</f>
        <v>1.365</v>
      </c>
    </row>
    <row r="7" spans="1:22" ht="29.15" customHeight="1">
      <c r="A7" s="14" t="s">
        <v>867</v>
      </c>
      <c r="B7" t="s">
        <v>865</v>
      </c>
      <c r="C7" s="56" t="e">
        <f>Taxes!#REF!</f>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197" t="e">
        <f>Taxes!#REF!</f>
        <v>#REF!</v>
      </c>
      <c r="Q7" s="197" t="e">
        <f>Taxes!#REF!</f>
        <v>#REF!</v>
      </c>
      <c r="R7" s="197" t="e">
        <f>Taxes!#REF!</f>
        <v>#REF!</v>
      </c>
    </row>
    <row r="8" spans="1:22">
      <c r="A8" t="s">
        <v>868</v>
      </c>
      <c r="B8" t="s">
        <v>866</v>
      </c>
      <c r="C8" s="56"/>
      <c r="D8" s="56"/>
      <c r="E8" s="56"/>
      <c r="F8" s="56"/>
      <c r="G8" s="56"/>
      <c r="H8" s="56"/>
      <c r="J8" s="73"/>
      <c r="K8" s="73"/>
      <c r="L8" s="73"/>
      <c r="M8" s="73"/>
      <c r="N8" s="73" t="e">
        <f>forecast!#REF!</f>
        <v>#REF!</v>
      </c>
      <c r="O8" s="73" t="e">
        <f>forecast!#REF!</f>
        <v>#REF!</v>
      </c>
      <c r="P8" s="199" t="e">
        <f>forecast!#REF!</f>
        <v>#REF!</v>
      </c>
      <c r="Q8" s="199" t="e">
        <f>forecast!#REF!</f>
        <v>#REF!</v>
      </c>
      <c r="R8" s="199" t="e">
        <f>forecast!#REF!</f>
        <v>#REF!</v>
      </c>
    </row>
    <row r="9" spans="1:22">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56">
        <f>Grants!T96</f>
        <v>76.048285714285726</v>
      </c>
      <c r="N9" s="56">
        <f>Grants!U96</f>
        <v>76.048285714285726</v>
      </c>
      <c r="O9" s="56">
        <f>Grants!V96</f>
        <v>76.048285714285726</v>
      </c>
      <c r="P9" s="197">
        <f>Grants!W96</f>
        <v>76.048285714285726</v>
      </c>
      <c r="Q9" s="197">
        <f>Grants!X96</f>
        <v>77.707285714285717</v>
      </c>
      <c r="R9" s="197">
        <f>Grants!Y96</f>
        <v>77.707285714285717</v>
      </c>
    </row>
    <row r="10" spans="1:22">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6">
        <f>'Supply Side IRA'!W14</f>
        <v>83.193405424561121</v>
      </c>
      <c r="Q10" s="196">
        <f>'Supply Side IRA'!X14</f>
        <v>106.91859551891037</v>
      </c>
      <c r="R10" s="196">
        <f>'Supply Side IRA'!Y14</f>
        <v>123.69179914307749</v>
      </c>
    </row>
    <row r="11" spans="1:22">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1640625" defaultRowHeight="14.5"/>
  <cols>
    <col min="1" max="1" width="32.81640625" customWidth="1"/>
    <col min="2" max="2" width="28.54296875" customWidth="1"/>
  </cols>
  <sheetData>
    <row r="1" spans="1:10">
      <c r="A1" s="75" t="s">
        <v>178</v>
      </c>
      <c r="B1" s="75" t="s">
        <v>179</v>
      </c>
      <c r="C1" s="78" t="s">
        <v>191</v>
      </c>
      <c r="D1" s="78" t="s">
        <v>175</v>
      </c>
      <c r="E1" s="78" t="s">
        <v>176</v>
      </c>
      <c r="F1" s="78" t="s">
        <v>177</v>
      </c>
      <c r="G1" s="78" t="s">
        <v>765</v>
      </c>
      <c r="H1" s="78" t="s">
        <v>766</v>
      </c>
      <c r="I1" s="78" t="s">
        <v>767</v>
      </c>
      <c r="J1" s="202" t="s">
        <v>1936</v>
      </c>
    </row>
    <row r="2" spans="1:10">
      <c r="A2" s="77" t="s">
        <v>1708</v>
      </c>
      <c r="B2" t="s">
        <v>1726</v>
      </c>
      <c r="C2" s="72">
        <f>Deflators!Z23</f>
        <v>6.0043916045433576E-3</v>
      </c>
      <c r="D2" s="72">
        <f>Deflators!AA23</f>
        <v>5.571918722356628E-3</v>
      </c>
      <c r="E2" s="72">
        <f>Deflators!AB23</f>
        <v>5.0825787020194468E-3</v>
      </c>
      <c r="F2" s="72">
        <f>Deflators!AC23</f>
        <v>5.4050287894606974E-3</v>
      </c>
      <c r="G2" s="203">
        <f>Deflators!AD23</f>
        <v>5.3510824454261474E-3</v>
      </c>
      <c r="H2" s="203">
        <f>Deflators!AE23</f>
        <v>5.1374641193888682E-3</v>
      </c>
      <c r="I2" s="203">
        <f>Deflators!AF23</f>
        <v>4.9902256196157069E-3</v>
      </c>
      <c r="J2" s="203">
        <f>Deflators!AG23</f>
        <v>4.9039461559314823E-3</v>
      </c>
    </row>
    <row r="3" spans="1:10">
      <c r="A3" s="68" t="s">
        <v>1722</v>
      </c>
      <c r="B3" t="s">
        <v>1727</v>
      </c>
      <c r="C3" s="72">
        <f>Deflators!Z24</f>
        <v>6.313422103157551E-3</v>
      </c>
      <c r="D3" s="72">
        <f>Deflators!AA24</f>
        <v>6.8066561780799617E-3</v>
      </c>
      <c r="E3" s="72">
        <f>Deflators!AB24</f>
        <v>6.2998972849144241E-3</v>
      </c>
      <c r="F3" s="72">
        <f>Deflators!AC24</f>
        <v>6.0393595708148062E-3</v>
      </c>
      <c r="G3" s="203">
        <f>Deflators!AD24</f>
        <v>5.875261807140264E-3</v>
      </c>
      <c r="H3" s="203">
        <f>Deflators!AE24</f>
        <v>5.8170411371414321E-3</v>
      </c>
      <c r="I3" s="203">
        <f>Deflators!AF24</f>
        <v>5.8313802450995489E-3</v>
      </c>
      <c r="J3" s="203">
        <f>Deflators!AG24</f>
        <v>4.454365822902373E-3</v>
      </c>
    </row>
    <row r="4" spans="1:10">
      <c r="A4" s="68" t="s">
        <v>1723</v>
      </c>
      <c r="B4" t="s">
        <v>1728</v>
      </c>
      <c r="C4" s="72">
        <f>Deflators!Z25</f>
        <v>8.0934709244024905E-3</v>
      </c>
      <c r="D4" s="72">
        <f>Deflators!AA25</f>
        <v>6.1245885294678448E-3</v>
      </c>
      <c r="E4" s="72">
        <f>Deflators!AB25</f>
        <v>5.8321713328954861E-3</v>
      </c>
      <c r="F4" s="72">
        <f>Deflators!AC25</f>
        <v>6.3938288917109176E-3</v>
      </c>
      <c r="G4" s="203">
        <f>Deflators!AD25</f>
        <v>6.3134503311721435E-3</v>
      </c>
      <c r="H4" s="203">
        <f>Deflators!AE25</f>
        <v>6.2156439075380376E-3</v>
      </c>
      <c r="I4" s="203">
        <f>Deflators!AF25</f>
        <v>6.1621486341001397E-3</v>
      </c>
      <c r="J4" s="203">
        <f>Deflators!AG25</f>
        <v>6.1742729046745382E-3</v>
      </c>
    </row>
    <row r="5" spans="1:10">
      <c r="A5" s="68" t="s">
        <v>1724</v>
      </c>
      <c r="B5" t="s">
        <v>1729</v>
      </c>
      <c r="C5" s="72">
        <f>Deflators!Z26</f>
        <v>8.0934709244024905E-3</v>
      </c>
      <c r="D5" s="72">
        <f>Deflators!AA26</f>
        <v>6.1245885294678448E-3</v>
      </c>
      <c r="E5" s="72">
        <f>Deflators!AB26</f>
        <v>5.8321713328954861E-3</v>
      </c>
      <c r="F5" s="72">
        <f>Deflators!AC26</f>
        <v>6.3938288917109176E-3</v>
      </c>
      <c r="G5" s="203">
        <f>Deflators!AD26</f>
        <v>6.3134503311721435E-3</v>
      </c>
      <c r="H5" s="203">
        <f>Deflators!AE26</f>
        <v>6.2156439075380376E-3</v>
      </c>
      <c r="I5" s="203">
        <f>Deflators!AF26</f>
        <v>6.1621486341001397E-3</v>
      </c>
      <c r="J5" s="203">
        <f>Deflators!AG26</f>
        <v>6.1742729046745382E-3</v>
      </c>
    </row>
    <row r="6" spans="1:10">
      <c r="A6" s="56" t="s">
        <v>1725</v>
      </c>
      <c r="B6" t="s">
        <v>1730</v>
      </c>
      <c r="C6" s="72">
        <f>Deflators!Z27</f>
        <v>8.0934709244024905E-3</v>
      </c>
      <c r="D6" s="72">
        <f>Deflators!AA27</f>
        <v>6.1245885294678448E-3</v>
      </c>
      <c r="E6" s="72">
        <f>Deflators!AB27</f>
        <v>5.8321713328954861E-3</v>
      </c>
      <c r="F6" s="72">
        <f>Deflators!AC27</f>
        <v>6.3938288917109176E-3</v>
      </c>
      <c r="G6" s="203">
        <f>Deflators!AD27</f>
        <v>6.3134503311721435E-3</v>
      </c>
      <c r="H6" s="203">
        <f>Deflators!AE27</f>
        <v>6.2156439075380376E-3</v>
      </c>
      <c r="I6" s="203">
        <f>Deflators!AF27</f>
        <v>6.1621486341001397E-3</v>
      </c>
      <c r="J6" s="203">
        <f>Deflators!AG27</f>
        <v>6.1742729046745382E-3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cols>
    <col min="1" max="2" width="70.81640625" customWidth="1"/>
  </cols>
  <sheetData>
    <row r="1" spans="1:45" ht="15.65" customHeight="1">
      <c r="A1" s="1296" t="s">
        <v>254</v>
      </c>
      <c r="B1" s="1296"/>
      <c r="C1" s="1296"/>
      <c r="D1" s="1296"/>
      <c r="E1" s="1296"/>
      <c r="F1" s="1296"/>
      <c r="G1" s="1296"/>
      <c r="H1" s="1296"/>
      <c r="I1" s="1296"/>
      <c r="J1" s="1296"/>
      <c r="K1" s="1296"/>
      <c r="L1" s="1296"/>
      <c r="M1" s="1296"/>
      <c r="N1" s="1296"/>
      <c r="O1" s="1296"/>
    </row>
    <row r="2" spans="1:45" ht="31.4" customHeight="1">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255</v>
      </c>
    </row>
    <row r="3" spans="1:45" ht="15.65" customHeight="1">
      <c r="A3" s="205" t="s">
        <v>256</v>
      </c>
      <c r="B3" s="205" t="s">
        <v>257</v>
      </c>
      <c r="C3" s="72">
        <v>0.22500000000000001</v>
      </c>
      <c r="D3" s="72">
        <v>0.22500000000000001</v>
      </c>
      <c r="E3" s="72">
        <v>0.22500000000000001</v>
      </c>
      <c r="F3" s="72">
        <v>0.22500000000000001</v>
      </c>
      <c r="G3" s="211">
        <v>0</v>
      </c>
      <c r="H3" s="211">
        <v>0</v>
      </c>
      <c r="I3" s="211">
        <v>0</v>
      </c>
      <c r="J3" s="211">
        <v>0</v>
      </c>
      <c r="K3" s="211">
        <v>0</v>
      </c>
      <c r="L3" s="211">
        <v>0</v>
      </c>
      <c r="M3" s="211">
        <v>0</v>
      </c>
      <c r="N3" s="211">
        <v>0</v>
      </c>
      <c r="O3" s="209">
        <f>SUM(C3:N3)</f>
        <v>0.9</v>
      </c>
      <c r="P3" s="72"/>
      <c r="Q3" s="72"/>
      <c r="R3" s="72"/>
      <c r="S3" s="72"/>
      <c r="T3" s="211"/>
      <c r="U3" s="211"/>
      <c r="V3" s="211"/>
      <c r="W3" s="211"/>
      <c r="X3" s="211"/>
      <c r="Y3" s="211"/>
      <c r="Z3" s="211"/>
      <c r="AA3" s="211"/>
      <c r="AC3" s="74"/>
      <c r="AD3" s="74"/>
      <c r="AE3" s="74"/>
      <c r="AF3" s="74"/>
      <c r="AG3" s="74"/>
      <c r="AH3" s="74"/>
      <c r="AI3" s="74"/>
      <c r="AJ3" s="74"/>
      <c r="AK3" s="74"/>
      <c r="AL3" s="74"/>
      <c r="AM3" s="74"/>
      <c r="AN3" s="74"/>
      <c r="AO3" s="74"/>
      <c r="AP3" s="74"/>
      <c r="AQ3" s="74"/>
      <c r="AR3" s="74"/>
      <c r="AS3" s="74"/>
    </row>
    <row r="4" spans="1:45" ht="15.65" customHeight="1">
      <c r="A4" s="207" t="s">
        <v>258</v>
      </c>
      <c r="B4" s="20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209">
        <f>SUM(C4:N4)</f>
        <v>-0.39999999999999997</v>
      </c>
      <c r="P4" s="72"/>
      <c r="Q4" s="72"/>
      <c r="R4" s="72"/>
      <c r="S4" s="72"/>
      <c r="T4" s="72"/>
      <c r="U4" s="72"/>
      <c r="V4" s="72"/>
      <c r="W4" s="72"/>
      <c r="X4" s="72"/>
      <c r="Y4" s="72"/>
      <c r="Z4" s="72"/>
      <c r="AA4" s="72"/>
      <c r="AC4" s="74"/>
      <c r="AD4" s="74"/>
      <c r="AE4" s="74"/>
      <c r="AF4" s="74"/>
      <c r="AG4" s="74"/>
      <c r="AH4" s="74"/>
      <c r="AI4" s="74"/>
      <c r="AJ4" s="74"/>
      <c r="AK4" s="74"/>
      <c r="AL4" s="74"/>
      <c r="AM4" s="74"/>
      <c r="AN4" s="74"/>
    </row>
    <row r="5" spans="1:45" ht="15.65" customHeight="1">
      <c r="A5" s="207" t="s">
        <v>260</v>
      </c>
      <c r="B5" s="207" t="s">
        <v>261</v>
      </c>
      <c r="C5" s="72">
        <v>-0.12</v>
      </c>
      <c r="D5" s="72">
        <v>-0.12</v>
      </c>
      <c r="E5" s="72">
        <v>-0.06</v>
      </c>
      <c r="F5" s="72">
        <v>-0.06</v>
      </c>
      <c r="G5" s="72">
        <v>-0.06</v>
      </c>
      <c r="H5" s="72">
        <v>-0.06</v>
      </c>
      <c r="I5" s="72">
        <v>-0.06</v>
      </c>
      <c r="J5" s="72">
        <v>-0.06</v>
      </c>
      <c r="K5" s="72">
        <v>0</v>
      </c>
      <c r="L5" s="72">
        <v>0</v>
      </c>
      <c r="M5" s="72">
        <v>0</v>
      </c>
      <c r="N5" s="72">
        <v>0</v>
      </c>
      <c r="O5" s="209">
        <f t="shared" ref="O5:O13" si="1">SUM(C5:N5)</f>
        <v>-0.60000000000000009</v>
      </c>
      <c r="P5" s="72"/>
      <c r="Q5" s="72"/>
      <c r="R5" s="72"/>
      <c r="S5" s="72"/>
      <c r="T5" s="72"/>
      <c r="U5" s="72"/>
      <c r="V5" s="72"/>
      <c r="W5" s="72"/>
      <c r="X5" s="72"/>
      <c r="Y5" s="72"/>
      <c r="Z5" s="72"/>
      <c r="AA5" s="72"/>
      <c r="AC5" s="74"/>
      <c r="AD5" s="74"/>
      <c r="AE5" s="74"/>
      <c r="AF5" s="74"/>
      <c r="AG5" s="74"/>
      <c r="AH5" s="74"/>
      <c r="AI5" s="74"/>
      <c r="AJ5" s="74"/>
      <c r="AK5" s="74"/>
      <c r="AL5" s="74"/>
      <c r="AM5" s="74"/>
      <c r="AN5" s="74"/>
    </row>
    <row r="6" spans="1:45" ht="15.65" customHeight="1">
      <c r="A6" s="205" t="s">
        <v>262</v>
      </c>
      <c r="B6" s="20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209">
        <f t="shared" si="1"/>
        <v>0.68600000000000017</v>
      </c>
      <c r="P6" s="72"/>
      <c r="Q6" s="72"/>
      <c r="R6" s="72"/>
      <c r="S6" s="72"/>
      <c r="T6" s="72"/>
      <c r="U6" s="72"/>
      <c r="V6" s="72"/>
      <c r="W6" s="72"/>
      <c r="X6" s="72"/>
      <c r="Y6" s="72"/>
      <c r="Z6" s="72"/>
      <c r="AA6" s="72"/>
      <c r="AC6" s="74"/>
      <c r="AD6" s="74"/>
      <c r="AE6" s="74"/>
      <c r="AF6" s="74"/>
      <c r="AG6" s="74"/>
      <c r="AH6" s="74"/>
      <c r="AI6" s="74"/>
      <c r="AJ6" s="74"/>
      <c r="AK6" s="74"/>
      <c r="AL6" s="74"/>
      <c r="AM6" s="74"/>
      <c r="AN6" s="74"/>
    </row>
    <row r="7" spans="1:45" ht="15.65" customHeight="1">
      <c r="A7" s="205" t="s">
        <v>263</v>
      </c>
      <c r="B7" s="20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209">
        <f t="shared" si="1"/>
        <v>0.9</v>
      </c>
      <c r="P7" s="72"/>
      <c r="Q7" s="72"/>
      <c r="R7" s="72"/>
      <c r="S7" s="72"/>
      <c r="T7" s="72"/>
      <c r="U7" s="72"/>
      <c r="V7" s="72"/>
      <c r="W7" s="72"/>
      <c r="X7" s="72"/>
      <c r="Y7" s="72"/>
      <c r="Z7" s="72"/>
      <c r="AA7" s="72"/>
      <c r="AC7" s="74"/>
      <c r="AD7" s="74"/>
      <c r="AE7" s="74"/>
      <c r="AF7" s="74"/>
      <c r="AG7" s="74"/>
      <c r="AH7" s="74"/>
      <c r="AI7" s="74"/>
      <c r="AJ7" s="74"/>
      <c r="AK7" s="74"/>
      <c r="AL7" s="74"/>
      <c r="AM7" s="74"/>
      <c r="AN7" s="74"/>
    </row>
    <row r="8" spans="1:45" ht="15.65" customHeight="1">
      <c r="A8" s="205" t="s">
        <v>265</v>
      </c>
      <c r="B8" s="20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209">
        <f t="shared" si="1"/>
        <v>0.9</v>
      </c>
      <c r="P8" s="72"/>
      <c r="Q8" s="72"/>
      <c r="R8" s="72"/>
      <c r="S8" s="72"/>
      <c r="T8" s="72"/>
      <c r="U8" s="72"/>
      <c r="V8" s="72"/>
      <c r="W8" s="72"/>
      <c r="X8" s="72"/>
      <c r="Y8" s="72"/>
      <c r="Z8" s="72"/>
      <c r="AA8" s="72"/>
      <c r="AC8" s="74"/>
      <c r="AD8" s="74"/>
      <c r="AE8" s="74"/>
      <c r="AF8" s="74"/>
      <c r="AG8" s="74"/>
      <c r="AH8" s="74"/>
      <c r="AI8" s="74"/>
      <c r="AJ8" s="74"/>
      <c r="AK8" s="74"/>
      <c r="AL8" s="74"/>
      <c r="AM8" s="74"/>
      <c r="AN8" s="74"/>
    </row>
    <row r="9" spans="1:45" ht="15.65" customHeight="1">
      <c r="A9" s="205" t="s">
        <v>267</v>
      </c>
      <c r="B9" s="20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209">
        <f t="shared" si="1"/>
        <v>0.45000000000000007</v>
      </c>
      <c r="P9" s="72"/>
      <c r="Q9" s="72"/>
      <c r="R9" s="72"/>
      <c r="S9" s="72"/>
      <c r="T9" s="72"/>
      <c r="U9" s="72"/>
      <c r="V9" s="72"/>
      <c r="W9" s="72"/>
      <c r="X9" s="72"/>
      <c r="Y9" s="72"/>
      <c r="Z9" s="72"/>
      <c r="AA9" s="72"/>
      <c r="AC9" s="74"/>
      <c r="AD9" s="74"/>
      <c r="AE9" s="74"/>
      <c r="AF9" s="74"/>
      <c r="AG9" s="74"/>
      <c r="AH9" s="74"/>
      <c r="AI9" s="74"/>
      <c r="AJ9" s="74"/>
      <c r="AK9" s="74"/>
      <c r="AL9" s="74"/>
      <c r="AM9" s="74"/>
      <c r="AN9" s="74"/>
    </row>
    <row r="10" spans="1:45" ht="15.65" customHeight="1">
      <c r="A10" s="205" t="s">
        <v>269</v>
      </c>
      <c r="B10" s="205" t="s">
        <v>215</v>
      </c>
      <c r="C10" s="72">
        <v>0.14000000000000001</v>
      </c>
      <c r="D10" s="72">
        <v>0.1</v>
      </c>
      <c r="E10" s="72">
        <v>0.1</v>
      </c>
      <c r="F10" s="72">
        <v>0.05</v>
      </c>
      <c r="G10" s="72">
        <v>0.05</v>
      </c>
      <c r="H10" s="72">
        <v>0.05</v>
      </c>
      <c r="I10" s="72">
        <v>0.05</v>
      </c>
      <c r="J10" s="72">
        <v>0.05</v>
      </c>
      <c r="K10" s="72">
        <v>0.05</v>
      </c>
      <c r="L10" s="72">
        <v>0.03</v>
      </c>
      <c r="M10" s="72">
        <v>0.03</v>
      </c>
      <c r="N10" s="72">
        <v>0.03</v>
      </c>
      <c r="O10" s="209">
        <f>SUM(C10:N10)</f>
        <v>0.7300000000000002</v>
      </c>
      <c r="P10" s="72"/>
      <c r="Q10" s="72"/>
      <c r="R10" s="72"/>
      <c r="S10" s="72"/>
      <c r="T10" s="72"/>
      <c r="U10" s="72"/>
      <c r="V10" s="72"/>
      <c r="W10" s="72"/>
      <c r="X10" s="72"/>
      <c r="Y10" s="72"/>
      <c r="Z10" s="72"/>
      <c r="AA10" s="72"/>
      <c r="AC10" s="74"/>
      <c r="AD10" s="74"/>
      <c r="AE10" s="74"/>
      <c r="AF10" s="74"/>
      <c r="AG10" s="74"/>
      <c r="AH10" s="74"/>
      <c r="AI10" s="74"/>
      <c r="AJ10" s="74"/>
      <c r="AK10" s="74"/>
      <c r="AL10" s="74"/>
      <c r="AM10" s="74"/>
      <c r="AN10" s="74"/>
    </row>
    <row r="11" spans="1:45" ht="15.65" customHeight="1">
      <c r="A11" s="205" t="s">
        <v>270</v>
      </c>
      <c r="B11" s="205" t="s">
        <v>271</v>
      </c>
      <c r="C11" s="72">
        <v>0.2</v>
      </c>
      <c r="D11" s="72">
        <v>0.17</v>
      </c>
      <c r="E11" s="72">
        <v>0.16</v>
      </c>
      <c r="F11" s="72">
        <v>0.15</v>
      </c>
      <c r="G11" s="72">
        <v>0.09</v>
      </c>
      <c r="H11" s="72">
        <v>0.05</v>
      </c>
      <c r="I11" s="72">
        <v>0.05</v>
      </c>
      <c r="J11" s="72">
        <v>0.04</v>
      </c>
      <c r="K11" s="72">
        <v>0</v>
      </c>
      <c r="L11" s="72">
        <v>0</v>
      </c>
      <c r="M11" s="72">
        <v>0</v>
      </c>
      <c r="N11" s="72">
        <v>0</v>
      </c>
      <c r="O11" s="209">
        <f>SUM(C11:N11)</f>
        <v>0.91000000000000014</v>
      </c>
      <c r="P11" s="72"/>
      <c r="Q11" s="72"/>
      <c r="R11" s="72"/>
      <c r="S11" s="72"/>
      <c r="T11" s="72"/>
      <c r="U11" s="72"/>
      <c r="V11" s="72"/>
      <c r="W11" s="72"/>
      <c r="X11" s="72"/>
      <c r="Y11" s="72"/>
      <c r="Z11" s="72"/>
      <c r="AA11" s="72"/>
      <c r="AC11" s="74"/>
      <c r="AD11" s="74"/>
      <c r="AE11" s="74"/>
      <c r="AF11" s="74"/>
      <c r="AG11" s="74"/>
      <c r="AH11" s="74"/>
      <c r="AI11" s="74"/>
      <c r="AJ11" s="74"/>
      <c r="AK11" s="74"/>
      <c r="AL11" s="74"/>
      <c r="AM11" s="74"/>
      <c r="AN11" s="74"/>
    </row>
    <row r="12" spans="1:45" ht="47.15" customHeight="1">
      <c r="A12" s="206" t="s">
        <v>272</v>
      </c>
      <c r="B12" s="206" t="s">
        <v>273</v>
      </c>
      <c r="C12" s="72">
        <v>0.2</v>
      </c>
      <c r="D12" s="72">
        <v>0.17</v>
      </c>
      <c r="E12" s="72">
        <v>0.16</v>
      </c>
      <c r="F12" s="72">
        <v>0.15</v>
      </c>
      <c r="G12" s="72">
        <v>0.09</v>
      </c>
      <c r="H12" s="72">
        <v>0.05</v>
      </c>
      <c r="I12" s="72">
        <v>0.05</v>
      </c>
      <c r="J12" s="72">
        <v>0.04</v>
      </c>
      <c r="K12" s="72">
        <v>0</v>
      </c>
      <c r="L12" s="72">
        <v>0</v>
      </c>
      <c r="M12" s="72">
        <v>0</v>
      </c>
      <c r="N12" s="72">
        <v>0</v>
      </c>
      <c r="O12" s="209">
        <f t="shared" si="1"/>
        <v>0.91000000000000014</v>
      </c>
      <c r="P12" s="72"/>
      <c r="Q12" s="72"/>
      <c r="R12" s="72"/>
      <c r="S12" s="72"/>
      <c r="T12" s="72"/>
      <c r="U12" s="72"/>
      <c r="V12" s="72"/>
      <c r="W12" s="72"/>
      <c r="X12" s="72"/>
      <c r="Y12" s="72"/>
      <c r="Z12" s="72"/>
      <c r="AA12" s="72"/>
      <c r="AC12" s="74"/>
      <c r="AD12" s="74"/>
      <c r="AE12" s="74"/>
      <c r="AF12" s="74"/>
      <c r="AG12" s="74"/>
      <c r="AH12" s="74"/>
      <c r="AI12" s="74"/>
      <c r="AJ12" s="74"/>
      <c r="AK12" s="74"/>
      <c r="AL12" s="74"/>
      <c r="AM12" s="74"/>
      <c r="AN12" s="74"/>
    </row>
    <row r="13" spans="1:45" ht="31.4" customHeight="1">
      <c r="A13" s="206" t="s">
        <v>274</v>
      </c>
      <c r="B13" s="206" t="s">
        <v>275</v>
      </c>
      <c r="C13" s="72">
        <v>0.14000000000000001</v>
      </c>
      <c r="D13" s="72">
        <v>0.1</v>
      </c>
      <c r="E13" s="72">
        <v>0.1</v>
      </c>
      <c r="F13" s="72">
        <v>0.05</v>
      </c>
      <c r="G13" s="72">
        <v>0.05</v>
      </c>
      <c r="H13" s="72">
        <v>0.05</v>
      </c>
      <c r="I13" s="72">
        <v>0.05</v>
      </c>
      <c r="J13" s="72">
        <v>0.05</v>
      </c>
      <c r="K13" s="72">
        <v>0.05</v>
      </c>
      <c r="L13" s="72">
        <v>0</v>
      </c>
      <c r="M13" s="72">
        <v>0</v>
      </c>
      <c r="N13" s="72">
        <v>0</v>
      </c>
      <c r="O13" s="209">
        <f t="shared" si="1"/>
        <v>0.64000000000000012</v>
      </c>
      <c r="P13" s="72"/>
      <c r="Q13" s="72"/>
      <c r="R13" s="72"/>
      <c r="S13" s="72"/>
      <c r="T13" s="72"/>
      <c r="U13" s="72"/>
      <c r="V13" s="72"/>
      <c r="W13" s="72"/>
      <c r="X13" s="72"/>
      <c r="Y13" s="72"/>
      <c r="Z13" s="72"/>
      <c r="AA13" s="72"/>
      <c r="AC13" s="74"/>
      <c r="AD13" s="74"/>
      <c r="AE13" s="74"/>
      <c r="AF13" s="74"/>
      <c r="AG13" s="74"/>
      <c r="AH13" s="74"/>
      <c r="AI13" s="74"/>
      <c r="AJ13" s="74"/>
      <c r="AK13" s="74"/>
      <c r="AL13" s="74"/>
      <c r="AM13" s="74"/>
      <c r="AN13" s="74"/>
    </row>
    <row r="14" spans="1:45" ht="47.15" customHeight="1">
      <c r="A14" s="206" t="s">
        <v>276</v>
      </c>
      <c r="B14" s="20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209">
        <f>SUM(C14:N14)</f>
        <v>0.25000000000000011</v>
      </c>
      <c r="P14" s="72"/>
      <c r="Q14" s="72"/>
      <c r="R14" s="72"/>
      <c r="S14" s="72"/>
      <c r="T14" s="72"/>
      <c r="U14" s="72"/>
      <c r="V14" s="72"/>
      <c r="W14" s="72"/>
      <c r="X14" s="72"/>
      <c r="Y14" s="72"/>
      <c r="Z14" s="72"/>
      <c r="AA14" s="72"/>
      <c r="AC14" s="74"/>
      <c r="AD14" s="74"/>
      <c r="AE14" s="74"/>
      <c r="AF14" s="74"/>
      <c r="AG14" s="74"/>
      <c r="AH14" s="74"/>
      <c r="AI14" s="74"/>
      <c r="AJ14" s="74"/>
      <c r="AK14" s="74"/>
      <c r="AL14" s="74"/>
      <c r="AM14" s="74"/>
      <c r="AN14" s="74"/>
    </row>
    <row r="15" spans="1:45" ht="15.75" customHeight="1">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selection activeCell="M22" sqref="M22"/>
    </sheetView>
  </sheetViews>
  <sheetFormatPr defaultColWidth="10.81640625" defaultRowHeight="14.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c r="B1" s="1297" t="s">
        <v>53</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c r="AD1" s="212"/>
      <c r="AE1" s="212"/>
      <c r="AF1" s="212"/>
      <c r="AG1" s="212"/>
    </row>
    <row r="2" spans="2:34" ht="14.25" customHeight="1">
      <c r="B2" s="1298" t="s">
        <v>278</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c r="AD2" s="213"/>
      <c r="AE2" s="213"/>
      <c r="AF2" s="213"/>
      <c r="AG2" s="213"/>
    </row>
    <row r="3" spans="2:34">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c r="AD3" s="213"/>
      <c r="AE3" s="213"/>
      <c r="AF3" s="213"/>
      <c r="AG3" s="213"/>
    </row>
    <row r="4" spans="2:34">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c r="AD4" s="213"/>
      <c r="AE4" s="213"/>
      <c r="AF4" s="213"/>
      <c r="AG4" s="213"/>
    </row>
    <row r="5" spans="2:34">
      <c r="B5" s="1298"/>
      <c r="C5" s="1298"/>
      <c r="D5" s="1298"/>
      <c r="E5" s="1298"/>
      <c r="F5" s="1298"/>
      <c r="G5" s="1298"/>
      <c r="H5" s="1298"/>
      <c r="I5" s="1298"/>
      <c r="J5" s="1298"/>
      <c r="K5" s="1298"/>
      <c r="L5" s="1298"/>
      <c r="M5" s="1298"/>
      <c r="N5" s="1298"/>
      <c r="O5" s="1298"/>
      <c r="P5" s="1298"/>
      <c r="Q5" s="1298"/>
      <c r="R5" s="1298"/>
      <c r="S5" s="1298"/>
      <c r="T5" s="1298"/>
      <c r="U5" s="1298"/>
      <c r="V5" s="1298"/>
      <c r="W5" s="1298"/>
      <c r="X5" s="1298"/>
      <c r="Y5" s="1298"/>
      <c r="Z5" s="1298"/>
      <c r="AA5" s="1298"/>
      <c r="AB5" s="1298"/>
      <c r="AC5" s="1298"/>
      <c r="AD5" s="213"/>
      <c r="AE5" s="213"/>
      <c r="AF5" s="213"/>
      <c r="AG5" s="213"/>
    </row>
    <row r="6" spans="2:34" ht="38.9" customHeight="1">
      <c r="B6" s="1298"/>
      <c r="C6" s="1298"/>
      <c r="D6" s="1298"/>
      <c r="E6" s="1298"/>
      <c r="F6" s="1298"/>
      <c r="G6" s="1298"/>
      <c r="H6" s="1298"/>
      <c r="I6" s="1298"/>
      <c r="J6" s="1298"/>
      <c r="K6" s="1298"/>
      <c r="L6" s="1298"/>
      <c r="M6" s="1298"/>
      <c r="N6" s="1298"/>
      <c r="O6" s="1298"/>
      <c r="P6" s="1298"/>
      <c r="Q6" s="1298"/>
      <c r="R6" s="1298"/>
      <c r="S6" s="1298"/>
      <c r="T6" s="1298"/>
      <c r="U6" s="1298"/>
      <c r="V6" s="1298"/>
      <c r="W6" s="1298"/>
      <c r="X6" s="1298"/>
      <c r="Y6" s="1298"/>
      <c r="Z6" s="1298"/>
      <c r="AA6" s="1298"/>
      <c r="AB6" s="1298"/>
      <c r="AC6" s="1298"/>
      <c r="AD6" s="213"/>
      <c r="AE6" s="213"/>
      <c r="AF6" s="213"/>
      <c r="AG6" s="213"/>
    </row>
    <row r="7" spans="2:34">
      <c r="B7" s="265"/>
      <c r="C7" s="265"/>
      <c r="D7" s="265"/>
      <c r="E7" s="265"/>
      <c r="F7" s="265"/>
      <c r="G7" s="265"/>
      <c r="H7" s="266"/>
      <c r="I7" s="266"/>
      <c r="J7" s="266"/>
      <c r="K7" s="266"/>
      <c r="L7" s="266"/>
      <c r="M7" s="266"/>
      <c r="N7" s="266"/>
      <c r="O7" s="266"/>
      <c r="P7" s="266"/>
      <c r="Q7" s="266"/>
      <c r="R7" s="266"/>
      <c r="S7" s="266"/>
      <c r="T7" s="266"/>
      <c r="U7" s="266"/>
      <c r="V7" s="266"/>
    </row>
    <row r="8" spans="2:34" ht="14.9" customHeight="1">
      <c r="B8" s="1302" t="s">
        <v>279</v>
      </c>
      <c r="C8" s="1303"/>
      <c r="D8" s="1306" t="s">
        <v>280</v>
      </c>
      <c r="E8" s="1319"/>
      <c r="F8" s="1319"/>
      <c r="G8" s="1319"/>
      <c r="H8" s="1319"/>
      <c r="I8" s="1319"/>
      <c r="J8" s="1319"/>
      <c r="K8" s="1319"/>
      <c r="L8" s="1319"/>
      <c r="M8" s="1319"/>
      <c r="N8" s="1319"/>
      <c r="O8" s="1319"/>
      <c r="P8" s="1319"/>
      <c r="Q8" s="1319"/>
      <c r="R8" s="1319"/>
      <c r="S8" s="1319"/>
      <c r="T8" s="1319"/>
      <c r="U8" s="1320"/>
      <c r="V8" s="1305"/>
      <c r="W8" s="1315" t="s">
        <v>281</v>
      </c>
      <c r="X8" s="1316"/>
      <c r="Y8" s="1317"/>
      <c r="Z8" s="1317"/>
      <c r="AA8" s="1317"/>
      <c r="AB8" s="1317"/>
      <c r="AC8" s="1316"/>
      <c r="AD8" s="1318"/>
      <c r="AE8" s="238"/>
      <c r="AF8" s="238"/>
      <c r="AG8" s="238"/>
    </row>
    <row r="9" spans="2:34" ht="12.75" customHeight="1">
      <c r="B9" s="1304"/>
      <c r="C9" s="1305"/>
      <c r="D9" s="214">
        <v>2018</v>
      </c>
      <c r="E9" s="1299">
        <v>2019</v>
      </c>
      <c r="F9" s="1300"/>
      <c r="G9" s="1300"/>
      <c r="H9" s="1301"/>
      <c r="I9" s="1299">
        <v>2020</v>
      </c>
      <c r="J9" s="1300"/>
      <c r="K9" s="1300"/>
      <c r="L9" s="1301"/>
      <c r="M9" s="1311">
        <v>2021</v>
      </c>
      <c r="N9" s="1312"/>
      <c r="O9" s="1312"/>
      <c r="P9" s="1313"/>
      <c r="Q9" s="1314">
        <v>2022</v>
      </c>
      <c r="R9" s="1314"/>
      <c r="S9" s="261"/>
      <c r="T9" s="288"/>
      <c r="U9" s="239"/>
      <c r="V9" s="288">
        <v>2023</v>
      </c>
      <c r="W9" s="289"/>
      <c r="X9" s="260"/>
      <c r="Y9" s="1308">
        <v>2024</v>
      </c>
      <c r="Z9" s="1309"/>
      <c r="AA9" s="1309"/>
      <c r="AB9" s="1310"/>
      <c r="AC9" s="1308">
        <v>2025</v>
      </c>
      <c r="AD9" s="1309"/>
      <c r="AE9" s="1309"/>
      <c r="AF9" s="1310"/>
      <c r="AG9" s="251">
        <v>2026</v>
      </c>
    </row>
    <row r="10" spans="2:34" ht="14.9" customHeight="1">
      <c r="B10" s="1306"/>
      <c r="C10" s="1307"/>
      <c r="D10" s="214" t="s">
        <v>282</v>
      </c>
      <c r="E10" s="214" t="s">
        <v>283</v>
      </c>
      <c r="F10" s="215" t="s">
        <v>284</v>
      </c>
      <c r="G10" s="215" t="s">
        <v>238</v>
      </c>
      <c r="H10" s="216" t="s">
        <v>282</v>
      </c>
      <c r="I10" s="215" t="s">
        <v>283</v>
      </c>
      <c r="J10" s="215" t="s">
        <v>284</v>
      </c>
      <c r="K10" s="215" t="s">
        <v>238</v>
      </c>
      <c r="L10" s="215" t="s">
        <v>282</v>
      </c>
      <c r="M10" s="285" t="s">
        <v>283</v>
      </c>
      <c r="N10" s="286" t="s">
        <v>284</v>
      </c>
      <c r="O10" s="286" t="s">
        <v>238</v>
      </c>
      <c r="P10" s="284" t="s">
        <v>282</v>
      </c>
      <c r="Q10" s="215" t="s">
        <v>283</v>
      </c>
      <c r="R10" s="215" t="s">
        <v>284</v>
      </c>
      <c r="S10" s="215" t="s">
        <v>238</v>
      </c>
      <c r="T10" s="215" t="s">
        <v>282</v>
      </c>
      <c r="U10" s="285" t="s">
        <v>283</v>
      </c>
      <c r="V10" s="286" t="s">
        <v>284</v>
      </c>
      <c r="W10" s="270" t="s">
        <v>238</v>
      </c>
      <c r="X10" s="271" t="s">
        <v>282</v>
      </c>
      <c r="Y10" s="269" t="s">
        <v>283</v>
      </c>
      <c r="Z10" s="267" t="s">
        <v>284</v>
      </c>
      <c r="AA10" s="270" t="s">
        <v>238</v>
      </c>
      <c r="AB10" s="271" t="s">
        <v>282</v>
      </c>
      <c r="AC10" s="269" t="s">
        <v>283</v>
      </c>
      <c r="AD10" s="267" t="s">
        <v>284</v>
      </c>
      <c r="AE10" s="270" t="s">
        <v>238</v>
      </c>
      <c r="AF10" s="271" t="s">
        <v>282</v>
      </c>
      <c r="AG10" s="272" t="s">
        <v>283</v>
      </c>
    </row>
    <row r="11" spans="2:34">
      <c r="B11" s="250" t="s">
        <v>102</v>
      </c>
      <c r="C11" s="273" t="s">
        <v>285</v>
      </c>
      <c r="D11" s="253">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4">
        <f>'Haver Pivoted'!HB14</f>
        <v>26.2</v>
      </c>
      <c r="R11" s="234">
        <f>'Haver Pivoted'!HC14</f>
        <v>21.4</v>
      </c>
      <c r="S11" s="215">
        <f>'Haver Pivoted'!HD14</f>
        <v>19.600000000000001</v>
      </c>
      <c r="T11" s="215">
        <f>'Haver Pivoted'!HE14</f>
        <v>22.1</v>
      </c>
      <c r="U11" s="215">
        <f>'Haver Pivoted'!HF14</f>
        <v>22</v>
      </c>
      <c r="V11" s="215">
        <f>'Haver Pivoted'!HG14</f>
        <v>22.3</v>
      </c>
      <c r="W11" s="215">
        <f>'Haver Pivoted'!HH14</f>
        <v>21</v>
      </c>
      <c r="X11" s="215">
        <f>'Haver Pivoted'!HI14</f>
        <v>22.7</v>
      </c>
      <c r="Y11" s="215">
        <f>'Haver Pivoted'!HJ14</f>
        <v>22.7</v>
      </c>
      <c r="Z11" s="278">
        <f t="shared" ref="Z11:AG11" si="0">Z12+Z13+Z20</f>
        <v>22.5</v>
      </c>
      <c r="AA11" s="278">
        <f t="shared" si="0"/>
        <v>22.5</v>
      </c>
      <c r="AB11" s="278">
        <f t="shared" si="0"/>
        <v>22.5</v>
      </c>
      <c r="AC11" s="278">
        <f t="shared" si="0"/>
        <v>22.5</v>
      </c>
      <c r="AD11" s="278">
        <f t="shared" si="0"/>
        <v>22.5</v>
      </c>
      <c r="AE11" s="278">
        <f t="shared" si="0"/>
        <v>22.5</v>
      </c>
      <c r="AF11" s="278">
        <f t="shared" si="0"/>
        <v>22.5</v>
      </c>
      <c r="AG11" s="278">
        <f t="shared" si="0"/>
        <v>22.5</v>
      </c>
      <c r="AH11" s="240" t="s">
        <v>286</v>
      </c>
    </row>
    <row r="12" spans="2:34">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5">
        <f>'Haver Pivoted'!HE63</f>
        <v>0</v>
      </c>
      <c r="U12" s="215">
        <f>'Haver Pivoted'!HF63</f>
        <v>0</v>
      </c>
      <c r="V12" s="215">
        <f>'Haver Pivoted'!HG63</f>
        <v>0</v>
      </c>
      <c r="W12" s="215">
        <f>'Haver Pivoted'!HH63</f>
        <v>0</v>
      </c>
      <c r="X12" s="215">
        <f>'Haver Pivoted'!HI63</f>
        <v>0</v>
      </c>
      <c r="Y12" s="215">
        <f>'Haver Pivoted'!HJ63</f>
        <v>0</v>
      </c>
      <c r="Z12" s="236">
        <f t="shared" ref="Z12:AD12" si="1">Y12*Z23/Y23</f>
        <v>0</v>
      </c>
      <c r="AA12" s="236">
        <f t="shared" si="1"/>
        <v>0</v>
      </c>
      <c r="AB12" s="236">
        <f t="shared" si="1"/>
        <v>0</v>
      </c>
      <c r="AC12" s="236">
        <f t="shared" si="1"/>
        <v>0</v>
      </c>
      <c r="AD12" s="236">
        <f t="shared" si="1"/>
        <v>0</v>
      </c>
      <c r="AE12" s="236"/>
      <c r="AF12" s="236"/>
      <c r="AG12" s="236"/>
    </row>
    <row r="13" spans="2:34">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31">
        <f t="shared" si="3"/>
        <v>0.5</v>
      </c>
      <c r="T13" s="231">
        <f t="shared" si="3"/>
        <v>0.30000000000000004</v>
      </c>
      <c r="U13" s="231">
        <f t="shared" si="3"/>
        <v>0</v>
      </c>
      <c r="V13" s="226">
        <f t="shared" si="3"/>
        <v>0</v>
      </c>
      <c r="W13" s="226">
        <f t="shared" si="3"/>
        <v>0</v>
      </c>
      <c r="X13" s="236">
        <f>SUM(X14:X17)</f>
        <v>0</v>
      </c>
      <c r="Y13" s="236">
        <f t="shared" si="3"/>
        <v>0</v>
      </c>
      <c r="Z13" s="236">
        <f t="shared" si="3"/>
        <v>0</v>
      </c>
      <c r="AA13" s="236">
        <f t="shared" si="3"/>
        <v>0</v>
      </c>
      <c r="AB13" s="236">
        <f t="shared" si="3"/>
        <v>0</v>
      </c>
      <c r="AC13" s="236">
        <f t="shared" si="3"/>
        <v>0</v>
      </c>
      <c r="AD13" s="236">
        <f t="shared" ref="AD13" si="4">SUM(AD14:AD17)</f>
        <v>0</v>
      </c>
      <c r="AE13" s="236"/>
      <c r="AF13" s="236"/>
      <c r="AG13" s="236"/>
    </row>
    <row r="14" spans="2:34"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235">
        <f>'Haver Pivoted'!HE63</f>
        <v>0</v>
      </c>
      <c r="U14" s="235">
        <f>'Haver Pivoted'!HF63</f>
        <v>0</v>
      </c>
      <c r="V14" s="235">
        <f>'Haver Pivoted'!HG63</f>
        <v>0</v>
      </c>
      <c r="W14" s="235">
        <f>'Haver Pivoted'!HH63</f>
        <v>0</v>
      </c>
      <c r="X14" s="235">
        <f>'Haver Pivoted'!HI63</f>
        <v>0</v>
      </c>
      <c r="Y14" s="235">
        <f>'Haver Pivoted'!HJ63</f>
        <v>0</v>
      </c>
      <c r="Z14" s="236">
        <f t="shared" ref="Z14:AC14" si="5">Z12</f>
        <v>0</v>
      </c>
      <c r="AA14" s="236">
        <f t="shared" si="5"/>
        <v>0</v>
      </c>
      <c r="AB14" s="236">
        <f t="shared" si="5"/>
        <v>0</v>
      </c>
      <c r="AC14" s="236">
        <f t="shared" si="5"/>
        <v>0</v>
      </c>
      <c r="AD14" s="236">
        <f t="shared" ref="AD14" si="6">AD12</f>
        <v>0</v>
      </c>
      <c r="AE14" s="236"/>
      <c r="AF14" s="236"/>
      <c r="AG14" s="236"/>
    </row>
    <row r="15" spans="2:34"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235">
        <f>'Haver Pivoted'!HE59</f>
        <v>0.2</v>
      </c>
      <c r="U15" s="235">
        <f>'Haver Pivoted'!HF59</f>
        <v>0</v>
      </c>
      <c r="V15" s="235">
        <f>'Haver Pivoted'!HG59</f>
        <v>0</v>
      </c>
      <c r="W15" s="235">
        <f>'Haver Pivoted'!HH59</f>
        <v>0</v>
      </c>
      <c r="X15" s="235">
        <f>'Haver Pivoted'!HI59</f>
        <v>0</v>
      </c>
      <c r="Y15" s="235">
        <f>'Haver Pivoted'!HJ59</f>
        <v>0</v>
      </c>
      <c r="Z15" s="236">
        <f t="shared" ref="Z15:AD17" si="7">Y15*Z$23/Y$23</f>
        <v>0</v>
      </c>
      <c r="AA15" s="236">
        <f t="shared" si="7"/>
        <v>0</v>
      </c>
      <c r="AB15" s="236">
        <f t="shared" si="7"/>
        <v>0</v>
      </c>
      <c r="AC15" s="236">
        <f t="shared" si="7"/>
        <v>0</v>
      </c>
      <c r="AD15" s="236">
        <f t="shared" si="7"/>
        <v>0</v>
      </c>
      <c r="AE15" s="236"/>
      <c r="AF15" s="236"/>
      <c r="AG15" s="236"/>
    </row>
    <row r="16" spans="2:34"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235">
        <f>'Haver Pivoted'!HE60</f>
        <v>0.1</v>
      </c>
      <c r="U16" s="235">
        <f>'Haver Pivoted'!HF60</f>
        <v>0</v>
      </c>
      <c r="V16" s="235">
        <f>'Haver Pivoted'!HG60</f>
        <v>0</v>
      </c>
      <c r="W16" s="235">
        <f>'Haver Pivoted'!HH60</f>
        <v>0</v>
      </c>
      <c r="X16" s="235">
        <f>'Haver Pivoted'!HI60</f>
        <v>0</v>
      </c>
      <c r="Y16" s="235">
        <f>'Haver Pivoted'!HJ60</f>
        <v>0</v>
      </c>
      <c r="Z16" s="236">
        <f t="shared" si="7"/>
        <v>0</v>
      </c>
      <c r="AA16" s="236">
        <f t="shared" si="7"/>
        <v>0</v>
      </c>
      <c r="AB16" s="236">
        <f t="shared" si="7"/>
        <v>0</v>
      </c>
      <c r="AC16" s="236">
        <f t="shared" si="7"/>
        <v>0</v>
      </c>
      <c r="AD16" s="236">
        <f t="shared" si="7"/>
        <v>0</v>
      </c>
      <c r="AE16" s="236"/>
      <c r="AF16" s="236"/>
      <c r="AG16" s="236"/>
    </row>
    <row r="17" spans="2:68"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235">
        <f>'Haver Pivoted'!HE61</f>
        <v>0</v>
      </c>
      <c r="U17" s="235">
        <f>'Haver Pivoted'!HF61</f>
        <v>0</v>
      </c>
      <c r="V17" s="235">
        <f>'Haver Pivoted'!HG61</f>
        <v>0</v>
      </c>
      <c r="W17" s="235">
        <f>'Haver Pivoted'!HH61</f>
        <v>0</v>
      </c>
      <c r="X17" s="235">
        <f>'Haver Pivoted'!HI61</f>
        <v>0</v>
      </c>
      <c r="Y17" s="235">
        <f>'Haver Pivoted'!HJ61</f>
        <v>0</v>
      </c>
      <c r="Z17" s="236">
        <f t="shared" si="7"/>
        <v>0</v>
      </c>
      <c r="AA17" s="236">
        <f t="shared" si="7"/>
        <v>0</v>
      </c>
      <c r="AB17" s="236">
        <f t="shared" si="7"/>
        <v>0</v>
      </c>
      <c r="AC17" s="236">
        <f t="shared" si="7"/>
        <v>0</v>
      </c>
      <c r="AD17" s="236">
        <f t="shared" si="7"/>
        <v>0</v>
      </c>
      <c r="AE17" s="236"/>
      <c r="AF17" s="236"/>
      <c r="AG17" s="236"/>
    </row>
    <row r="18" spans="2:68">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235">
        <f>'Haver Pivoted'!HE64</f>
        <v>0</v>
      </c>
      <c r="U18" s="235">
        <f>'Haver Pivoted'!HF64</f>
        <v>0</v>
      </c>
      <c r="V18" s="235">
        <f>'Haver Pivoted'!HG64</f>
        <v>0</v>
      </c>
      <c r="W18" s="235">
        <f>'Haver Pivoted'!HH64</f>
        <v>0</v>
      </c>
      <c r="X18" s="235">
        <f>'Haver Pivoted'!HI64</f>
        <v>0</v>
      </c>
      <c r="Y18" s="235">
        <f>'Haver Pivoted'!HJ64</f>
        <v>0</v>
      </c>
      <c r="Z18" s="236"/>
      <c r="AA18" s="236"/>
      <c r="AB18" s="236"/>
      <c r="AC18" s="236"/>
      <c r="AD18" s="236"/>
      <c r="AE18" s="236"/>
      <c r="AF18" s="236"/>
      <c r="AG18" s="236"/>
    </row>
    <row r="19" spans="2:68" ht="14.9" customHeight="1">
      <c r="B19" s="268" t="s">
        <v>298</v>
      </c>
      <c r="C19" s="255"/>
      <c r="D19" s="262">
        <f t="shared" ref="D19:N19" si="8">D11-D20</f>
        <v>0</v>
      </c>
      <c r="E19" s="228">
        <f t="shared" si="8"/>
        <v>0</v>
      </c>
      <c r="F19" s="228">
        <f t="shared" si="8"/>
        <v>0</v>
      </c>
      <c r="G19" s="228">
        <f t="shared" si="8"/>
        <v>0</v>
      </c>
      <c r="H19" s="228">
        <f t="shared" si="8"/>
        <v>0</v>
      </c>
      <c r="I19" s="228">
        <f t="shared" si="8"/>
        <v>0</v>
      </c>
      <c r="J19" s="228">
        <f t="shared" si="8"/>
        <v>779.80000000000007</v>
      </c>
      <c r="K19" s="228">
        <f t="shared" si="8"/>
        <v>586.29999999999995</v>
      </c>
      <c r="L19" s="228">
        <f t="shared" si="8"/>
        <v>229.4</v>
      </c>
      <c r="M19" s="228">
        <f t="shared" si="8"/>
        <v>523.1</v>
      </c>
      <c r="N19" s="229">
        <f t="shared" si="8"/>
        <v>405.3</v>
      </c>
      <c r="O19" s="229">
        <f>O11-O20</f>
        <v>209.20000000000002</v>
      </c>
      <c r="P19" s="229">
        <f t="shared" ref="P19" si="9">P11-P20</f>
        <v>6.1000000000000014</v>
      </c>
      <c r="Q19" s="229">
        <f>Q11-Q20</f>
        <v>0.19999999999999929</v>
      </c>
      <c r="R19" s="229">
        <f>R11-R20</f>
        <v>1.1000000000000014</v>
      </c>
      <c r="S19" s="229">
        <f>S11-S20</f>
        <v>0.5</v>
      </c>
      <c r="T19" s="229">
        <f>T11-T20</f>
        <v>0.30000000000000071</v>
      </c>
      <c r="U19" s="229">
        <f>U11-U20</f>
        <v>0</v>
      </c>
      <c r="V19" s="228">
        <v>0</v>
      </c>
      <c r="W19" s="228">
        <v>0</v>
      </c>
      <c r="X19" s="237">
        <f>X11-X20</f>
        <v>0.28514285714285847</v>
      </c>
      <c r="Y19" s="237">
        <f t="shared" ref="Y19:AC19" si="10">Y11-Y20</f>
        <v>-0.55714285714286049</v>
      </c>
      <c r="Z19" s="237">
        <f t="shared" si="10"/>
        <v>0</v>
      </c>
      <c r="AA19" s="237">
        <f t="shared" si="10"/>
        <v>0</v>
      </c>
      <c r="AB19" s="237">
        <f t="shared" si="10"/>
        <v>0</v>
      </c>
      <c r="AC19" s="237">
        <f t="shared" si="10"/>
        <v>0</v>
      </c>
      <c r="AD19" s="237">
        <f t="shared" ref="AD19" si="11">AD11-AD20</f>
        <v>0</v>
      </c>
      <c r="AE19" s="237"/>
      <c r="AF19" s="237"/>
      <c r="AG19" s="237"/>
    </row>
    <row r="20" spans="2:68" ht="14.9" customHeight="1">
      <c r="B20" s="268" t="s">
        <v>299</v>
      </c>
      <c r="C20" s="255"/>
      <c r="D20" s="262">
        <f t="shared" ref="D20:H20" si="12">D11</f>
        <v>27.1</v>
      </c>
      <c r="E20" s="228">
        <f t="shared" si="12"/>
        <v>30.5</v>
      </c>
      <c r="F20" s="228">
        <f t="shared" si="12"/>
        <v>27.7</v>
      </c>
      <c r="G20" s="228">
        <f t="shared" si="12"/>
        <v>25</v>
      </c>
      <c r="H20" s="228">
        <f t="shared" si="12"/>
        <v>26.7</v>
      </c>
      <c r="I20" s="228">
        <f>I11</f>
        <v>40.9</v>
      </c>
      <c r="J20" s="228">
        <f>J11-J13-J12</f>
        <v>171.59999999999994</v>
      </c>
      <c r="K20" s="228">
        <f>K11-K13-K12</f>
        <v>215.99999999999994</v>
      </c>
      <c r="L20" s="228">
        <f>L11-L13-L12</f>
        <v>94.1</v>
      </c>
      <c r="M20" s="228">
        <f>M11-M13-M12</f>
        <v>60.399999999999977</v>
      </c>
      <c r="N20" s="229">
        <f t="shared" ref="N20:U20" si="13">N11-N12-N13</f>
        <v>46.5</v>
      </c>
      <c r="O20" s="229">
        <f t="shared" si="13"/>
        <v>17.599999999999994</v>
      </c>
      <c r="P20" s="229">
        <f t="shared" si="13"/>
        <v>27.799999999999997</v>
      </c>
      <c r="Q20" s="230">
        <f t="shared" si="13"/>
        <v>26</v>
      </c>
      <c r="R20" s="230">
        <f t="shared" si="13"/>
        <v>20.299999999999997</v>
      </c>
      <c r="S20" s="230">
        <f t="shared" si="13"/>
        <v>19.100000000000001</v>
      </c>
      <c r="T20" s="230">
        <f t="shared" si="13"/>
        <v>21.8</v>
      </c>
      <c r="U20" s="230">
        <f t="shared" si="13"/>
        <v>22</v>
      </c>
      <c r="V20" s="228">
        <f>U20*V23/U23</f>
        <v>22.62857142857143</v>
      </c>
      <c r="W20" s="228">
        <f>V20*W23/V23</f>
        <v>22.62857142857143</v>
      </c>
      <c r="X20" s="237">
        <f t="shared" ref="X20:Y20" si="14">W20*X23/W23</f>
        <v>22.414857142857141</v>
      </c>
      <c r="Y20" s="237">
        <f t="shared" si="14"/>
        <v>23.25714285714286</v>
      </c>
      <c r="Z20" s="237">
        <v>22.5</v>
      </c>
      <c r="AA20" s="237">
        <v>22.5</v>
      </c>
      <c r="AB20" s="237">
        <v>22.5</v>
      </c>
      <c r="AC20" s="237">
        <v>22.5</v>
      </c>
      <c r="AD20" s="237">
        <v>22.5</v>
      </c>
      <c r="AE20" s="237">
        <v>22.5</v>
      </c>
      <c r="AF20" s="237">
        <v>22.5</v>
      </c>
      <c r="AG20" s="237">
        <v>22.5</v>
      </c>
      <c r="AH20" s="263" t="s">
        <v>300</v>
      </c>
    </row>
    <row r="21" spans="2:68">
      <c r="B21" s="248"/>
      <c r="C21" s="249"/>
      <c r="D21" s="274"/>
      <c r="E21" s="230"/>
      <c r="F21" s="230"/>
      <c r="G21" s="230"/>
      <c r="H21" s="226"/>
      <c r="I21" s="226"/>
      <c r="J21" s="226"/>
      <c r="K21" s="226"/>
      <c r="L21" s="226"/>
      <c r="M21" s="226"/>
      <c r="N21" s="226"/>
      <c r="O21" s="226"/>
      <c r="P21" s="226"/>
      <c r="Q21" s="226"/>
      <c r="R21" s="226"/>
      <c r="S21" s="226"/>
      <c r="T21" s="252"/>
      <c r="U21" s="226"/>
      <c r="V21" s="226"/>
      <c r="W21" s="236"/>
      <c r="X21" s="236"/>
      <c r="Y21" s="236"/>
      <c r="Z21" s="236"/>
      <c r="AA21" s="236"/>
      <c r="AB21" s="236"/>
      <c r="AC21" s="236"/>
      <c r="AD21" s="236"/>
      <c r="AE21" s="236"/>
      <c r="AF21" s="236"/>
      <c r="AG21" s="232"/>
    </row>
    <row r="22" spans="2:68">
      <c r="B22" s="290" t="s">
        <v>1952</v>
      </c>
      <c r="C22" s="249"/>
      <c r="D22" s="230"/>
      <c r="E22" s="230"/>
      <c r="F22" s="230"/>
      <c r="G22" s="230"/>
      <c r="H22" s="226"/>
      <c r="I22" s="226"/>
      <c r="J22" s="226"/>
      <c r="K22" s="226"/>
      <c r="L22" s="226"/>
      <c r="M22" s="226">
        <v>6.2329999999999997</v>
      </c>
      <c r="N22" s="226">
        <v>5.9329999999999998</v>
      </c>
      <c r="O22" s="226">
        <v>5.0659999999999998</v>
      </c>
      <c r="P22" s="226">
        <v>4.1660000000000004</v>
      </c>
      <c r="Q22" s="226">
        <v>3.8</v>
      </c>
      <c r="R22" s="226">
        <v>3.633</v>
      </c>
      <c r="S22" s="226">
        <v>3.5329999999999999</v>
      </c>
      <c r="T22" s="252">
        <v>3.5659999999999998</v>
      </c>
      <c r="U22" s="223">
        <v>3.5</v>
      </c>
      <c r="V22" s="223">
        <v>3.5659999999999998</v>
      </c>
      <c r="W22" s="222">
        <v>3.7</v>
      </c>
      <c r="X22" s="222">
        <v>3.7330000000000001</v>
      </c>
      <c r="Y22" s="222">
        <v>3.8</v>
      </c>
      <c r="Z22" s="222">
        <v>3.8809999999999998</v>
      </c>
      <c r="AA22" s="222">
        <v>3.915</v>
      </c>
      <c r="AB22" s="222">
        <v>3.9319999999999999</v>
      </c>
      <c r="AC22" s="222">
        <v>3.9569999999999999</v>
      </c>
      <c r="AD22" s="222">
        <v>3.9569999999999999</v>
      </c>
      <c r="AE22" s="222">
        <v>3.9750000000000001</v>
      </c>
      <c r="AF22" s="222">
        <v>4.0039999999999996</v>
      </c>
      <c r="AG22" s="233">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c r="B23" s="248" t="s">
        <v>1831</v>
      </c>
      <c r="C23" s="240"/>
      <c r="D23" s="275"/>
      <c r="E23" s="234"/>
      <c r="F23" s="234"/>
      <c r="G23" s="234"/>
      <c r="H23" s="226"/>
      <c r="I23" s="226"/>
      <c r="J23" s="226"/>
      <c r="K23" s="226"/>
      <c r="L23" s="226"/>
      <c r="M23" s="226">
        <f t="shared" ref="M23:U23" si="15">GETPIVOTDATA("Monthly UR",$E$29,"Quarters",M24,"Years",M25)</f>
        <v>6.166666666666667</v>
      </c>
      <c r="N23" s="226">
        <f t="shared" si="15"/>
        <v>5.7666666666666657</v>
      </c>
      <c r="O23" s="226">
        <f t="shared" si="15"/>
        <v>5.1333333333333337</v>
      </c>
      <c r="P23" s="226">
        <f t="shared" si="15"/>
        <v>4.2333333333333334</v>
      </c>
      <c r="Q23" s="226">
        <f t="shared" si="15"/>
        <v>3.8000000000000003</v>
      </c>
      <c r="R23" s="226">
        <f t="shared" si="15"/>
        <v>3.6</v>
      </c>
      <c r="S23" s="226">
        <f t="shared" si="15"/>
        <v>3.5666666666666664</v>
      </c>
      <c r="T23" s="226">
        <f t="shared" si="15"/>
        <v>3.6</v>
      </c>
      <c r="U23" s="227">
        <f t="shared" si="15"/>
        <v>3.5</v>
      </c>
      <c r="V23" s="241">
        <v>3.6</v>
      </c>
      <c r="W23" s="241">
        <v>3.6</v>
      </c>
      <c r="X23" s="241">
        <f>V22</f>
        <v>3.5659999999999998</v>
      </c>
      <c r="Y23" s="241">
        <f t="shared" ref="Y23:AC23" si="16">W22</f>
        <v>3.7</v>
      </c>
      <c r="Z23" s="241">
        <f t="shared" si="16"/>
        <v>3.7330000000000001</v>
      </c>
      <c r="AA23" s="241">
        <f t="shared" si="16"/>
        <v>3.8</v>
      </c>
      <c r="AB23" s="241">
        <f t="shared" si="16"/>
        <v>3.8809999999999998</v>
      </c>
      <c r="AC23" s="241">
        <f t="shared" si="16"/>
        <v>3.915</v>
      </c>
      <c r="AD23" s="241">
        <f>AB22</f>
        <v>3.9319999999999999</v>
      </c>
      <c r="AE23" s="241">
        <f>AE22</f>
        <v>3.9750000000000001</v>
      </c>
      <c r="AF23" s="241">
        <f>AF22</f>
        <v>4.0039999999999996</v>
      </c>
      <c r="AG23" s="241">
        <f>AG22</f>
        <v>4.0780000000000003</v>
      </c>
      <c r="AH23" s="223" t="s">
        <v>301</v>
      </c>
    </row>
    <row r="24" spans="2:68" ht="15.75" customHeight="1">
      <c r="B24" s="242" t="s">
        <v>1823</v>
      </c>
      <c r="C24" s="243"/>
      <c r="D24" s="244"/>
      <c r="E24" s="244"/>
      <c r="F24" s="244"/>
      <c r="G24" s="244"/>
      <c r="H24" s="244"/>
      <c r="I24" s="244"/>
      <c r="J24" s="244"/>
      <c r="K24" s="244"/>
      <c r="L24" s="244"/>
      <c r="M24" s="244">
        <v>1</v>
      </c>
      <c r="N24" s="244">
        <v>2</v>
      </c>
      <c r="O24" s="244">
        <v>3</v>
      </c>
      <c r="P24" s="244">
        <v>4</v>
      </c>
      <c r="Q24" s="244">
        <v>1</v>
      </c>
      <c r="R24" s="244">
        <v>2</v>
      </c>
      <c r="S24" s="244">
        <v>3</v>
      </c>
      <c r="T24" s="244">
        <v>4</v>
      </c>
      <c r="U24" s="244">
        <v>1</v>
      </c>
      <c r="V24" s="244">
        <v>2</v>
      </c>
      <c r="W24" s="244">
        <v>3</v>
      </c>
      <c r="X24" s="244">
        <v>4</v>
      </c>
      <c r="Y24" s="244">
        <v>1</v>
      </c>
      <c r="Z24" s="244">
        <v>2</v>
      </c>
      <c r="AA24" s="244">
        <v>3</v>
      </c>
      <c r="AB24" s="244">
        <v>4</v>
      </c>
      <c r="AC24" s="244">
        <v>1</v>
      </c>
      <c r="AD24" s="244">
        <v>2</v>
      </c>
      <c r="AE24" s="244">
        <v>3</v>
      </c>
      <c r="AF24" s="244">
        <v>4</v>
      </c>
      <c r="AG24" s="245">
        <v>1</v>
      </c>
      <c r="AH24" s="234"/>
      <c r="AI24" s="234"/>
      <c r="AJ24" s="234"/>
    </row>
    <row r="25" spans="2:68">
      <c r="B25" s="256" t="s">
        <v>1824</v>
      </c>
      <c r="C25" s="257"/>
      <c r="D25" s="258"/>
      <c r="E25" s="258"/>
      <c r="F25" s="258"/>
      <c r="G25" s="258"/>
      <c r="H25" s="258"/>
      <c r="I25" s="258"/>
      <c r="J25" s="258"/>
      <c r="K25" s="258"/>
      <c r="L25" s="258"/>
      <c r="M25" s="258">
        <v>2021</v>
      </c>
      <c r="N25" s="258">
        <v>2021</v>
      </c>
      <c r="O25" s="258">
        <v>2021</v>
      </c>
      <c r="P25" s="258">
        <v>2021</v>
      </c>
      <c r="Q25" s="258">
        <v>2022</v>
      </c>
      <c r="R25" s="258">
        <v>2022</v>
      </c>
      <c r="S25" s="258">
        <v>2022</v>
      </c>
      <c r="T25" s="258">
        <v>2022</v>
      </c>
      <c r="U25" s="258">
        <v>2023</v>
      </c>
      <c r="V25" s="258">
        <v>2023</v>
      </c>
      <c r="W25" s="258">
        <v>2023</v>
      </c>
      <c r="X25" s="258">
        <v>2023</v>
      </c>
      <c r="Y25" s="258">
        <v>2024</v>
      </c>
      <c r="Z25" s="258">
        <v>2024</v>
      </c>
      <c r="AA25" s="258">
        <v>2024</v>
      </c>
      <c r="AB25" s="258">
        <v>2024</v>
      </c>
      <c r="AC25" s="258">
        <v>2025</v>
      </c>
      <c r="AD25" s="258">
        <v>2025</v>
      </c>
      <c r="AE25" s="258">
        <v>2025</v>
      </c>
      <c r="AF25" s="258">
        <v>2025</v>
      </c>
      <c r="AG25" s="259">
        <v>2026</v>
      </c>
      <c r="AH25" s="223"/>
    </row>
    <row r="26" spans="2:68">
      <c r="B26" s="56"/>
      <c r="C26" s="240"/>
      <c r="D26" s="234"/>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23"/>
    </row>
    <row r="27" spans="2:68">
      <c r="C27" s="240"/>
      <c r="D27" s="234"/>
      <c r="E27" s="234"/>
      <c r="F27" s="234"/>
      <c r="G27" s="234"/>
      <c r="H27" s="226"/>
      <c r="I27" s="226"/>
      <c r="J27" s="226"/>
      <c r="K27" s="226"/>
      <c r="L27" s="226"/>
      <c r="M27" s="226"/>
      <c r="N27" s="226"/>
      <c r="O27" s="226"/>
      <c r="P27" s="226"/>
      <c r="AH27" s="223"/>
    </row>
    <row r="28" spans="2:68">
      <c r="M28" s="240"/>
      <c r="N28" s="240"/>
      <c r="O28" s="240"/>
    </row>
    <row r="29" spans="2:68" ht="45" customHeight="1">
      <c r="B29" s="281" t="s">
        <v>302</v>
      </c>
      <c r="C29" s="282" t="s">
        <v>303</v>
      </c>
      <c r="D29" s="279"/>
      <c r="E29" s="14" t="s">
        <v>1813</v>
      </c>
      <c r="F29" s="14" t="s">
        <v>1818</v>
      </c>
      <c r="G29" s="14"/>
      <c r="H29" s="14"/>
      <c r="I29" s="14"/>
      <c r="J29" s="14"/>
      <c r="O29" s="283"/>
    </row>
    <row r="30" spans="2:68">
      <c r="B30" s="276">
        <v>44197</v>
      </c>
      <c r="C30" s="224">
        <v>6.3</v>
      </c>
      <c r="D30" s="280"/>
      <c r="E30" s="42" t="s">
        <v>1748</v>
      </c>
      <c r="F30" s="56"/>
      <c r="G30" s="56"/>
      <c r="H30" s="73"/>
      <c r="I30" s="56"/>
      <c r="J30" s="73"/>
      <c r="O30" s="240"/>
    </row>
    <row r="31" spans="2:68">
      <c r="B31" s="276">
        <v>44228</v>
      </c>
      <c r="C31" s="224">
        <v>6.2</v>
      </c>
      <c r="D31" s="280"/>
      <c r="E31" s="128" t="s">
        <v>1814</v>
      </c>
      <c r="F31" s="180">
        <v>6.166666666666667</v>
      </c>
      <c r="G31" s="56"/>
      <c r="H31" s="73"/>
      <c r="I31" s="56"/>
      <c r="J31" s="73"/>
      <c r="O31" s="240"/>
    </row>
    <row r="32" spans="2:68">
      <c r="B32" s="276">
        <v>44256</v>
      </c>
      <c r="C32" s="224">
        <v>6</v>
      </c>
      <c r="D32" s="280"/>
      <c r="E32" s="128" t="s">
        <v>1815</v>
      </c>
      <c r="F32" s="180">
        <v>5.7666666666666657</v>
      </c>
      <c r="G32" s="56"/>
      <c r="H32" s="73"/>
      <c r="I32" s="56"/>
      <c r="J32" s="73"/>
      <c r="O32" s="240"/>
    </row>
    <row r="33" spans="1:42">
      <c r="B33" s="276">
        <v>44287</v>
      </c>
      <c r="C33" s="224">
        <v>6.1</v>
      </c>
      <c r="D33" s="280"/>
      <c r="E33" s="128" t="s">
        <v>1816</v>
      </c>
      <c r="F33" s="180">
        <v>5.1333333333333337</v>
      </c>
      <c r="G33" s="56"/>
      <c r="H33" s="73"/>
      <c r="I33" s="56"/>
      <c r="J33" s="73"/>
      <c r="O33" s="240"/>
    </row>
    <row r="34" spans="1:42">
      <c r="A34" s="56"/>
      <c r="B34" s="276">
        <v>44317</v>
      </c>
      <c r="C34" s="224">
        <v>5.8</v>
      </c>
      <c r="D34" s="280"/>
      <c r="E34" s="128" t="s">
        <v>1817</v>
      </c>
      <c r="F34" s="180">
        <v>4.2333333333333334</v>
      </c>
      <c r="G34" s="56"/>
      <c r="H34" s="73"/>
      <c r="I34" s="56"/>
      <c r="J34" s="73"/>
      <c r="O34" s="240"/>
    </row>
    <row r="35" spans="1:42">
      <c r="A35" s="56"/>
      <c r="B35" s="276">
        <v>44348</v>
      </c>
      <c r="C35" s="224">
        <v>5.4</v>
      </c>
      <c r="D35" s="280"/>
      <c r="E35" s="42" t="s">
        <v>1737</v>
      </c>
      <c r="F35" s="180"/>
      <c r="G35" s="56"/>
      <c r="H35" s="73"/>
      <c r="I35" s="56"/>
      <c r="J35" s="73"/>
      <c r="O35" s="240"/>
    </row>
    <row r="36" spans="1:42">
      <c r="A36" s="56"/>
      <c r="B36" s="276">
        <v>44378</v>
      </c>
      <c r="C36" s="224">
        <v>5.4</v>
      </c>
      <c r="D36" s="280"/>
      <c r="E36" s="128" t="s">
        <v>1814</v>
      </c>
      <c r="F36" s="180">
        <v>3.8000000000000003</v>
      </c>
      <c r="G36" s="56"/>
      <c r="H36" s="73"/>
      <c r="I36" s="56"/>
      <c r="J36" s="73"/>
      <c r="O36" s="240"/>
    </row>
    <row r="37" spans="1:42">
      <c r="A37" s="56"/>
      <c r="B37" s="276">
        <v>44409</v>
      </c>
      <c r="C37" s="224">
        <v>5.2</v>
      </c>
      <c r="D37" s="280"/>
      <c r="E37" s="128" t="s">
        <v>1815</v>
      </c>
      <c r="F37" s="180">
        <v>3.6</v>
      </c>
      <c r="G37" s="56"/>
      <c r="H37" s="73"/>
      <c r="I37" s="56"/>
      <c r="J37" s="73"/>
      <c r="O37" s="240"/>
    </row>
    <row r="38" spans="1:42">
      <c r="A38" s="56"/>
      <c r="B38" s="276">
        <v>44440</v>
      </c>
      <c r="C38" s="224">
        <v>4.8</v>
      </c>
      <c r="D38" s="280"/>
      <c r="E38" s="128" t="s">
        <v>1816</v>
      </c>
      <c r="F38" s="180">
        <v>3.5666666666666664</v>
      </c>
      <c r="G38" s="56"/>
      <c r="H38" s="73"/>
      <c r="I38" s="56"/>
      <c r="J38" s="73"/>
      <c r="O38" s="240"/>
    </row>
    <row r="39" spans="1:42">
      <c r="A39" s="56"/>
      <c r="B39" s="276">
        <v>44470</v>
      </c>
      <c r="C39" s="224">
        <v>4.5999999999999996</v>
      </c>
      <c r="D39" s="280"/>
      <c r="E39" s="128" t="s">
        <v>1817</v>
      </c>
      <c r="F39" s="180">
        <v>3.6</v>
      </c>
      <c r="G39" s="56"/>
      <c r="H39" s="73"/>
      <c r="I39" s="56"/>
      <c r="J39" s="73"/>
      <c r="O39" s="240"/>
    </row>
    <row r="40" spans="1:42">
      <c r="A40" s="56"/>
      <c r="B40" s="276">
        <v>44501</v>
      </c>
      <c r="C40" s="224">
        <v>4.2</v>
      </c>
      <c r="D40" s="280"/>
      <c r="E40" s="42" t="s">
        <v>1819</v>
      </c>
      <c r="F40" s="180"/>
      <c r="G40" s="56"/>
      <c r="H40" s="73"/>
      <c r="I40" s="56"/>
      <c r="J40" s="73"/>
      <c r="O40" s="240"/>
      <c r="AH40" s="240"/>
      <c r="AI40" s="240"/>
      <c r="AJ40" s="240"/>
      <c r="AK40" s="240"/>
      <c r="AL40" s="240"/>
      <c r="AM40" s="240"/>
      <c r="AN40" s="240"/>
      <c r="AO40" s="240"/>
      <c r="AP40" s="240"/>
    </row>
    <row r="41" spans="1:42">
      <c r="A41" s="56"/>
      <c r="B41" s="276">
        <v>44531</v>
      </c>
      <c r="C41" s="224">
        <v>3.9</v>
      </c>
      <c r="D41" s="280"/>
      <c r="E41" s="128" t="s">
        <v>1814</v>
      </c>
      <c r="F41" s="180">
        <v>3.5</v>
      </c>
      <c r="G41" s="56"/>
      <c r="H41" s="73"/>
      <c r="I41" s="56"/>
      <c r="J41" s="73"/>
      <c r="O41" s="240"/>
      <c r="AH41" s="240"/>
      <c r="AI41" s="240"/>
      <c r="AJ41" s="240"/>
      <c r="AK41" s="240"/>
      <c r="AL41" s="240"/>
      <c r="AM41" s="240"/>
      <c r="AN41" s="240"/>
      <c r="AO41" s="240"/>
      <c r="AP41" s="240"/>
    </row>
    <row r="42" spans="1:42">
      <c r="A42" s="56"/>
      <c r="B42" s="276">
        <v>44562</v>
      </c>
      <c r="C42" s="224">
        <v>4</v>
      </c>
      <c r="D42" s="56"/>
      <c r="E42" s="128" t="s">
        <v>1815</v>
      </c>
      <c r="F42" s="180"/>
      <c r="G42" s="56"/>
      <c r="H42" s="73"/>
      <c r="I42" s="56"/>
      <c r="J42" s="73"/>
      <c r="O42" s="240"/>
    </row>
    <row r="43" spans="1:42">
      <c r="A43" s="56"/>
      <c r="B43" s="276">
        <v>44593</v>
      </c>
      <c r="C43" s="224">
        <v>3.8</v>
      </c>
      <c r="D43" s="56"/>
      <c r="E43" s="128" t="s">
        <v>1816</v>
      </c>
      <c r="F43" s="180"/>
      <c r="G43" s="56"/>
      <c r="H43" s="73"/>
      <c r="I43" s="56"/>
      <c r="J43" s="73"/>
    </row>
    <row r="44" spans="1:42">
      <c r="A44" s="56"/>
      <c r="B44" s="276">
        <v>44621</v>
      </c>
      <c r="C44" s="224">
        <v>3.6</v>
      </c>
      <c r="D44" s="56"/>
      <c r="E44" s="128" t="s">
        <v>1817</v>
      </c>
      <c r="F44" s="180"/>
      <c r="G44" s="56"/>
      <c r="H44" s="73"/>
      <c r="I44" s="56"/>
      <c r="J44" s="73"/>
    </row>
    <row r="45" spans="1:42">
      <c r="A45" s="56"/>
      <c r="B45" s="276">
        <v>44652</v>
      </c>
      <c r="C45" s="224">
        <v>3.6</v>
      </c>
      <c r="D45" s="56"/>
      <c r="E45" s="42" t="s">
        <v>1820</v>
      </c>
      <c r="F45" s="180"/>
      <c r="G45" s="56"/>
      <c r="H45" s="73"/>
      <c r="I45" s="56"/>
      <c r="J45" s="73"/>
    </row>
    <row r="46" spans="1:42">
      <c r="A46" s="56"/>
      <c r="B46" s="276">
        <v>44682</v>
      </c>
      <c r="C46" s="224">
        <v>3.6</v>
      </c>
      <c r="D46" s="56"/>
      <c r="E46" s="128" t="s">
        <v>1814</v>
      </c>
      <c r="F46" s="180"/>
      <c r="G46" s="56"/>
      <c r="H46" s="73"/>
      <c r="I46" s="56"/>
      <c r="J46" s="73"/>
    </row>
    <row r="47" spans="1:42">
      <c r="A47" s="56"/>
      <c r="B47" s="276">
        <v>44713</v>
      </c>
      <c r="C47" s="224">
        <v>3.6</v>
      </c>
      <c r="D47" s="56"/>
      <c r="E47" s="128" t="s">
        <v>1815</v>
      </c>
      <c r="F47" s="180"/>
      <c r="G47" s="56"/>
      <c r="H47" s="73"/>
      <c r="I47" s="56"/>
      <c r="J47" s="73"/>
    </row>
    <row r="48" spans="1:42">
      <c r="A48" s="56"/>
      <c r="B48" s="276">
        <v>44743</v>
      </c>
      <c r="C48" s="224">
        <v>3.5</v>
      </c>
      <c r="D48" s="56"/>
      <c r="E48" s="128" t="s">
        <v>1816</v>
      </c>
      <c r="F48" s="180"/>
      <c r="G48" s="56"/>
      <c r="H48" s="73"/>
      <c r="I48" s="56"/>
      <c r="J48" s="73"/>
    </row>
    <row r="49" spans="1:10">
      <c r="A49" s="56"/>
      <c r="B49" s="276">
        <v>44774</v>
      </c>
      <c r="C49" s="224">
        <v>3.7</v>
      </c>
      <c r="D49" s="56"/>
      <c r="E49" s="128" t="s">
        <v>1817</v>
      </c>
      <c r="F49" s="180"/>
      <c r="G49" s="56"/>
      <c r="H49" s="73"/>
      <c r="I49" s="56"/>
      <c r="J49" s="73"/>
    </row>
    <row r="50" spans="1:10">
      <c r="A50" s="56"/>
      <c r="B50" s="276">
        <v>44805</v>
      </c>
      <c r="C50" s="224">
        <v>3.5</v>
      </c>
      <c r="D50" s="56"/>
      <c r="E50" s="42" t="s">
        <v>1821</v>
      </c>
      <c r="F50" s="180"/>
      <c r="G50" s="56"/>
      <c r="H50" s="56"/>
      <c r="I50" s="56"/>
      <c r="J50" s="56"/>
    </row>
    <row r="51" spans="1:10">
      <c r="A51" s="56"/>
      <c r="B51" s="276">
        <v>44835</v>
      </c>
      <c r="C51" s="224">
        <v>3.7</v>
      </c>
      <c r="D51" s="56"/>
      <c r="E51" s="128" t="s">
        <v>1814</v>
      </c>
      <c r="F51" s="180"/>
      <c r="G51" s="56"/>
      <c r="H51" s="56"/>
      <c r="I51" s="56"/>
      <c r="J51" s="56"/>
    </row>
    <row r="52" spans="1:10">
      <c r="A52" s="56"/>
      <c r="B52" s="276">
        <v>44866</v>
      </c>
      <c r="C52" s="224">
        <v>3.6</v>
      </c>
      <c r="D52" s="56"/>
      <c r="E52" s="128" t="s">
        <v>1815</v>
      </c>
      <c r="F52" s="180"/>
      <c r="G52" s="56"/>
      <c r="H52" s="56"/>
      <c r="I52" s="56"/>
      <c r="J52" s="56"/>
    </row>
    <row r="53" spans="1:10">
      <c r="A53" s="56"/>
      <c r="B53" s="276">
        <v>44896</v>
      </c>
      <c r="C53" s="224">
        <v>3.5</v>
      </c>
      <c r="D53" s="56"/>
      <c r="E53" s="128" t="s">
        <v>1816</v>
      </c>
      <c r="F53" s="180"/>
      <c r="G53" s="56"/>
      <c r="H53" s="56"/>
      <c r="I53" s="56"/>
      <c r="J53" s="56"/>
    </row>
    <row r="54" spans="1:10">
      <c r="B54" s="276">
        <v>44927</v>
      </c>
      <c r="C54" s="224">
        <v>3.4</v>
      </c>
      <c r="D54" s="56"/>
      <c r="E54" s="128" t="s">
        <v>1817</v>
      </c>
      <c r="F54" s="180"/>
      <c r="G54" s="56"/>
      <c r="H54" s="56"/>
      <c r="I54" s="56"/>
      <c r="J54" s="56"/>
    </row>
    <row r="55" spans="1:10">
      <c r="B55" s="276">
        <v>44958</v>
      </c>
      <c r="C55" s="224">
        <v>3.6</v>
      </c>
      <c r="D55" s="56"/>
      <c r="E55" s="42" t="s">
        <v>1822</v>
      </c>
      <c r="F55" s="180"/>
      <c r="G55" s="56"/>
      <c r="H55" s="56"/>
      <c r="I55" s="56"/>
      <c r="J55" s="56"/>
    </row>
    <row r="56" spans="1:10">
      <c r="B56" s="276">
        <v>44986</v>
      </c>
      <c r="C56" s="224">
        <v>3.5</v>
      </c>
      <c r="D56" s="56"/>
      <c r="E56" s="128" t="s">
        <v>1814</v>
      </c>
      <c r="F56" s="180"/>
      <c r="G56" s="56"/>
      <c r="H56" s="56"/>
      <c r="I56" s="56"/>
      <c r="J56" s="56"/>
    </row>
    <row r="57" spans="1:10">
      <c r="B57" s="276">
        <v>45017</v>
      </c>
      <c r="C57" s="224"/>
      <c r="D57" s="56"/>
      <c r="E57" s="128" t="s">
        <v>1815</v>
      </c>
      <c r="F57" s="180"/>
      <c r="G57" s="56"/>
      <c r="H57" s="56"/>
      <c r="I57" s="56"/>
      <c r="J57" s="56"/>
    </row>
    <row r="58" spans="1:10">
      <c r="B58" s="276">
        <v>45047</v>
      </c>
      <c r="C58" s="224"/>
      <c r="D58" s="56"/>
      <c r="E58" s="128" t="s">
        <v>1816</v>
      </c>
      <c r="F58" s="180"/>
      <c r="G58" s="56"/>
      <c r="H58" s="56"/>
      <c r="I58" s="56"/>
      <c r="J58" s="56"/>
    </row>
    <row r="59" spans="1:10">
      <c r="B59" s="276">
        <v>45078</v>
      </c>
      <c r="C59" s="224"/>
      <c r="D59" s="56"/>
      <c r="E59" s="128" t="s">
        <v>1817</v>
      </c>
      <c r="F59" s="180"/>
      <c r="G59" s="56"/>
      <c r="H59" s="56"/>
      <c r="I59" s="56"/>
      <c r="J59" s="56"/>
    </row>
    <row r="60" spans="1:10">
      <c r="B60" s="276">
        <v>45108</v>
      </c>
      <c r="C60" s="224"/>
      <c r="D60" s="56"/>
      <c r="E60" s="56"/>
      <c r="F60" s="56"/>
      <c r="G60" s="56"/>
      <c r="H60" s="56"/>
      <c r="I60" s="56"/>
      <c r="J60" s="56"/>
    </row>
    <row r="61" spans="1:10">
      <c r="B61" s="276">
        <v>45139</v>
      </c>
      <c r="C61" s="224"/>
      <c r="D61" s="56"/>
      <c r="E61" s="56"/>
      <c r="F61" s="56"/>
      <c r="G61" s="56"/>
      <c r="H61" s="56"/>
      <c r="I61" s="56"/>
      <c r="J61" s="56"/>
    </row>
    <row r="62" spans="1:10">
      <c r="B62" s="276">
        <v>45170</v>
      </c>
      <c r="C62" s="224"/>
      <c r="D62" s="56"/>
      <c r="E62" s="56"/>
      <c r="F62" s="56"/>
      <c r="G62" s="56"/>
      <c r="H62" s="56"/>
      <c r="I62" s="56"/>
      <c r="J62" s="56"/>
    </row>
    <row r="63" spans="1:10">
      <c r="B63" s="276">
        <v>45200</v>
      </c>
      <c r="C63" s="224"/>
      <c r="D63" s="56"/>
      <c r="E63" s="56"/>
      <c r="F63" s="56"/>
      <c r="G63" s="56"/>
      <c r="H63" s="56"/>
      <c r="I63" s="56"/>
      <c r="J63" s="56"/>
    </row>
    <row r="64" spans="1:10">
      <c r="B64" s="276">
        <v>45231</v>
      </c>
      <c r="C64" s="224"/>
      <c r="D64" s="56"/>
      <c r="E64" s="56"/>
      <c r="F64" s="56"/>
      <c r="G64" s="56"/>
      <c r="H64" s="56"/>
      <c r="I64" s="56"/>
      <c r="J64" s="56"/>
    </row>
    <row r="65" spans="2:10">
      <c r="B65" s="276">
        <v>45261</v>
      </c>
      <c r="C65" s="224"/>
      <c r="D65" s="56"/>
      <c r="E65" s="56"/>
      <c r="F65" s="56"/>
      <c r="G65" s="56"/>
      <c r="H65" s="56"/>
      <c r="I65" s="56"/>
      <c r="J65" s="56"/>
    </row>
    <row r="66" spans="2:10">
      <c r="B66" s="276">
        <v>45292</v>
      </c>
      <c r="C66" s="224"/>
      <c r="D66" s="56"/>
      <c r="E66" s="56"/>
      <c r="F66" s="56"/>
      <c r="G66" s="56"/>
      <c r="H66" s="56"/>
      <c r="I66" s="56"/>
      <c r="J66" s="56"/>
    </row>
    <row r="67" spans="2:10">
      <c r="B67" s="276">
        <v>45323</v>
      </c>
      <c r="C67" s="224"/>
      <c r="D67" s="56"/>
      <c r="E67" s="56"/>
      <c r="F67" s="56"/>
      <c r="G67" s="56"/>
      <c r="H67" s="56"/>
      <c r="I67" s="56"/>
      <c r="J67" s="56"/>
    </row>
    <row r="68" spans="2:10">
      <c r="B68" s="276">
        <v>45352</v>
      </c>
      <c r="C68" s="224"/>
      <c r="D68" s="56"/>
      <c r="E68" s="56"/>
      <c r="F68" s="56"/>
      <c r="G68" s="56"/>
      <c r="H68" s="56"/>
      <c r="I68" s="56"/>
      <c r="J68" s="56"/>
    </row>
    <row r="69" spans="2:10">
      <c r="B69" s="276">
        <v>45383</v>
      </c>
      <c r="C69" s="224"/>
      <c r="D69" s="56"/>
      <c r="E69" s="56"/>
      <c r="F69" s="56"/>
      <c r="G69" s="56"/>
      <c r="H69" s="56"/>
      <c r="I69" s="56"/>
      <c r="J69" s="56"/>
    </row>
    <row r="70" spans="2:10">
      <c r="B70" s="276">
        <v>45413</v>
      </c>
      <c r="C70" s="224"/>
      <c r="D70" s="56"/>
      <c r="E70" s="56"/>
      <c r="F70" s="56"/>
      <c r="G70" s="56"/>
      <c r="H70" s="56"/>
      <c r="I70" s="56"/>
      <c r="J70" s="56"/>
    </row>
    <row r="71" spans="2:10">
      <c r="B71" s="276">
        <v>45444</v>
      </c>
      <c r="C71" s="224"/>
      <c r="D71" s="56"/>
      <c r="E71" s="56"/>
      <c r="F71" s="56"/>
      <c r="G71" s="56"/>
      <c r="H71" s="56"/>
      <c r="I71" s="56"/>
      <c r="J71" s="56"/>
    </row>
    <row r="72" spans="2:10">
      <c r="B72" s="276">
        <v>45474</v>
      </c>
      <c r="C72" s="224"/>
      <c r="D72" s="56"/>
      <c r="E72" s="56"/>
      <c r="F72" s="56"/>
      <c r="G72" s="56"/>
      <c r="H72" s="56"/>
      <c r="I72" s="56"/>
      <c r="J72" s="56"/>
    </row>
    <row r="73" spans="2:10">
      <c r="B73" s="276">
        <v>45505</v>
      </c>
      <c r="C73" s="224"/>
      <c r="D73" s="56"/>
      <c r="E73" s="56"/>
      <c r="F73" s="56"/>
      <c r="G73" s="56"/>
      <c r="H73" s="56"/>
      <c r="I73" s="56"/>
      <c r="J73" s="56"/>
    </row>
    <row r="74" spans="2:10">
      <c r="B74" s="276">
        <v>45536</v>
      </c>
      <c r="C74" s="224"/>
      <c r="D74" s="56"/>
      <c r="E74" s="56"/>
      <c r="F74" s="56"/>
      <c r="G74" s="56"/>
      <c r="H74" s="56"/>
      <c r="I74" s="56"/>
      <c r="J74" s="56"/>
    </row>
    <row r="75" spans="2:10">
      <c r="B75" s="276">
        <v>45566</v>
      </c>
      <c r="C75" s="224"/>
      <c r="D75" s="56"/>
      <c r="E75" s="56"/>
      <c r="F75" s="56"/>
      <c r="G75" s="56"/>
      <c r="H75" s="56"/>
      <c r="I75" s="56"/>
      <c r="J75" s="56"/>
    </row>
    <row r="76" spans="2:10">
      <c r="B76" s="276">
        <v>45597</v>
      </c>
      <c r="C76" s="224"/>
      <c r="D76" s="56"/>
      <c r="E76" s="56"/>
      <c r="F76" s="56"/>
      <c r="G76" s="56"/>
      <c r="H76" s="56"/>
      <c r="I76" s="56"/>
      <c r="J76" s="56"/>
    </row>
    <row r="77" spans="2:10">
      <c r="B77" s="276">
        <v>45627</v>
      </c>
      <c r="C77" s="224"/>
      <c r="D77" s="56"/>
      <c r="E77" s="56"/>
      <c r="F77" s="56"/>
      <c r="G77" s="56"/>
      <c r="H77" s="56"/>
      <c r="I77" s="56"/>
      <c r="J77" s="56"/>
    </row>
    <row r="78" spans="2:10">
      <c r="B78" s="276">
        <v>45658</v>
      </c>
      <c r="C78" s="224"/>
      <c r="D78" s="56"/>
      <c r="E78" s="56"/>
      <c r="F78" s="56"/>
      <c r="G78" s="56"/>
      <c r="H78" s="56"/>
      <c r="I78" s="56"/>
      <c r="J78" s="56"/>
    </row>
    <row r="79" spans="2:10">
      <c r="B79" s="276">
        <v>45689</v>
      </c>
      <c r="C79" s="224"/>
      <c r="D79" s="56"/>
      <c r="E79" s="56"/>
      <c r="F79" s="56"/>
      <c r="G79" s="56"/>
      <c r="H79" s="56"/>
      <c r="I79" s="56"/>
      <c r="J79" s="56"/>
    </row>
    <row r="80" spans="2:10">
      <c r="B80" s="276">
        <v>45717</v>
      </c>
      <c r="C80" s="224"/>
      <c r="D80" s="56"/>
      <c r="E80" s="56"/>
      <c r="F80" s="56"/>
      <c r="G80" s="56"/>
      <c r="H80" s="56"/>
      <c r="I80" s="56"/>
      <c r="J80" s="56"/>
    </row>
    <row r="81" spans="2:10">
      <c r="B81" s="276">
        <v>45748</v>
      </c>
      <c r="C81" s="224"/>
      <c r="D81" s="56"/>
      <c r="E81" s="56"/>
      <c r="F81" s="56"/>
      <c r="G81" s="56"/>
      <c r="H81" s="56"/>
      <c r="I81" s="56"/>
      <c r="J81" s="56"/>
    </row>
    <row r="82" spans="2:10">
      <c r="B82" s="276">
        <v>45778</v>
      </c>
      <c r="C82" s="224"/>
      <c r="D82" s="56"/>
      <c r="E82" s="56"/>
      <c r="F82" s="56"/>
      <c r="G82" s="56"/>
      <c r="H82" s="56"/>
      <c r="I82" s="56"/>
      <c r="J82" s="56"/>
    </row>
    <row r="83" spans="2:10">
      <c r="B83" s="276">
        <v>45809</v>
      </c>
      <c r="C83" s="224"/>
      <c r="D83" s="56"/>
      <c r="E83" s="56"/>
      <c r="F83" s="56"/>
      <c r="G83" s="56"/>
      <c r="H83" s="56"/>
      <c r="I83" s="56"/>
      <c r="J83" s="56"/>
    </row>
    <row r="84" spans="2:10">
      <c r="B84" s="276">
        <v>45839</v>
      </c>
      <c r="C84" s="224"/>
      <c r="D84" s="56"/>
      <c r="E84" s="56"/>
      <c r="F84" s="56"/>
      <c r="G84" s="56"/>
      <c r="H84" s="56"/>
      <c r="I84" s="56"/>
      <c r="J84" s="56"/>
    </row>
    <row r="85" spans="2:10">
      <c r="B85" s="276">
        <v>45870</v>
      </c>
      <c r="C85" s="224"/>
      <c r="D85" s="56"/>
      <c r="E85" s="56"/>
      <c r="F85" s="56"/>
      <c r="G85" s="56"/>
      <c r="H85" s="56"/>
      <c r="I85" s="56"/>
      <c r="J85" s="56"/>
    </row>
    <row r="86" spans="2:10">
      <c r="B86" s="276">
        <v>45901</v>
      </c>
      <c r="C86" s="224"/>
      <c r="D86" s="56"/>
      <c r="E86" s="56"/>
      <c r="F86" s="56"/>
      <c r="G86" s="56"/>
      <c r="H86" s="56"/>
      <c r="I86" s="56"/>
      <c r="J86" s="56"/>
    </row>
    <row r="87" spans="2:10">
      <c r="B87" s="276">
        <v>45931</v>
      </c>
      <c r="C87" s="224"/>
      <c r="D87" s="56"/>
      <c r="E87" s="56"/>
      <c r="F87" s="56"/>
      <c r="G87" s="56"/>
      <c r="H87" s="56"/>
      <c r="I87" s="56"/>
      <c r="J87" s="56"/>
    </row>
    <row r="88" spans="2:10">
      <c r="B88" s="276">
        <v>45962</v>
      </c>
      <c r="C88" s="224"/>
      <c r="D88" s="56"/>
      <c r="E88" s="56"/>
      <c r="F88" s="56"/>
      <c r="G88" s="56"/>
      <c r="H88" s="56"/>
      <c r="I88" s="56"/>
      <c r="J88" s="56"/>
    </row>
    <row r="89" spans="2:10">
      <c r="B89" s="276">
        <v>45992</v>
      </c>
      <c r="C89" s="224"/>
      <c r="D89" s="56"/>
      <c r="E89" s="56"/>
      <c r="F89" s="56"/>
      <c r="G89" s="56"/>
      <c r="H89" s="56"/>
      <c r="I89" s="56"/>
      <c r="J89" s="56"/>
    </row>
    <row r="90" spans="2:10">
      <c r="B90" s="276">
        <v>46023</v>
      </c>
      <c r="C90" s="224"/>
      <c r="D90" s="56"/>
      <c r="E90" s="56"/>
      <c r="F90" s="56"/>
      <c r="G90" s="56"/>
      <c r="H90" s="56"/>
      <c r="I90" s="56"/>
      <c r="J90" s="56"/>
    </row>
    <row r="91" spans="2:10">
      <c r="B91" s="276">
        <v>46054</v>
      </c>
      <c r="C91" s="224"/>
      <c r="D91" s="56"/>
      <c r="E91" s="56"/>
      <c r="F91" s="56"/>
      <c r="G91" s="56"/>
      <c r="H91" s="56"/>
      <c r="I91" s="56"/>
      <c r="J91" s="56"/>
    </row>
    <row r="92" spans="2:10">
      <c r="B92" s="276">
        <v>46082</v>
      </c>
      <c r="C92" s="224"/>
      <c r="D92" s="56"/>
      <c r="E92" s="56"/>
      <c r="F92" s="56"/>
      <c r="G92" s="56"/>
      <c r="H92" s="56"/>
      <c r="I92" s="56"/>
      <c r="J92" s="56"/>
    </row>
    <row r="93" spans="2:10">
      <c r="B93" s="276">
        <v>46113</v>
      </c>
      <c r="C93" s="224"/>
      <c r="D93" s="56"/>
      <c r="E93" s="56"/>
      <c r="F93" s="56"/>
      <c r="G93" s="56"/>
      <c r="H93" s="56"/>
      <c r="I93" s="56"/>
      <c r="J93" s="56"/>
    </row>
    <row r="94" spans="2:10">
      <c r="B94" s="276">
        <v>46143</v>
      </c>
      <c r="C94" s="224"/>
      <c r="D94" s="56"/>
      <c r="E94" s="56"/>
      <c r="F94" s="56"/>
      <c r="G94" s="56"/>
      <c r="H94" s="56"/>
      <c r="I94" s="56"/>
      <c r="J94" s="56"/>
    </row>
    <row r="95" spans="2:10">
      <c r="B95" s="276">
        <v>46174</v>
      </c>
      <c r="C95" s="224"/>
      <c r="D95" s="56"/>
      <c r="E95" s="56"/>
      <c r="F95" s="56"/>
      <c r="G95" s="56"/>
      <c r="H95" s="56"/>
      <c r="I95" s="56"/>
      <c r="J95" s="56"/>
    </row>
    <row r="96" spans="2:10">
      <c r="B96" s="276">
        <v>46204</v>
      </c>
      <c r="C96" s="224"/>
      <c r="D96" s="56"/>
      <c r="E96" s="56"/>
      <c r="F96" s="56"/>
      <c r="G96" s="56"/>
      <c r="H96" s="56"/>
      <c r="I96" s="56"/>
      <c r="J96" s="56"/>
    </row>
    <row r="97" spans="2:10">
      <c r="B97" s="276">
        <v>46235</v>
      </c>
      <c r="C97" s="224"/>
      <c r="D97" s="56"/>
      <c r="E97" s="56"/>
      <c r="F97" s="56"/>
      <c r="G97" s="56"/>
      <c r="H97" s="56"/>
      <c r="I97" s="56"/>
      <c r="J97" s="56"/>
    </row>
    <row r="98" spans="2:10">
      <c r="B98" s="276">
        <v>46266</v>
      </c>
      <c r="C98" s="224"/>
      <c r="D98" s="56"/>
      <c r="E98" s="56"/>
      <c r="F98" s="56"/>
      <c r="G98" s="56"/>
      <c r="H98" s="56"/>
      <c r="I98" s="56"/>
      <c r="J98" s="56"/>
    </row>
    <row r="99" spans="2:10">
      <c r="B99" s="276">
        <v>46296</v>
      </c>
      <c r="C99" s="224"/>
      <c r="D99" s="56"/>
      <c r="E99" s="56"/>
      <c r="F99" s="56"/>
      <c r="G99" s="56"/>
      <c r="H99" s="56"/>
      <c r="I99" s="56"/>
      <c r="J99" s="56"/>
    </row>
    <row r="100" spans="2:10">
      <c r="B100" s="276">
        <v>46327</v>
      </c>
      <c r="C100" s="224"/>
      <c r="D100" s="56"/>
      <c r="E100" s="56"/>
      <c r="F100" s="56"/>
      <c r="G100" s="56"/>
      <c r="H100" s="56"/>
      <c r="I100" s="56"/>
      <c r="J100" s="56"/>
    </row>
    <row r="101" spans="2:10">
      <c r="B101" s="277">
        <v>46357</v>
      </c>
      <c r="C101" s="225"/>
      <c r="D101" s="56"/>
      <c r="E101" s="56"/>
      <c r="F101" s="56"/>
      <c r="G101" s="56"/>
      <c r="H101" s="56"/>
      <c r="I101" s="56"/>
      <c r="J101" s="56"/>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c r="B1" s="1297" t="s">
        <v>53</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0" ht="14.25" customHeight="1">
      <c r="B2" s="1298" t="s">
        <v>278</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row>
    <row r="3" spans="2:30">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row>
    <row r="4" spans="2:30">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row>
    <row r="5" spans="2:30">
      <c r="B5" s="1298"/>
      <c r="C5" s="1298"/>
      <c r="D5" s="1298"/>
      <c r="E5" s="1298"/>
      <c r="F5" s="1298"/>
      <c r="G5" s="1298"/>
      <c r="H5" s="1298"/>
      <c r="I5" s="1298"/>
      <c r="J5" s="1298"/>
      <c r="K5" s="1298"/>
      <c r="L5" s="1298"/>
      <c r="M5" s="1298"/>
      <c r="N5" s="1298"/>
      <c r="O5" s="1298"/>
      <c r="P5" s="1298"/>
      <c r="Q5" s="1298"/>
      <c r="R5" s="1298"/>
      <c r="S5" s="1298"/>
      <c r="T5" s="1298"/>
      <c r="U5" s="1298"/>
      <c r="V5" s="1298"/>
      <c r="W5" s="1298"/>
      <c r="X5" s="1298"/>
      <c r="Y5" s="1298"/>
      <c r="Z5" s="1298"/>
      <c r="AA5" s="1298"/>
      <c r="AB5" s="1298"/>
      <c r="AC5" s="1298"/>
    </row>
    <row r="6" spans="2:30" ht="38.9" customHeight="1">
      <c r="B6" s="1298"/>
      <c r="C6" s="1298"/>
      <c r="D6" s="1298"/>
      <c r="E6" s="1298"/>
      <c r="F6" s="1298"/>
      <c r="G6" s="1298"/>
      <c r="H6" s="1298"/>
      <c r="I6" s="1298"/>
      <c r="J6" s="1298"/>
      <c r="K6" s="1298"/>
      <c r="L6" s="1298"/>
      <c r="M6" s="1298"/>
      <c r="N6" s="1298"/>
      <c r="O6" s="1298"/>
      <c r="P6" s="1298"/>
      <c r="Q6" s="1298"/>
      <c r="R6" s="1298"/>
      <c r="S6" s="1298"/>
      <c r="T6" s="1298"/>
      <c r="U6" s="1298"/>
      <c r="V6" s="1298"/>
      <c r="W6" s="1298"/>
      <c r="X6" s="1298"/>
      <c r="Y6" s="1298"/>
      <c r="Z6" s="1298"/>
      <c r="AA6" s="1298"/>
      <c r="AB6" s="1298"/>
      <c r="AC6" s="1298"/>
    </row>
    <row r="7" spans="2:30">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9" customHeight="1">
      <c r="B8" s="1302" t="s">
        <v>279</v>
      </c>
      <c r="C8" s="1303"/>
      <c r="D8" s="1322" t="s">
        <v>280</v>
      </c>
      <c r="E8" s="1323"/>
      <c r="F8" s="1323"/>
      <c r="G8" s="1323"/>
      <c r="H8" s="1323"/>
      <c r="I8" s="1323"/>
      <c r="J8" s="1323"/>
      <c r="K8" s="1323"/>
      <c r="L8" s="1323"/>
      <c r="M8" s="1323"/>
      <c r="N8" s="1323"/>
      <c r="O8" s="1323"/>
      <c r="P8" s="1323"/>
      <c r="Q8" s="1323"/>
      <c r="R8" s="1323"/>
      <c r="S8" s="1323"/>
      <c r="T8" s="1324"/>
      <c r="U8" s="1325" t="s">
        <v>281</v>
      </c>
      <c r="V8" s="1326"/>
      <c r="W8" s="1326"/>
      <c r="X8" s="1326"/>
      <c r="Y8" s="1326"/>
      <c r="Z8" s="1326"/>
      <c r="AA8" s="1326"/>
      <c r="AB8" s="1326"/>
      <c r="AC8" s="1327"/>
    </row>
    <row r="9" spans="2:30" ht="12.75" customHeight="1">
      <c r="B9" s="1304"/>
      <c r="C9" s="1305"/>
      <c r="D9" s="219">
        <v>2018</v>
      </c>
      <c r="E9" s="1311">
        <v>2019</v>
      </c>
      <c r="F9" s="1312"/>
      <c r="G9" s="1312"/>
      <c r="H9" s="1313"/>
      <c r="I9" s="1312">
        <v>2020</v>
      </c>
      <c r="J9" s="1312"/>
      <c r="K9" s="1312"/>
      <c r="L9" s="1312"/>
      <c r="M9" s="1311">
        <v>2021</v>
      </c>
      <c r="N9" s="1312"/>
      <c r="O9" s="1312"/>
      <c r="P9" s="1312"/>
      <c r="Q9" s="1328">
        <v>2022</v>
      </c>
      <c r="R9" s="1329"/>
      <c r="S9" s="288"/>
      <c r="T9" s="296"/>
      <c r="U9" s="1309">
        <v>2023</v>
      </c>
      <c r="V9" s="1321"/>
      <c r="W9" s="1321"/>
      <c r="X9" s="1310"/>
      <c r="Y9" s="1308">
        <v>2024</v>
      </c>
      <c r="Z9" s="1321"/>
      <c r="AA9" s="1321"/>
      <c r="AB9" s="1321"/>
      <c r="AC9" s="251">
        <v>2025</v>
      </c>
    </row>
    <row r="10" spans="2:30" ht="14.9" customHeight="1">
      <c r="B10" s="1304"/>
      <c r="C10" s="1305"/>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70" t="s">
        <v>283</v>
      </c>
      <c r="V10" s="270" t="s">
        <v>284</v>
      </c>
      <c r="W10" s="270" t="s">
        <v>238</v>
      </c>
      <c r="X10" s="271" t="s">
        <v>282</v>
      </c>
      <c r="Y10" s="269" t="s">
        <v>283</v>
      </c>
      <c r="Z10" s="267" t="s">
        <v>284</v>
      </c>
      <c r="AA10" s="270" t="s">
        <v>238</v>
      </c>
      <c r="AB10" s="270" t="s">
        <v>282</v>
      </c>
      <c r="AC10" s="272" t="s">
        <v>283</v>
      </c>
    </row>
    <row r="11" spans="2:30">
      <c r="B11" s="250" t="s">
        <v>102</v>
      </c>
      <c r="C11" s="273" t="s">
        <v>285</v>
      </c>
      <c r="D11" s="253">
        <f>'Haver Pivoted'!GO14</f>
        <v>27.1</v>
      </c>
      <c r="E11" s="308">
        <f>'Haver Pivoted'!GP14</f>
        <v>30.5</v>
      </c>
      <c r="F11" s="308">
        <f>'Haver Pivoted'!GQ14</f>
        <v>27.7</v>
      </c>
      <c r="G11" s="308">
        <f>'Haver Pivoted'!GR14</f>
        <v>25</v>
      </c>
      <c r="H11" s="308">
        <f>'Haver Pivoted'!GS14</f>
        <v>26.7</v>
      </c>
      <c r="I11" s="308">
        <f>'Haver Pivoted'!GT14</f>
        <v>40.9</v>
      </c>
      <c r="J11" s="308">
        <f>'Haver Pivoted'!GU14</f>
        <v>951.4</v>
      </c>
      <c r="K11" s="308">
        <f>'Haver Pivoted'!GV14</f>
        <v>802.3</v>
      </c>
      <c r="L11" s="308">
        <f>'Haver Pivoted'!GW14</f>
        <v>323.5</v>
      </c>
      <c r="M11" s="308">
        <f>'Haver Pivoted'!GX14</f>
        <v>583.5</v>
      </c>
      <c r="N11" s="308">
        <f>'Haver Pivoted'!GY14</f>
        <v>451.8</v>
      </c>
      <c r="O11" s="308">
        <f>'Haver Pivoted'!GZ14</f>
        <v>226.8</v>
      </c>
      <c r="P11" s="308">
        <f>'Haver Pivoted'!HA14</f>
        <v>33.9</v>
      </c>
      <c r="Q11" s="308">
        <f>'Haver Pivoted'!HB14</f>
        <v>26.2</v>
      </c>
      <c r="R11" s="308">
        <f>'Haver Pivoted'!HC14</f>
        <v>21.4</v>
      </c>
      <c r="S11" s="292">
        <f>'Haver Pivoted'!HD14</f>
        <v>19.600000000000001</v>
      </c>
      <c r="T11" s="221">
        <f>'Haver Pivoted'!HE14</f>
        <v>22.1</v>
      </c>
      <c r="U11" s="221">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5">
        <f t="shared" si="0"/>
        <v>30.020571428571422</v>
      </c>
      <c r="AD11" s="240" t="s">
        <v>286</v>
      </c>
    </row>
    <row r="12" spans="2:30">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6">
        <f>'Haver Pivoted'!HE63</f>
        <v>0</v>
      </c>
      <c r="U12" s="216">
        <f>'Haver Pivoted'!HF63</f>
        <v>0</v>
      </c>
      <c r="V12" s="236">
        <f>U12*V23/U23</f>
        <v>0</v>
      </c>
      <c r="W12" s="236">
        <f t="shared" ref="W12:AB12" si="1">V12*W23/V23</f>
        <v>0</v>
      </c>
      <c r="X12" s="236">
        <f t="shared" si="1"/>
        <v>0</v>
      </c>
      <c r="Y12" s="236">
        <f t="shared" si="1"/>
        <v>0</v>
      </c>
      <c r="Z12" s="236">
        <f t="shared" si="1"/>
        <v>0</v>
      </c>
      <c r="AA12" s="236">
        <f t="shared" si="1"/>
        <v>0</v>
      </c>
      <c r="AB12" s="236">
        <f t="shared" si="1"/>
        <v>0</v>
      </c>
      <c r="AC12" s="302">
        <f>AB12*AC23/AB23</f>
        <v>0</v>
      </c>
    </row>
    <row r="13" spans="2:30">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3">
        <f t="shared" si="3"/>
        <v>0.5</v>
      </c>
      <c r="T13" s="303">
        <f t="shared" si="3"/>
        <v>0.30000000000000004</v>
      </c>
      <c r="U13" s="303">
        <f t="shared" si="3"/>
        <v>0</v>
      </c>
      <c r="V13" s="236">
        <f t="shared" si="3"/>
        <v>0</v>
      </c>
      <c r="W13" s="236">
        <f t="shared" si="3"/>
        <v>0</v>
      </c>
      <c r="X13" s="236">
        <f t="shared" si="3"/>
        <v>0</v>
      </c>
      <c r="Y13" s="236">
        <f t="shared" si="3"/>
        <v>0</v>
      </c>
      <c r="Z13" s="236">
        <f t="shared" si="3"/>
        <v>0</v>
      </c>
      <c r="AA13" s="236">
        <f t="shared" si="3"/>
        <v>0</v>
      </c>
      <c r="AB13" s="236">
        <f t="shared" si="3"/>
        <v>0</v>
      </c>
      <c r="AC13" s="302">
        <f t="shared" si="3"/>
        <v>0</v>
      </c>
    </row>
    <row r="14" spans="2:30"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301">
        <f>'Haver Pivoted'!HE63</f>
        <v>0</v>
      </c>
      <c r="U14" s="301">
        <f>'Haver Pivoted'!HF63</f>
        <v>0</v>
      </c>
      <c r="V14" s="236">
        <f t="shared" ref="V14:X14" si="4">V12</f>
        <v>0</v>
      </c>
      <c r="W14" s="236">
        <f t="shared" si="4"/>
        <v>0</v>
      </c>
      <c r="X14" s="236">
        <f t="shared" si="4"/>
        <v>0</v>
      </c>
      <c r="Y14" s="236">
        <f>Y12</f>
        <v>0</v>
      </c>
      <c r="Z14" s="236">
        <f t="shared" ref="Z14:AC14" si="5">Z12</f>
        <v>0</v>
      </c>
      <c r="AA14" s="236">
        <f t="shared" si="5"/>
        <v>0</v>
      </c>
      <c r="AB14" s="236">
        <f t="shared" si="5"/>
        <v>0</v>
      </c>
      <c r="AC14" s="302">
        <f t="shared" si="5"/>
        <v>0</v>
      </c>
    </row>
    <row r="15" spans="2:30"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301">
        <f>'Haver Pivoted'!HE59</f>
        <v>0.2</v>
      </c>
      <c r="U15" s="301">
        <f>'Haver Pivoted'!HF59</f>
        <v>0</v>
      </c>
      <c r="V15" s="236">
        <f t="shared" ref="V15:AB17" si="6">U15*V$23/U$23</f>
        <v>0</v>
      </c>
      <c r="W15" s="236">
        <f t="shared" si="6"/>
        <v>0</v>
      </c>
      <c r="X15" s="236">
        <f t="shared" si="6"/>
        <v>0</v>
      </c>
      <c r="Y15" s="236">
        <f t="shared" si="6"/>
        <v>0</v>
      </c>
      <c r="Z15" s="236">
        <f t="shared" si="6"/>
        <v>0</v>
      </c>
      <c r="AA15" s="236">
        <f t="shared" si="6"/>
        <v>0</v>
      </c>
      <c r="AB15" s="236">
        <f t="shared" si="6"/>
        <v>0</v>
      </c>
      <c r="AC15" s="302">
        <f>AB15*AC$23/AB$23</f>
        <v>0</v>
      </c>
    </row>
    <row r="16" spans="2:30"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301">
        <f>'Haver Pivoted'!HE60</f>
        <v>0.1</v>
      </c>
      <c r="U16" s="301">
        <f>'Haver Pivoted'!HF60</f>
        <v>0</v>
      </c>
      <c r="V16" s="236">
        <f t="shared" si="6"/>
        <v>0</v>
      </c>
      <c r="W16" s="236">
        <f t="shared" si="6"/>
        <v>0</v>
      </c>
      <c r="X16" s="236">
        <f t="shared" si="6"/>
        <v>0</v>
      </c>
      <c r="Y16" s="236">
        <f t="shared" si="6"/>
        <v>0</v>
      </c>
      <c r="Z16" s="236">
        <f t="shared" si="6"/>
        <v>0</v>
      </c>
      <c r="AA16" s="236">
        <f t="shared" si="6"/>
        <v>0</v>
      </c>
      <c r="AB16" s="236">
        <f t="shared" si="6"/>
        <v>0</v>
      </c>
      <c r="AC16" s="302">
        <f>AB16*AC$23/AB$23</f>
        <v>0</v>
      </c>
    </row>
    <row r="17" spans="1:32"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301">
        <f>'Haver Pivoted'!HE61</f>
        <v>0</v>
      </c>
      <c r="U17" s="301">
        <f>'Haver Pivoted'!HF61</f>
        <v>0</v>
      </c>
      <c r="V17" s="236">
        <f t="shared" si="6"/>
        <v>0</v>
      </c>
      <c r="W17" s="236">
        <f t="shared" si="6"/>
        <v>0</v>
      </c>
      <c r="X17" s="236">
        <f t="shared" si="6"/>
        <v>0</v>
      </c>
      <c r="Y17" s="236">
        <f t="shared" si="6"/>
        <v>0</v>
      </c>
      <c r="Z17" s="236">
        <f t="shared" si="6"/>
        <v>0</v>
      </c>
      <c r="AA17" s="236">
        <f t="shared" si="6"/>
        <v>0</v>
      </c>
      <c r="AB17" s="236">
        <f t="shared" si="6"/>
        <v>0</v>
      </c>
      <c r="AC17" s="302">
        <f>AB17*AC$23/AB$23</f>
        <v>0</v>
      </c>
    </row>
    <row r="18" spans="1:32">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301">
        <f>'Haver Pivoted'!HE64</f>
        <v>0</v>
      </c>
      <c r="U18" s="301">
        <f>'Haver Pivoted'!HF64</f>
        <v>0</v>
      </c>
      <c r="V18" s="236"/>
      <c r="W18" s="236"/>
      <c r="X18" s="236"/>
      <c r="Y18" s="236"/>
      <c r="Z18" s="236"/>
      <c r="AA18" s="236"/>
      <c r="AB18" s="236"/>
      <c r="AC18" s="302"/>
    </row>
    <row r="19" spans="1:32" ht="14.9" customHeight="1">
      <c r="B19" s="268" t="s">
        <v>298</v>
      </c>
      <c r="C19" s="255"/>
      <c r="D19" s="262">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4">
        <f>S11-S20</f>
        <v>0.5</v>
      </c>
      <c r="T19" s="300">
        <f>T11-T20</f>
        <v>0.30000000000000071</v>
      </c>
      <c r="U19" s="300">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9" customHeight="1">
      <c r="B20" s="268" t="s">
        <v>299</v>
      </c>
      <c r="C20" s="255"/>
      <c r="D20" s="262">
        <f t="shared" ref="D20:H20" si="10">D11</f>
        <v>27.1</v>
      </c>
      <c r="E20" s="228">
        <f t="shared" si="10"/>
        <v>30.5</v>
      </c>
      <c r="F20" s="228">
        <f t="shared" si="10"/>
        <v>27.7</v>
      </c>
      <c r="G20" s="228">
        <f t="shared" si="10"/>
        <v>25</v>
      </c>
      <c r="H20" s="228">
        <f t="shared" si="10"/>
        <v>26.7</v>
      </c>
      <c r="I20" s="228">
        <f>I11</f>
        <v>40.9</v>
      </c>
      <c r="J20" s="228">
        <f>J11-J13-J12</f>
        <v>171.59999999999994</v>
      </c>
      <c r="K20" s="228">
        <f>K11-K13-K12</f>
        <v>215.99999999999994</v>
      </c>
      <c r="L20" s="228">
        <f>L11-L13-L12</f>
        <v>94.1</v>
      </c>
      <c r="M20" s="228">
        <f>M11-M13-M12</f>
        <v>60.399999999999977</v>
      </c>
      <c r="N20" s="229">
        <f t="shared" ref="N20:U20" si="11">N11-N12-N13</f>
        <v>46.5</v>
      </c>
      <c r="O20" s="229">
        <f t="shared" si="11"/>
        <v>17.599999999999994</v>
      </c>
      <c r="P20" s="229">
        <f t="shared" si="11"/>
        <v>27.799999999999997</v>
      </c>
      <c r="Q20" s="230">
        <f t="shared" si="11"/>
        <v>26</v>
      </c>
      <c r="R20" s="230">
        <f t="shared" si="11"/>
        <v>20.299999999999997</v>
      </c>
      <c r="S20" s="235">
        <f t="shared" si="11"/>
        <v>19.100000000000001</v>
      </c>
      <c r="T20" s="301">
        <f t="shared" si="11"/>
        <v>21.8</v>
      </c>
      <c r="U20" s="301">
        <f t="shared" si="11"/>
        <v>22</v>
      </c>
      <c r="V20" s="237">
        <f t="shared" ref="V20:AB20" si="12">U20*V23/U23</f>
        <v>28.907999999999998</v>
      </c>
      <c r="W20" s="237">
        <f t="shared" si="12"/>
        <v>30.79371428571428</v>
      </c>
      <c r="X20" s="237">
        <f t="shared" si="12"/>
        <v>32.145142857142851</v>
      </c>
      <c r="Y20" s="237">
        <f t="shared" si="12"/>
        <v>32.05085714285714</v>
      </c>
      <c r="Z20" s="237">
        <f t="shared" si="12"/>
        <v>31.07028571428571</v>
      </c>
      <c r="AA20" s="237">
        <f t="shared" si="12"/>
        <v>30.542285714285711</v>
      </c>
      <c r="AB20" s="237">
        <f t="shared" si="12"/>
        <v>30.165142857142857</v>
      </c>
      <c r="AC20" s="299">
        <f>AB20*AC23/AB23</f>
        <v>30.020571428571422</v>
      </c>
      <c r="AD20" s="263" t="s">
        <v>300</v>
      </c>
    </row>
    <row r="21" spans="1:32">
      <c r="B21" s="248"/>
      <c r="C21" s="249"/>
      <c r="D21" s="274"/>
      <c r="E21" s="230"/>
      <c r="F21" s="230"/>
      <c r="G21" s="230"/>
      <c r="H21" s="226"/>
      <c r="I21" s="226"/>
      <c r="J21" s="226"/>
      <c r="K21" s="226"/>
      <c r="L21" s="226"/>
      <c r="M21" s="226"/>
      <c r="N21" s="226"/>
      <c r="O21" s="226"/>
      <c r="P21" s="226"/>
      <c r="Q21" s="226"/>
      <c r="R21" s="226"/>
      <c r="S21" s="226"/>
      <c r="T21" s="311"/>
      <c r="U21" s="226"/>
      <c r="V21" s="236"/>
      <c r="W21" s="236"/>
      <c r="X21" s="236"/>
      <c r="Y21" s="236"/>
      <c r="Z21" s="236"/>
      <c r="AA21" s="236"/>
      <c r="AB21" s="236"/>
      <c r="AC21" s="302"/>
    </row>
    <row r="22" spans="1:32">
      <c r="B22" s="240" t="s">
        <v>1750</v>
      </c>
      <c r="C22" s="249"/>
      <c r="D22" s="230"/>
      <c r="E22" s="230"/>
      <c r="F22" s="230"/>
      <c r="G22" s="230"/>
      <c r="H22" s="226"/>
      <c r="I22" s="226"/>
      <c r="J22" s="226"/>
      <c r="K22" s="226"/>
      <c r="L22" s="226"/>
      <c r="M22" s="226"/>
      <c r="N22" s="226"/>
      <c r="O22" s="226"/>
      <c r="P22" s="226"/>
      <c r="Q22" s="226"/>
      <c r="R22" s="226"/>
      <c r="S22" s="226"/>
      <c r="T22" s="252"/>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c r="B23" s="248" t="s">
        <v>1809</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3" t="s">
        <v>301</v>
      </c>
    </row>
    <row r="24" spans="1:32" ht="15.75" customHeight="1">
      <c r="B24" s="309" t="s">
        <v>1823</v>
      </c>
      <c r="C24" s="297"/>
      <c r="D24" s="298"/>
      <c r="E24" s="298"/>
      <c r="F24" s="298"/>
      <c r="G24" s="298"/>
      <c r="H24" s="298"/>
      <c r="I24" s="298"/>
      <c r="J24" s="298"/>
      <c r="K24" s="298"/>
      <c r="L24" s="298"/>
      <c r="M24" s="298">
        <v>1</v>
      </c>
      <c r="N24" s="298">
        <v>2</v>
      </c>
      <c r="O24" s="298">
        <v>3</v>
      </c>
      <c r="P24" s="298">
        <v>4</v>
      </c>
      <c r="Q24" s="298">
        <v>1</v>
      </c>
      <c r="R24" s="298">
        <v>2</v>
      </c>
      <c r="S24" s="298">
        <v>3</v>
      </c>
      <c r="T24" s="298">
        <v>4</v>
      </c>
      <c r="U24" s="298">
        <v>1</v>
      </c>
      <c r="V24" s="298">
        <v>2</v>
      </c>
      <c r="W24" s="298">
        <v>3</v>
      </c>
      <c r="X24" s="298">
        <v>4</v>
      </c>
      <c r="Y24" s="298">
        <v>1</v>
      </c>
      <c r="Z24" s="298">
        <v>2</v>
      </c>
      <c r="AA24" s="298">
        <v>3</v>
      </c>
      <c r="AB24" s="298">
        <v>4</v>
      </c>
      <c r="AC24" s="298">
        <v>1</v>
      </c>
      <c r="AD24" s="234">
        <v>2</v>
      </c>
      <c r="AE24" s="234">
        <v>3</v>
      </c>
      <c r="AF24" s="234">
        <v>4</v>
      </c>
    </row>
    <row r="25" spans="1:32">
      <c r="B25" s="310" t="s">
        <v>1824</v>
      </c>
      <c r="C25" s="297"/>
      <c r="D25" s="298"/>
      <c r="E25" s="298"/>
      <c r="F25" s="298"/>
      <c r="G25" s="298"/>
      <c r="H25" s="298"/>
      <c r="I25" s="298"/>
      <c r="J25" s="298"/>
      <c r="K25" s="298"/>
      <c r="L25" s="298"/>
      <c r="M25" s="298">
        <v>2021</v>
      </c>
      <c r="N25" s="298">
        <v>2021</v>
      </c>
      <c r="O25" s="298">
        <v>2021</v>
      </c>
      <c r="P25" s="298">
        <v>2021</v>
      </c>
      <c r="Q25" s="298">
        <v>2022</v>
      </c>
      <c r="R25" s="298">
        <v>2022</v>
      </c>
      <c r="S25" s="298">
        <v>2022</v>
      </c>
      <c r="T25" s="298">
        <v>2022</v>
      </c>
      <c r="U25" s="298">
        <v>2023</v>
      </c>
      <c r="V25" s="298">
        <v>2023</v>
      </c>
      <c r="W25" s="298">
        <v>2023</v>
      </c>
      <c r="X25" s="298">
        <v>2023</v>
      </c>
      <c r="Y25" s="298">
        <v>2024</v>
      </c>
      <c r="Z25" s="298">
        <v>2024</v>
      </c>
      <c r="AA25" s="298">
        <v>2024</v>
      </c>
      <c r="AB25" s="298">
        <v>2024</v>
      </c>
      <c r="AC25" s="298">
        <v>2025</v>
      </c>
      <c r="AD25" s="223"/>
    </row>
    <row r="26" spans="1:32">
      <c r="C26" s="240"/>
      <c r="D26" s="234"/>
      <c r="E26" s="234"/>
      <c r="F26" s="234"/>
      <c r="G26" s="234"/>
      <c r="H26" s="226"/>
      <c r="I26" s="226"/>
      <c r="J26" s="226"/>
      <c r="K26" s="226"/>
      <c r="L26" s="226"/>
      <c r="M26" s="226"/>
      <c r="N26" s="226"/>
      <c r="O26" s="226"/>
      <c r="P26" s="226"/>
      <c r="AD26" s="223"/>
    </row>
    <row r="27" spans="1:32">
      <c r="M27" s="240"/>
      <c r="N27" s="240"/>
      <c r="O27" s="240"/>
    </row>
    <row r="28" spans="1:32" ht="43.5" customHeight="1">
      <c r="B28" s="281" t="s">
        <v>302</v>
      </c>
      <c r="C28" s="282" t="s">
        <v>303</v>
      </c>
      <c r="D28" s="279"/>
      <c r="E28" s="14" t="s">
        <v>1813</v>
      </c>
      <c r="F28" s="14" t="s">
        <v>1818</v>
      </c>
      <c r="G28" s="14"/>
      <c r="H28" s="14"/>
      <c r="I28" s="14"/>
      <c r="J28" s="14"/>
      <c r="O28" s="283"/>
    </row>
    <row r="29" spans="1:32">
      <c r="A29" s="56"/>
      <c r="B29" s="276">
        <v>44197</v>
      </c>
      <c r="C29" s="224">
        <v>6.3</v>
      </c>
      <c r="D29" s="280"/>
      <c r="E29" s="42" t="s">
        <v>1748</v>
      </c>
      <c r="F29" s="56"/>
      <c r="G29" s="56"/>
      <c r="H29" s="73"/>
      <c r="I29" s="56"/>
      <c r="J29" s="73"/>
      <c r="O29" s="240"/>
    </row>
    <row r="30" spans="1:32">
      <c r="A30" s="56"/>
      <c r="B30" s="276">
        <v>44228</v>
      </c>
      <c r="C30" s="224">
        <v>6.2</v>
      </c>
      <c r="D30" s="280"/>
      <c r="E30" s="128" t="s">
        <v>1814</v>
      </c>
      <c r="F30" s="180">
        <v>6.166666666666667</v>
      </c>
      <c r="G30" s="56"/>
      <c r="H30" s="73"/>
      <c r="I30" s="56"/>
      <c r="J30" s="73"/>
      <c r="O30" s="240"/>
    </row>
    <row r="31" spans="1:32">
      <c r="A31" s="56"/>
      <c r="B31" s="276">
        <v>44256</v>
      </c>
      <c r="C31" s="224">
        <v>6</v>
      </c>
      <c r="D31" s="280"/>
      <c r="E31" s="128" t="s">
        <v>1815</v>
      </c>
      <c r="F31" s="180">
        <v>5.7666666666666657</v>
      </c>
      <c r="G31" s="56"/>
      <c r="H31" s="73"/>
      <c r="I31" s="56"/>
      <c r="J31" s="73"/>
      <c r="O31" s="240"/>
    </row>
    <row r="32" spans="1:32">
      <c r="A32" s="56"/>
      <c r="B32" s="276">
        <v>44287</v>
      </c>
      <c r="C32" s="224">
        <v>6.1</v>
      </c>
      <c r="D32" s="280"/>
      <c r="E32" s="128" t="s">
        <v>1816</v>
      </c>
      <c r="F32" s="180">
        <v>5.1333333333333337</v>
      </c>
      <c r="G32" s="56"/>
      <c r="H32" s="73"/>
      <c r="I32" s="56"/>
      <c r="J32" s="73"/>
      <c r="O32" s="240"/>
    </row>
    <row r="33" spans="1:38">
      <c r="A33" s="56"/>
      <c r="B33" s="276">
        <v>44317</v>
      </c>
      <c r="C33" s="224">
        <v>5.8</v>
      </c>
      <c r="D33" s="280"/>
      <c r="E33" s="128" t="s">
        <v>1817</v>
      </c>
      <c r="F33" s="180">
        <v>4.2333333333333334</v>
      </c>
      <c r="G33" s="56"/>
      <c r="H33" s="73"/>
      <c r="I33" s="56"/>
      <c r="J33" s="73"/>
      <c r="O33" s="240"/>
    </row>
    <row r="34" spans="1:38">
      <c r="A34" s="56"/>
      <c r="B34" s="276">
        <v>44348</v>
      </c>
      <c r="C34" s="224">
        <v>5.4</v>
      </c>
      <c r="D34" s="280"/>
      <c r="E34" s="42" t="s">
        <v>1737</v>
      </c>
      <c r="F34" s="180"/>
      <c r="G34" s="56"/>
      <c r="H34" s="73"/>
      <c r="I34" s="56"/>
      <c r="J34" s="73"/>
      <c r="O34" s="240"/>
    </row>
    <row r="35" spans="1:38">
      <c r="A35" s="56"/>
      <c r="B35" s="276">
        <v>44378</v>
      </c>
      <c r="C35" s="224">
        <v>5.4</v>
      </c>
      <c r="D35" s="280"/>
      <c r="E35" s="128" t="s">
        <v>1814</v>
      </c>
      <c r="F35" s="180">
        <v>3.8000000000000003</v>
      </c>
      <c r="G35" s="56"/>
      <c r="H35" s="73"/>
      <c r="I35" s="56"/>
      <c r="J35" s="73"/>
      <c r="O35" s="240"/>
    </row>
    <row r="36" spans="1:38">
      <c r="A36" s="56"/>
      <c r="B36" s="276">
        <v>44409</v>
      </c>
      <c r="C36" s="224">
        <v>5.2</v>
      </c>
      <c r="D36" s="280"/>
      <c r="E36" s="128" t="s">
        <v>1815</v>
      </c>
      <c r="F36" s="180">
        <v>3.6</v>
      </c>
      <c r="G36" s="56"/>
      <c r="H36" s="73"/>
      <c r="I36" s="56"/>
      <c r="J36" s="73"/>
      <c r="O36" s="240"/>
    </row>
    <row r="37" spans="1:38">
      <c r="A37" s="56"/>
      <c r="B37" s="276">
        <v>44440</v>
      </c>
      <c r="C37" s="224">
        <v>4.8</v>
      </c>
      <c r="D37" s="280"/>
      <c r="E37" s="128" t="s">
        <v>1816</v>
      </c>
      <c r="F37" s="180">
        <v>3.5666666666666664</v>
      </c>
      <c r="G37" s="56"/>
      <c r="H37" s="73"/>
      <c r="I37" s="56"/>
      <c r="J37" s="73"/>
      <c r="O37" s="240"/>
    </row>
    <row r="38" spans="1:38">
      <c r="A38" s="56"/>
      <c r="B38" s="276">
        <v>44470</v>
      </c>
      <c r="C38" s="224">
        <v>4.5999999999999996</v>
      </c>
      <c r="D38" s="280"/>
      <c r="E38" s="128" t="s">
        <v>1817</v>
      </c>
      <c r="F38" s="180">
        <v>3.6</v>
      </c>
      <c r="G38" s="56"/>
      <c r="H38" s="73"/>
      <c r="I38" s="56"/>
      <c r="J38" s="73"/>
      <c r="O38" s="240"/>
    </row>
    <row r="39" spans="1:38">
      <c r="A39" s="56"/>
      <c r="B39" s="276">
        <v>44501</v>
      </c>
      <c r="C39" s="224">
        <v>4.2</v>
      </c>
      <c r="D39" s="280"/>
      <c r="E39" s="42" t="s">
        <v>1819</v>
      </c>
      <c r="F39" s="180"/>
      <c r="G39" s="56"/>
      <c r="H39" s="73"/>
      <c r="I39" s="56"/>
      <c r="J39" s="73"/>
      <c r="O39" s="240"/>
      <c r="AD39" s="240"/>
      <c r="AE39" s="240"/>
      <c r="AF39" s="240"/>
      <c r="AG39" s="240"/>
      <c r="AH39" s="240"/>
      <c r="AI39" s="240"/>
      <c r="AJ39" s="240"/>
      <c r="AK39" s="240"/>
      <c r="AL39" s="240"/>
    </row>
    <row r="40" spans="1:38">
      <c r="A40" s="56"/>
      <c r="B40" s="276">
        <v>44531</v>
      </c>
      <c r="C40" s="224">
        <v>3.9</v>
      </c>
      <c r="D40" s="280"/>
      <c r="E40" s="128" t="s">
        <v>1814</v>
      </c>
      <c r="F40" s="180">
        <v>3.5</v>
      </c>
      <c r="G40" s="56"/>
      <c r="H40" s="73"/>
      <c r="I40" s="56"/>
      <c r="J40" s="73"/>
      <c r="O40" s="240"/>
      <c r="AD40" s="240"/>
      <c r="AE40" s="240"/>
      <c r="AF40" s="240"/>
      <c r="AG40" s="240"/>
      <c r="AH40" s="240"/>
      <c r="AI40" s="240"/>
      <c r="AJ40" s="240"/>
      <c r="AK40" s="240"/>
      <c r="AL40" s="240"/>
    </row>
    <row r="41" spans="1:38">
      <c r="A41" s="56"/>
      <c r="B41" s="276">
        <v>44562</v>
      </c>
      <c r="C41" s="224">
        <v>4</v>
      </c>
      <c r="D41" s="56"/>
      <c r="E41" s="128" t="s">
        <v>1815</v>
      </c>
      <c r="F41" s="180"/>
      <c r="G41" s="56"/>
      <c r="H41" s="73"/>
      <c r="I41" s="56"/>
      <c r="J41" s="73"/>
      <c r="O41" s="240"/>
    </row>
    <row r="42" spans="1:38">
      <c r="A42" s="56"/>
      <c r="B42" s="276">
        <v>44593</v>
      </c>
      <c r="C42" s="224">
        <v>3.8</v>
      </c>
      <c r="D42" s="56"/>
      <c r="E42" s="128" t="s">
        <v>1816</v>
      </c>
      <c r="F42" s="180"/>
      <c r="G42" s="56"/>
      <c r="H42" s="73"/>
      <c r="I42" s="56"/>
      <c r="J42" s="73"/>
    </row>
    <row r="43" spans="1:38">
      <c r="A43" s="56"/>
      <c r="B43" s="276">
        <v>44621</v>
      </c>
      <c r="C43" s="224">
        <v>3.6</v>
      </c>
      <c r="D43" s="56"/>
      <c r="E43" s="128" t="s">
        <v>1817</v>
      </c>
      <c r="F43" s="180"/>
      <c r="G43" s="56"/>
      <c r="H43" s="73"/>
      <c r="I43" s="56"/>
      <c r="J43" s="73"/>
    </row>
    <row r="44" spans="1:38">
      <c r="A44" s="56"/>
      <c r="B44" s="276">
        <v>44652</v>
      </c>
      <c r="C44" s="224">
        <v>3.6</v>
      </c>
      <c r="D44" s="56"/>
      <c r="E44" s="42" t="s">
        <v>1820</v>
      </c>
      <c r="F44" s="180"/>
      <c r="G44" s="56"/>
      <c r="H44" s="73"/>
      <c r="I44" s="56"/>
      <c r="J44" s="73"/>
    </row>
    <row r="45" spans="1:38">
      <c r="A45" s="56"/>
      <c r="B45" s="276">
        <v>44682</v>
      </c>
      <c r="C45" s="224">
        <v>3.6</v>
      </c>
      <c r="D45" s="56"/>
      <c r="E45" s="128" t="s">
        <v>1814</v>
      </c>
      <c r="F45" s="180"/>
      <c r="G45" s="56"/>
      <c r="H45" s="73"/>
      <c r="I45" s="56"/>
      <c r="J45" s="73"/>
    </row>
    <row r="46" spans="1:38">
      <c r="A46" s="56"/>
      <c r="B46" s="276">
        <v>44713</v>
      </c>
      <c r="C46" s="224">
        <v>3.6</v>
      </c>
      <c r="D46" s="56"/>
      <c r="E46" s="128" t="s">
        <v>1815</v>
      </c>
      <c r="F46" s="180"/>
      <c r="G46" s="56"/>
      <c r="H46" s="73"/>
      <c r="I46" s="56"/>
      <c r="J46" s="73"/>
    </row>
    <row r="47" spans="1:38">
      <c r="A47" s="56"/>
      <c r="B47" s="276">
        <v>44743</v>
      </c>
      <c r="C47" s="224">
        <v>3.5</v>
      </c>
      <c r="D47" s="56"/>
      <c r="E47" s="128" t="s">
        <v>1816</v>
      </c>
      <c r="F47" s="180"/>
      <c r="G47" s="56"/>
      <c r="H47" s="73"/>
      <c r="I47" s="56"/>
      <c r="J47" s="73"/>
    </row>
    <row r="48" spans="1:38">
      <c r="A48" s="56"/>
      <c r="B48" s="276">
        <v>44774</v>
      </c>
      <c r="C48" s="224">
        <v>3.7</v>
      </c>
      <c r="D48" s="56"/>
      <c r="E48" s="128" t="s">
        <v>1817</v>
      </c>
      <c r="F48" s="180"/>
      <c r="G48" s="56"/>
      <c r="H48" s="73"/>
      <c r="I48" s="56"/>
      <c r="J48" s="73"/>
    </row>
    <row r="49" spans="2:10">
      <c r="B49" s="276">
        <v>44805</v>
      </c>
      <c r="C49" s="224">
        <v>3.5</v>
      </c>
      <c r="D49" s="56"/>
      <c r="E49" s="42" t="s">
        <v>1821</v>
      </c>
      <c r="F49" s="180"/>
      <c r="G49" s="56"/>
      <c r="H49" s="56"/>
      <c r="I49" s="56"/>
      <c r="J49" s="56"/>
    </row>
    <row r="50" spans="2:10">
      <c r="B50" s="276">
        <v>44835</v>
      </c>
      <c r="C50" s="224">
        <v>3.7</v>
      </c>
      <c r="D50" s="56"/>
      <c r="E50" s="128" t="s">
        <v>1814</v>
      </c>
      <c r="F50" s="180"/>
      <c r="G50" s="56"/>
      <c r="H50" s="56"/>
      <c r="I50" s="56"/>
      <c r="J50" s="56"/>
    </row>
    <row r="51" spans="2:10">
      <c r="B51" s="276">
        <v>44866</v>
      </c>
      <c r="C51" s="224">
        <v>3.6</v>
      </c>
      <c r="D51" s="56"/>
      <c r="E51" s="128" t="s">
        <v>1815</v>
      </c>
      <c r="F51" s="180"/>
      <c r="G51" s="56"/>
      <c r="H51" s="56"/>
      <c r="I51" s="56"/>
      <c r="J51" s="56"/>
    </row>
    <row r="52" spans="2:10">
      <c r="B52" s="276">
        <v>44896</v>
      </c>
      <c r="C52" s="224">
        <v>3.5</v>
      </c>
      <c r="D52" s="56"/>
      <c r="E52" s="128" t="s">
        <v>1816</v>
      </c>
      <c r="F52" s="180"/>
      <c r="G52" s="56"/>
      <c r="H52" s="56"/>
      <c r="I52" s="56"/>
      <c r="J52" s="56"/>
    </row>
    <row r="53" spans="2:10">
      <c r="B53" s="276">
        <v>44927</v>
      </c>
      <c r="C53" s="224">
        <v>3.4</v>
      </c>
      <c r="D53" s="56"/>
      <c r="E53" s="128" t="s">
        <v>1817</v>
      </c>
      <c r="F53" s="180"/>
      <c r="G53" s="56"/>
      <c r="H53" s="56"/>
      <c r="I53" s="56"/>
      <c r="J53" s="56"/>
    </row>
    <row r="54" spans="2:10">
      <c r="B54" s="276">
        <v>44958</v>
      </c>
      <c r="C54" s="224">
        <v>3.6</v>
      </c>
      <c r="D54" s="56"/>
      <c r="E54" s="42" t="s">
        <v>1822</v>
      </c>
      <c r="F54" s="180"/>
      <c r="G54" s="56"/>
      <c r="H54" s="56"/>
      <c r="I54" s="56"/>
      <c r="J54" s="56"/>
    </row>
    <row r="55" spans="2:10">
      <c r="B55" s="276">
        <v>44986</v>
      </c>
      <c r="C55" s="224">
        <v>3.5</v>
      </c>
      <c r="D55" s="56"/>
      <c r="E55" s="128" t="s">
        <v>1814</v>
      </c>
      <c r="F55" s="180"/>
      <c r="G55" s="56"/>
      <c r="H55" s="56"/>
      <c r="I55" s="56"/>
      <c r="J55" s="56"/>
    </row>
    <row r="56" spans="2:10">
      <c r="B56" s="276">
        <v>45017</v>
      </c>
      <c r="C56" s="224"/>
      <c r="D56" s="56"/>
      <c r="E56" s="128" t="s">
        <v>1815</v>
      </c>
      <c r="F56" s="180"/>
      <c r="G56" s="56"/>
      <c r="H56" s="56"/>
      <c r="I56" s="56"/>
      <c r="J56" s="56"/>
    </row>
    <row r="57" spans="2:10">
      <c r="B57" s="276">
        <v>45047</v>
      </c>
      <c r="C57" s="224"/>
      <c r="D57" s="56"/>
      <c r="E57" s="128" t="s">
        <v>1816</v>
      </c>
      <c r="F57" s="180"/>
      <c r="G57" s="56"/>
      <c r="H57" s="56"/>
      <c r="I57" s="56"/>
      <c r="J57" s="56"/>
    </row>
    <row r="58" spans="2:10">
      <c r="B58" s="276">
        <v>45078</v>
      </c>
      <c r="C58" s="224"/>
      <c r="D58" s="56"/>
      <c r="E58" s="128" t="s">
        <v>1817</v>
      </c>
      <c r="F58" s="180"/>
      <c r="G58" s="56"/>
      <c r="H58" s="56"/>
      <c r="I58" s="56"/>
      <c r="J58" s="56"/>
    </row>
    <row r="59" spans="2:10">
      <c r="B59" s="276">
        <v>45108</v>
      </c>
      <c r="C59" s="224"/>
      <c r="D59" s="56"/>
      <c r="E59" s="56"/>
      <c r="F59" s="56"/>
      <c r="G59" s="56"/>
      <c r="H59" s="56"/>
      <c r="I59" s="56"/>
      <c r="J59" s="56"/>
    </row>
    <row r="60" spans="2:10">
      <c r="B60" s="276">
        <v>45139</v>
      </c>
      <c r="C60" s="224"/>
      <c r="D60" s="56"/>
      <c r="E60" s="56"/>
      <c r="F60" s="56"/>
      <c r="G60" s="56"/>
      <c r="H60" s="56"/>
      <c r="I60" s="56"/>
      <c r="J60" s="56"/>
    </row>
    <row r="61" spans="2:10">
      <c r="B61" s="276">
        <v>45170</v>
      </c>
      <c r="C61" s="224"/>
      <c r="D61" s="56"/>
      <c r="E61" s="56"/>
      <c r="F61" s="56"/>
      <c r="G61" s="56"/>
      <c r="H61" s="56"/>
      <c r="I61" s="56"/>
      <c r="J61" s="56"/>
    </row>
    <row r="62" spans="2:10">
      <c r="B62" s="276">
        <v>45200</v>
      </c>
      <c r="C62" s="224"/>
      <c r="D62" s="56"/>
      <c r="E62" s="56"/>
      <c r="F62" s="56"/>
      <c r="G62" s="56"/>
      <c r="H62" s="56"/>
      <c r="I62" s="56"/>
      <c r="J62" s="56"/>
    </row>
    <row r="63" spans="2:10">
      <c r="B63" s="276">
        <v>45231</v>
      </c>
      <c r="C63" s="224"/>
      <c r="D63" s="56"/>
      <c r="E63" s="56"/>
      <c r="F63" s="56"/>
      <c r="G63" s="56"/>
      <c r="H63" s="56"/>
      <c r="I63" s="56"/>
      <c r="J63" s="56"/>
    </row>
    <row r="64" spans="2:10">
      <c r="B64" s="276">
        <v>45261</v>
      </c>
      <c r="C64" s="224"/>
      <c r="D64" s="56"/>
      <c r="E64" s="56"/>
      <c r="F64" s="56"/>
      <c r="G64" s="56"/>
      <c r="H64" s="56"/>
      <c r="I64" s="56"/>
      <c r="J64" s="56"/>
    </row>
    <row r="65" spans="2:10">
      <c r="B65" s="276">
        <v>45292</v>
      </c>
      <c r="C65" s="224"/>
      <c r="D65" s="56"/>
      <c r="E65" s="56"/>
      <c r="F65" s="56"/>
      <c r="G65" s="56"/>
      <c r="H65" s="56"/>
      <c r="I65" s="56"/>
      <c r="J65" s="56"/>
    </row>
    <row r="66" spans="2:10">
      <c r="B66" s="276">
        <v>45323</v>
      </c>
      <c r="C66" s="224"/>
      <c r="D66" s="56"/>
      <c r="E66" s="56"/>
      <c r="F66" s="56"/>
      <c r="G66" s="56"/>
      <c r="H66" s="56"/>
      <c r="I66" s="56"/>
      <c r="J66" s="56"/>
    </row>
    <row r="67" spans="2:10">
      <c r="B67" s="276">
        <v>45352</v>
      </c>
      <c r="C67" s="224"/>
      <c r="D67" s="56"/>
      <c r="E67" s="56"/>
      <c r="F67" s="56"/>
      <c r="G67" s="56"/>
      <c r="H67" s="56"/>
      <c r="I67" s="56"/>
      <c r="J67" s="56"/>
    </row>
    <row r="68" spans="2:10">
      <c r="B68" s="276">
        <v>45383</v>
      </c>
      <c r="C68" s="224"/>
      <c r="D68" s="56"/>
      <c r="E68" s="56"/>
      <c r="F68" s="56"/>
      <c r="G68" s="56"/>
      <c r="H68" s="56"/>
      <c r="I68" s="56"/>
      <c r="J68" s="56"/>
    </row>
    <row r="69" spans="2:10">
      <c r="B69" s="276">
        <v>45413</v>
      </c>
      <c r="C69" s="224"/>
      <c r="D69" s="56"/>
      <c r="E69" s="56"/>
      <c r="F69" s="56"/>
      <c r="G69" s="56"/>
      <c r="H69" s="56"/>
      <c r="I69" s="56"/>
      <c r="J69" s="56"/>
    </row>
    <row r="70" spans="2:10">
      <c r="B70" s="276">
        <v>45444</v>
      </c>
      <c r="C70" s="224"/>
      <c r="D70" s="56"/>
      <c r="E70" s="56"/>
      <c r="F70" s="56"/>
      <c r="G70" s="56"/>
      <c r="H70" s="56"/>
      <c r="I70" s="56"/>
      <c r="J70" s="56"/>
    </row>
    <row r="71" spans="2:10">
      <c r="B71" s="276">
        <v>45474</v>
      </c>
      <c r="C71" s="224"/>
      <c r="D71" s="56"/>
      <c r="E71" s="56"/>
      <c r="F71" s="56"/>
      <c r="G71" s="56"/>
      <c r="H71" s="56"/>
      <c r="I71" s="56"/>
      <c r="J71" s="56"/>
    </row>
    <row r="72" spans="2:10">
      <c r="B72" s="276">
        <v>45505</v>
      </c>
      <c r="C72" s="224"/>
      <c r="D72" s="56"/>
      <c r="E72" s="56"/>
      <c r="F72" s="56"/>
      <c r="G72" s="56"/>
      <c r="H72" s="56"/>
      <c r="I72" s="56"/>
      <c r="J72" s="56"/>
    </row>
    <row r="73" spans="2:10">
      <c r="B73" s="276">
        <v>45536</v>
      </c>
      <c r="C73" s="224"/>
      <c r="D73" s="56"/>
      <c r="E73" s="56"/>
      <c r="F73" s="56"/>
      <c r="G73" s="56"/>
      <c r="H73" s="56"/>
      <c r="I73" s="56"/>
      <c r="J73" s="56"/>
    </row>
    <row r="74" spans="2:10">
      <c r="B74" s="276">
        <v>45566</v>
      </c>
      <c r="C74" s="224"/>
      <c r="D74" s="56"/>
      <c r="E74" s="56"/>
      <c r="F74" s="56"/>
      <c r="G74" s="56"/>
      <c r="H74" s="56"/>
      <c r="I74" s="56"/>
      <c r="J74" s="56"/>
    </row>
    <row r="75" spans="2:10">
      <c r="B75" s="276">
        <v>45597</v>
      </c>
      <c r="C75" s="224"/>
      <c r="D75" s="56"/>
      <c r="E75" s="56"/>
      <c r="F75" s="56"/>
      <c r="G75" s="56"/>
      <c r="H75" s="56"/>
      <c r="I75" s="56"/>
      <c r="J75" s="56"/>
    </row>
    <row r="76" spans="2:10">
      <c r="B76" s="276">
        <v>45627</v>
      </c>
      <c r="C76" s="224"/>
      <c r="D76" s="56"/>
      <c r="E76" s="56"/>
      <c r="F76" s="56"/>
      <c r="G76" s="56"/>
      <c r="H76" s="56"/>
      <c r="I76" s="56"/>
      <c r="J76" s="56"/>
    </row>
    <row r="77" spans="2:10">
      <c r="B77" s="276">
        <v>45658</v>
      </c>
      <c r="C77" s="224"/>
      <c r="D77" s="56"/>
      <c r="E77" s="56"/>
      <c r="F77" s="56"/>
      <c r="G77" s="56"/>
      <c r="H77" s="56"/>
      <c r="I77" s="56"/>
      <c r="J77" s="56"/>
    </row>
    <row r="78" spans="2:10">
      <c r="B78" s="276">
        <v>45689</v>
      </c>
      <c r="C78" s="224"/>
      <c r="D78" s="56"/>
      <c r="E78" s="56"/>
      <c r="F78" s="56"/>
      <c r="G78" s="56"/>
      <c r="H78" s="56"/>
      <c r="I78" s="56"/>
      <c r="J78" s="56"/>
    </row>
    <row r="79" spans="2:10">
      <c r="B79" s="276">
        <v>45717</v>
      </c>
      <c r="C79" s="224"/>
      <c r="D79" s="56"/>
      <c r="E79" s="56"/>
      <c r="F79" s="56"/>
      <c r="G79" s="56"/>
      <c r="H79" s="56"/>
      <c r="I79" s="56"/>
      <c r="J79" s="56"/>
    </row>
    <row r="80" spans="2:10">
      <c r="B80" s="276">
        <v>45748</v>
      </c>
      <c r="C80" s="224"/>
      <c r="D80" s="56"/>
      <c r="E80" s="56"/>
      <c r="F80" s="56"/>
      <c r="G80" s="56"/>
      <c r="H80" s="56"/>
      <c r="I80" s="56"/>
      <c r="J80" s="56"/>
    </row>
    <row r="81" spans="2:10">
      <c r="B81" s="276">
        <v>45778</v>
      </c>
      <c r="C81" s="224"/>
      <c r="D81" s="56"/>
      <c r="E81" s="56"/>
      <c r="F81" s="56"/>
      <c r="G81" s="56"/>
      <c r="H81" s="56"/>
      <c r="I81" s="56"/>
      <c r="J81" s="56"/>
    </row>
    <row r="82" spans="2:10">
      <c r="B82" s="276">
        <v>45809</v>
      </c>
      <c r="C82" s="224"/>
      <c r="D82" s="56"/>
      <c r="E82" s="56"/>
      <c r="F82" s="56"/>
      <c r="G82" s="56"/>
      <c r="H82" s="56"/>
      <c r="I82" s="56"/>
      <c r="J82" s="56"/>
    </row>
    <row r="83" spans="2:10">
      <c r="B83" s="276">
        <v>45839</v>
      </c>
      <c r="C83" s="224"/>
      <c r="D83" s="56"/>
      <c r="E83" s="56"/>
      <c r="F83" s="56"/>
      <c r="G83" s="56"/>
      <c r="H83" s="56"/>
      <c r="I83" s="56"/>
      <c r="J83" s="56"/>
    </row>
    <row r="84" spans="2:10">
      <c r="B84" s="276">
        <v>45870</v>
      </c>
      <c r="C84" s="224"/>
      <c r="D84" s="56"/>
      <c r="E84" s="56"/>
      <c r="F84" s="56"/>
      <c r="G84" s="56"/>
      <c r="H84" s="56"/>
      <c r="I84" s="56"/>
      <c r="J84" s="56"/>
    </row>
    <row r="85" spans="2:10">
      <c r="B85" s="276">
        <v>45901</v>
      </c>
      <c r="C85" s="224"/>
      <c r="D85" s="56"/>
      <c r="E85" s="56"/>
      <c r="F85" s="56"/>
      <c r="G85" s="56"/>
      <c r="H85" s="56"/>
      <c r="I85" s="56"/>
      <c r="J85" s="56"/>
    </row>
    <row r="86" spans="2:10">
      <c r="B86" s="276">
        <v>45931</v>
      </c>
      <c r="C86" s="224"/>
      <c r="D86" s="56"/>
      <c r="E86" s="56"/>
      <c r="F86" s="56"/>
      <c r="G86" s="56"/>
      <c r="H86" s="56"/>
      <c r="I86" s="56"/>
      <c r="J86" s="56"/>
    </row>
    <row r="87" spans="2:10">
      <c r="B87" s="276">
        <v>45962</v>
      </c>
      <c r="C87" s="224"/>
      <c r="D87" s="56"/>
      <c r="E87" s="56"/>
      <c r="F87" s="56"/>
      <c r="G87" s="56"/>
      <c r="H87" s="56"/>
      <c r="I87" s="56"/>
      <c r="J87" s="56"/>
    </row>
    <row r="88" spans="2:10">
      <c r="B88" s="276">
        <v>45992</v>
      </c>
      <c r="C88" s="224"/>
      <c r="D88" s="56"/>
      <c r="E88" s="56"/>
      <c r="F88" s="56"/>
      <c r="G88" s="56"/>
      <c r="H88" s="56"/>
      <c r="I88" s="56"/>
      <c r="J88" s="56"/>
    </row>
    <row r="89" spans="2:10">
      <c r="B89" s="276">
        <v>46023</v>
      </c>
      <c r="C89" s="224"/>
      <c r="D89" s="56"/>
      <c r="E89" s="56"/>
      <c r="F89" s="56"/>
      <c r="G89" s="56"/>
      <c r="H89" s="56"/>
      <c r="I89" s="56"/>
      <c r="J89" s="56"/>
    </row>
    <row r="90" spans="2:10">
      <c r="B90" s="276">
        <v>46054</v>
      </c>
      <c r="C90" s="224"/>
      <c r="D90" s="56"/>
      <c r="E90" s="56"/>
      <c r="F90" s="56"/>
      <c r="G90" s="56"/>
      <c r="H90" s="56"/>
      <c r="I90" s="56"/>
      <c r="J90" s="56"/>
    </row>
    <row r="91" spans="2:10">
      <c r="B91" s="276">
        <v>46082</v>
      </c>
      <c r="C91" s="224"/>
      <c r="D91" s="56"/>
      <c r="E91" s="56"/>
      <c r="F91" s="56"/>
      <c r="G91" s="56"/>
      <c r="H91" s="56"/>
      <c r="I91" s="56"/>
      <c r="J91" s="56"/>
    </row>
    <row r="92" spans="2:10">
      <c r="B92" s="276">
        <v>46113</v>
      </c>
      <c r="C92" s="224"/>
      <c r="D92" s="56"/>
      <c r="E92" s="56"/>
      <c r="F92" s="56"/>
      <c r="G92" s="56"/>
      <c r="H92" s="56"/>
      <c r="I92" s="56"/>
      <c r="J92" s="56"/>
    </row>
    <row r="93" spans="2:10">
      <c r="B93" s="276">
        <v>46143</v>
      </c>
      <c r="C93" s="224"/>
      <c r="D93" s="56"/>
      <c r="E93" s="56"/>
      <c r="F93" s="56"/>
      <c r="G93" s="56"/>
      <c r="H93" s="56"/>
      <c r="I93" s="56"/>
      <c r="J93" s="56"/>
    </row>
    <row r="94" spans="2:10">
      <c r="B94" s="276">
        <v>46174</v>
      </c>
      <c r="C94" s="224"/>
      <c r="D94" s="56"/>
      <c r="E94" s="56"/>
      <c r="F94" s="56"/>
      <c r="G94" s="56"/>
      <c r="H94" s="56"/>
      <c r="I94" s="56"/>
      <c r="J94" s="56"/>
    </row>
    <row r="95" spans="2:10">
      <c r="B95" s="276">
        <v>46204</v>
      </c>
      <c r="C95" s="224"/>
      <c r="D95" s="56"/>
      <c r="E95" s="56"/>
      <c r="F95" s="56"/>
      <c r="G95" s="56"/>
      <c r="H95" s="56"/>
      <c r="I95" s="56"/>
      <c r="J95" s="56"/>
    </row>
    <row r="96" spans="2:10">
      <c r="B96" s="276">
        <v>46235</v>
      </c>
      <c r="C96" s="224"/>
      <c r="D96" s="56"/>
      <c r="E96" s="56"/>
      <c r="F96" s="56"/>
      <c r="G96" s="56"/>
      <c r="H96" s="56"/>
      <c r="I96" s="56"/>
      <c r="J96" s="56"/>
    </row>
    <row r="97" spans="2:10">
      <c r="B97" s="276">
        <v>46266</v>
      </c>
      <c r="C97" s="224"/>
      <c r="D97" s="56"/>
      <c r="E97" s="56"/>
      <c r="F97" s="56"/>
      <c r="G97" s="56"/>
      <c r="H97" s="56"/>
      <c r="I97" s="56"/>
      <c r="J97" s="56"/>
    </row>
    <row r="98" spans="2:10">
      <c r="B98" s="276">
        <v>46296</v>
      </c>
      <c r="C98" s="224"/>
      <c r="D98" s="56"/>
      <c r="E98" s="56"/>
      <c r="F98" s="56"/>
      <c r="G98" s="56"/>
      <c r="H98" s="56"/>
      <c r="I98" s="56"/>
      <c r="J98" s="56"/>
    </row>
    <row r="99" spans="2:10">
      <c r="B99" s="276">
        <v>46327</v>
      </c>
      <c r="C99" s="224"/>
      <c r="D99" s="56"/>
      <c r="E99" s="56"/>
      <c r="F99" s="56"/>
      <c r="G99" s="56"/>
      <c r="H99" s="56"/>
      <c r="I99" s="56"/>
      <c r="J99" s="56"/>
    </row>
    <row r="100" spans="2:10">
      <c r="B100" s="277">
        <v>46357</v>
      </c>
      <c r="C100" s="225"/>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zoomScale="80" zoomScaleNormal="80" workbookViewId="0">
      <selection activeCell="Y10" sqref="Y10"/>
    </sheetView>
  </sheetViews>
  <sheetFormatPr defaultColWidth="10.81640625" defaultRowHeight="14.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c r="B1" s="1297" t="s">
        <v>192</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212"/>
      <c r="AA1" s="212"/>
      <c r="AB1" s="212"/>
      <c r="AC1" s="212"/>
      <c r="AD1" s="212"/>
      <c r="AE1" s="212"/>
      <c r="AF1" s="212"/>
      <c r="AG1" s="212"/>
      <c r="AH1" s="200"/>
      <c r="AI1" s="200"/>
    </row>
    <row r="2" spans="2:38" ht="14.25" customHeight="1">
      <c r="B2" s="1298" t="s">
        <v>332</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c r="AD2" s="213"/>
      <c r="AE2" s="213"/>
      <c r="AF2" s="213"/>
      <c r="AG2" s="213"/>
      <c r="AH2" s="213"/>
      <c r="AI2" s="213"/>
    </row>
    <row r="3" spans="2:38" ht="50.9" customHeight="1">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c r="AD3" s="213"/>
      <c r="AE3" s="213"/>
      <c r="AF3" s="213"/>
      <c r="AG3" s="213"/>
      <c r="AH3" s="213"/>
      <c r="AI3" s="213"/>
    </row>
    <row r="4" spans="2:38" ht="5.25" customHeight="1">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c r="AD4" s="213"/>
      <c r="AE4" s="213"/>
      <c r="AF4" s="213"/>
      <c r="AG4" s="213"/>
      <c r="AH4" s="213"/>
      <c r="AI4" s="213"/>
    </row>
    <row r="5" spans="2:38">
      <c r="B5" s="399" t="s">
        <v>333</v>
      </c>
    </row>
    <row r="6" spans="2:38" ht="14.9" customHeight="1">
      <c r="B6" s="1302" t="s">
        <v>334</v>
      </c>
      <c r="C6" s="1303"/>
      <c r="D6" s="1306" t="s">
        <v>280</v>
      </c>
      <c r="E6" s="1319"/>
      <c r="F6" s="1319"/>
      <c r="G6" s="1319"/>
      <c r="H6" s="1319"/>
      <c r="I6" s="1319"/>
      <c r="J6" s="1319"/>
      <c r="K6" s="1319"/>
      <c r="L6" s="1319"/>
      <c r="M6" s="1319"/>
      <c r="N6" s="1319"/>
      <c r="O6" s="1319"/>
      <c r="P6" s="1319"/>
      <c r="Q6" s="1319"/>
      <c r="R6" s="1319"/>
      <c r="S6" s="1319"/>
      <c r="T6" s="1319"/>
      <c r="U6" s="1320"/>
      <c r="V6" s="1305"/>
      <c r="W6" s="1346" t="s">
        <v>281</v>
      </c>
      <c r="X6" s="1317"/>
      <c r="Y6" s="1317"/>
      <c r="Z6" s="1317"/>
      <c r="AA6" s="1317"/>
      <c r="AB6" s="1317"/>
      <c r="AC6" s="1317"/>
      <c r="AD6" s="1317"/>
      <c r="AE6" s="1317"/>
      <c r="AF6" s="1317"/>
      <c r="AG6" s="1347"/>
      <c r="AH6" s="1342" t="s">
        <v>335</v>
      </c>
      <c r="AI6" s="1345" t="s">
        <v>336</v>
      </c>
    </row>
    <row r="7" spans="2:38" ht="24" customHeight="1">
      <c r="B7" s="1304"/>
      <c r="C7" s="1305"/>
      <c r="D7" s="214">
        <v>2018</v>
      </c>
      <c r="E7" s="1299">
        <v>2019</v>
      </c>
      <c r="F7" s="1300"/>
      <c r="G7" s="1300"/>
      <c r="H7" s="1301"/>
      <c r="I7" s="1299">
        <v>2020</v>
      </c>
      <c r="J7" s="1300"/>
      <c r="K7" s="1300"/>
      <c r="L7" s="1300"/>
      <c r="M7" s="1299">
        <v>2021</v>
      </c>
      <c r="N7" s="1300"/>
      <c r="O7" s="1300"/>
      <c r="P7" s="1300"/>
      <c r="Q7" s="1311">
        <v>2022</v>
      </c>
      <c r="R7" s="1333"/>
      <c r="S7" s="1333"/>
      <c r="T7" s="1333"/>
      <c r="U7" s="335"/>
      <c r="V7" s="336">
        <v>2023</v>
      </c>
      <c r="W7" s="337"/>
      <c r="X7" s="338"/>
      <c r="Y7" s="1308">
        <v>2024</v>
      </c>
      <c r="Z7" s="1309"/>
      <c r="AA7" s="1309"/>
      <c r="AB7" s="1310"/>
      <c r="AC7" s="1308">
        <v>2025</v>
      </c>
      <c r="AD7" s="1309"/>
      <c r="AE7" s="1309"/>
      <c r="AF7" s="1310"/>
      <c r="AG7" s="251">
        <v>2026</v>
      </c>
      <c r="AH7" s="1343"/>
      <c r="AI7" s="1343"/>
    </row>
    <row r="8" spans="2:38" ht="14.25" customHeight="1">
      <c r="B8" s="1306"/>
      <c r="C8" s="130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5" t="s">
        <v>282</v>
      </c>
      <c r="U8" s="285" t="s">
        <v>283</v>
      </c>
      <c r="V8" s="286" t="s">
        <v>284</v>
      </c>
      <c r="W8" s="270" t="s">
        <v>238</v>
      </c>
      <c r="X8" s="271" t="s">
        <v>282</v>
      </c>
      <c r="Y8" s="269" t="s">
        <v>283</v>
      </c>
      <c r="Z8" s="267" t="s">
        <v>284</v>
      </c>
      <c r="AA8" s="270" t="s">
        <v>238</v>
      </c>
      <c r="AB8" s="271" t="s">
        <v>282</v>
      </c>
      <c r="AC8" s="269" t="s">
        <v>283</v>
      </c>
      <c r="AD8" s="267" t="s">
        <v>284</v>
      </c>
      <c r="AE8" s="270" t="s">
        <v>238</v>
      </c>
      <c r="AF8" s="271" t="s">
        <v>282</v>
      </c>
      <c r="AG8" s="272" t="s">
        <v>283</v>
      </c>
      <c r="AH8" s="1344"/>
      <c r="AI8" s="1344"/>
    </row>
    <row r="9" spans="2:38" ht="23.9" customHeight="1">
      <c r="B9" s="351" t="s">
        <v>337</v>
      </c>
      <c r="C9" s="418" t="s">
        <v>338</v>
      </c>
      <c r="D9" s="366">
        <f>'Haver Pivoted'!GO32</f>
        <v>590.1</v>
      </c>
      <c r="E9" s="367">
        <f>'Haver Pivoted'!GP32</f>
        <v>593.1</v>
      </c>
      <c r="F9" s="367">
        <f>'Haver Pivoted'!GQ32</f>
        <v>610.70000000000005</v>
      </c>
      <c r="G9" s="367">
        <f>'Haver Pivoted'!GR32</f>
        <v>610.4</v>
      </c>
      <c r="H9" s="367">
        <f>'Haver Pivoted'!GS32</f>
        <v>621.79999999999995</v>
      </c>
      <c r="I9" s="367">
        <f>'Haver Pivoted'!GT32</f>
        <v>638.20000000000005</v>
      </c>
      <c r="J9" s="367">
        <f>'Haver Pivoted'!GU32</f>
        <v>1388.6</v>
      </c>
      <c r="K9" s="367">
        <f>'Haver Pivoted'!GV32</f>
        <v>737</v>
      </c>
      <c r="L9" s="367">
        <f>'Haver Pivoted'!GW32</f>
        <v>751.3</v>
      </c>
      <c r="M9" s="367">
        <f>'Haver Pivoted'!GX32</f>
        <v>781.8</v>
      </c>
      <c r="N9" s="367">
        <f>'Haver Pivoted'!GY32</f>
        <v>1645.9</v>
      </c>
      <c r="O9" s="367">
        <f>'Haver Pivoted'!GZ32</f>
        <v>1084.4000000000001</v>
      </c>
      <c r="P9" s="367">
        <f>'Haver Pivoted'!HA32</f>
        <v>929</v>
      </c>
      <c r="Q9" s="367">
        <f>'Haver Pivoted'!HB32</f>
        <v>937.5</v>
      </c>
      <c r="R9" s="367">
        <f>'Haver Pivoted'!HC32</f>
        <v>961.8</v>
      </c>
      <c r="S9" s="368">
        <f>'Haver Pivoted'!HD32</f>
        <v>950.2</v>
      </c>
      <c r="T9" s="368">
        <f>'Haver Pivoted'!HE32</f>
        <v>946.2</v>
      </c>
      <c r="U9" s="331">
        <f>'Haver Pivoted'!HF32</f>
        <v>974.6</v>
      </c>
      <c r="V9" s="331">
        <f>'Haver Pivoted'!HG32</f>
        <v>974.1</v>
      </c>
      <c r="W9" s="331">
        <f>'Haver Pivoted'!HH32</f>
        <v>918.5</v>
      </c>
      <c r="X9" s="331">
        <f>'Haver Pivoted'!HI32</f>
        <v>941.6</v>
      </c>
      <c r="Y9" s="331">
        <f>'Haver Pivoted'!HJ32</f>
        <v>928.4</v>
      </c>
      <c r="Z9" s="333">
        <f t="shared" ref="Z9:AB9" si="0">Z10+Z11</f>
        <v>931.30282480423705</v>
      </c>
      <c r="AA9" s="333">
        <f t="shared" si="0"/>
        <v>937.96479165108997</v>
      </c>
      <c r="AB9" s="333">
        <f t="shared" si="0"/>
        <v>929.01140046864043</v>
      </c>
      <c r="AC9" s="333">
        <f>AC10+AC11</f>
        <v>933.96808452866298</v>
      </c>
      <c r="AD9" s="333">
        <f>AD10+AD11</f>
        <v>295.93278461457794</v>
      </c>
      <c r="AE9" s="333"/>
      <c r="AF9" s="333"/>
      <c r="AG9" s="333"/>
      <c r="AH9" s="386"/>
      <c r="AI9" s="419"/>
    </row>
    <row r="10" spans="2:38" ht="27.65" customHeight="1">
      <c r="B10" s="425" t="s">
        <v>133</v>
      </c>
      <c r="C10" s="230" t="s">
        <v>339</v>
      </c>
      <c r="D10" s="372">
        <f>'Haver Pivoted'!GO40</f>
        <v>391.92099999999999</v>
      </c>
      <c r="E10" s="54">
        <f>'Haver Pivoted'!GP40</f>
        <v>406.23</v>
      </c>
      <c r="F10" s="54">
        <f>'Haver Pivoted'!GQ40</f>
        <v>414.87200000000001</v>
      </c>
      <c r="G10" s="54">
        <f>'Haver Pivoted'!GR40</f>
        <v>418.36200000000002</v>
      </c>
      <c r="H10" s="54">
        <f>'Haver Pivoted'!GS40</f>
        <v>414.971</v>
      </c>
      <c r="I10" s="54">
        <f>'Haver Pivoted'!GT40</f>
        <v>424.089</v>
      </c>
      <c r="J10" s="54">
        <f>'Haver Pivoted'!GU40</f>
        <v>505.45</v>
      </c>
      <c r="K10" s="54">
        <f>'Haver Pivoted'!GV40</f>
        <v>483.86599999999999</v>
      </c>
      <c r="L10" s="54">
        <f>'Haver Pivoted'!GW40</f>
        <v>506.75599999999997</v>
      </c>
      <c r="M10" s="54">
        <f>'Haver Pivoted'!GX40</f>
        <v>501.459</v>
      </c>
      <c r="N10" s="54">
        <f>'Haver Pivoted'!GY40</f>
        <v>526.38599999999997</v>
      </c>
      <c r="O10" s="54">
        <f>'Haver Pivoted'!GZ40</f>
        <v>541.66800000000001</v>
      </c>
      <c r="P10" s="436">
        <f>'Haver Pivoted'!HA40</f>
        <v>563.64300000000003</v>
      </c>
      <c r="Q10" s="54">
        <f>'Haver Pivoted'!HB40</f>
        <v>594.56200000000001</v>
      </c>
      <c r="R10" s="54">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4">
        <f>Medicaid!Z29</f>
        <v>632.92691652098893</v>
      </c>
      <c r="AA10" s="334">
        <f>Medicaid!AA29</f>
        <v>637.01889906864915</v>
      </c>
      <c r="AB10" s="334">
        <f>Medicaid!AB29</f>
        <v>639.34620048688248</v>
      </c>
      <c r="AC10" s="334">
        <f>Medicaid!AC29</f>
        <v>641.68200452866301</v>
      </c>
      <c r="AD10" s="334">
        <f>Medicaid!AH29</f>
        <v>0</v>
      </c>
      <c r="AE10" s="334"/>
      <c r="AF10" s="334"/>
      <c r="AG10" s="334"/>
      <c r="AH10" s="356"/>
      <c r="AI10" s="406"/>
    </row>
    <row r="11" spans="2:38" ht="17.25" customHeight="1">
      <c r="B11" s="248" t="s">
        <v>340</v>
      </c>
      <c r="C11" s="230"/>
      <c r="D11" s="372">
        <f t="shared" ref="D11:G11" si="1">D9-D10</f>
        <v>198.17900000000003</v>
      </c>
      <c r="E11" s="54">
        <f t="shared" si="1"/>
        <v>186.87</v>
      </c>
      <c r="F11" s="54">
        <f t="shared" si="1"/>
        <v>195.82800000000003</v>
      </c>
      <c r="G11" s="54">
        <f t="shared" si="1"/>
        <v>192.03799999999995</v>
      </c>
      <c r="H11" s="54">
        <f>H9-H10</f>
        <v>206.82899999999995</v>
      </c>
      <c r="I11" s="54">
        <f t="shared" ref="I11:N11" si="2">I9-I10</f>
        <v>214.11100000000005</v>
      </c>
      <c r="J11" s="54">
        <f t="shared" si="2"/>
        <v>883.14999999999986</v>
      </c>
      <c r="K11" s="54">
        <f t="shared" si="2"/>
        <v>253.13400000000001</v>
      </c>
      <c r="L11" s="54">
        <f t="shared" si="2"/>
        <v>244.54399999999998</v>
      </c>
      <c r="M11" s="54">
        <f t="shared" si="2"/>
        <v>280.34099999999995</v>
      </c>
      <c r="N11" s="54">
        <f t="shared" si="2"/>
        <v>1119.5140000000001</v>
      </c>
      <c r="O11" s="54">
        <f t="shared" ref="O11:T11" si="3">O9-O10</f>
        <v>542.73200000000008</v>
      </c>
      <c r="P11" s="436">
        <f t="shared" si="3"/>
        <v>365.35699999999997</v>
      </c>
      <c r="Q11" s="54">
        <f t="shared" si="3"/>
        <v>342.93799999999999</v>
      </c>
      <c r="R11" s="54">
        <f t="shared" si="3"/>
        <v>366.20699999999999</v>
      </c>
      <c r="S11" s="330">
        <f t="shared" si="3"/>
        <v>342.25100000000009</v>
      </c>
      <c r="T11" s="330">
        <f t="shared" si="3"/>
        <v>339.0630000000001</v>
      </c>
      <c r="U11" s="330">
        <f>U9-U10</f>
        <v>343.63700000000006</v>
      </c>
      <c r="V11" s="330">
        <f>V9-V10</f>
        <v>334.38900000000001</v>
      </c>
      <c r="W11" s="330">
        <f>W9-W10</f>
        <v>327.553</v>
      </c>
      <c r="X11" s="330">
        <f>X9-X10</f>
        <v>324.60300000000007</v>
      </c>
      <c r="Y11" s="330">
        <f>Y9-Y10</f>
        <v>314.83100000000002</v>
      </c>
      <c r="Z11" s="334">
        <f t="shared" ref="Z11:AB11" si="4">SUM(Z12:Z20)</f>
        <v>298.37590828324812</v>
      </c>
      <c r="AA11" s="334">
        <f t="shared" si="4"/>
        <v>300.94589258244082</v>
      </c>
      <c r="AB11" s="334">
        <f t="shared" si="4"/>
        <v>289.66519998175789</v>
      </c>
      <c r="AC11" s="334">
        <f>SUM(AC12:AC20)</f>
        <v>292.28608000000003</v>
      </c>
      <c r="AD11" s="334">
        <f>SUM(AD12:AD20)</f>
        <v>295.93278461457794</v>
      </c>
      <c r="AE11" s="334"/>
      <c r="AF11" s="334"/>
      <c r="AG11" s="334"/>
      <c r="AH11" s="356"/>
      <c r="AI11" s="406"/>
    </row>
    <row r="12" spans="2:38" ht="16.399999999999999" customHeight="1">
      <c r="B12" s="363" t="s">
        <v>149</v>
      </c>
      <c r="C12" s="38" t="s">
        <v>341</v>
      </c>
      <c r="D12" s="430"/>
      <c r="E12" s="38"/>
      <c r="F12" s="38"/>
      <c r="G12" s="38"/>
      <c r="H12" s="54"/>
      <c r="I12" s="54"/>
      <c r="J12" s="54">
        <f>'Haver Pivoted'!GU56</f>
        <v>597.9</v>
      </c>
      <c r="K12" s="54"/>
      <c r="L12" s="54"/>
      <c r="M12" s="54"/>
      <c r="N12" s="54"/>
      <c r="O12" s="36">
        <v>0</v>
      </c>
      <c r="P12" s="231">
        <v>0</v>
      </c>
      <c r="Q12" s="36">
        <v>0</v>
      </c>
      <c r="R12" s="36">
        <v>0</v>
      </c>
      <c r="S12" s="36">
        <v>0</v>
      </c>
      <c r="T12" s="36">
        <v>0</v>
      </c>
      <c r="U12" s="36">
        <v>0</v>
      </c>
      <c r="V12" s="36">
        <v>0</v>
      </c>
      <c r="W12" s="36">
        <v>0</v>
      </c>
      <c r="X12" s="334">
        <v>0</v>
      </c>
      <c r="Y12" s="334">
        <v>0</v>
      </c>
      <c r="Z12" s="334">
        <v>0</v>
      </c>
      <c r="AA12" s="334">
        <v>0</v>
      </c>
      <c r="AB12" s="334">
        <v>0</v>
      </c>
      <c r="AC12" s="334">
        <v>0</v>
      </c>
      <c r="AD12" s="334">
        <v>0</v>
      </c>
      <c r="AE12" s="334"/>
      <c r="AF12" s="334"/>
      <c r="AG12" s="334"/>
      <c r="AH12" s="356">
        <f t="shared" ref="AH12:AH17" si="5">SUM(I12:Y12)/4</f>
        <v>149.47499999999999</v>
      </c>
      <c r="AI12" s="406">
        <f>AH26</f>
        <v>150</v>
      </c>
    </row>
    <row r="13" spans="2:38">
      <c r="B13" s="363" t="s">
        <v>150</v>
      </c>
      <c r="C13" s="38" t="s">
        <v>342</v>
      </c>
      <c r="D13" s="430"/>
      <c r="E13" s="38"/>
      <c r="F13" s="38"/>
      <c r="G13" s="38"/>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36">
        <f>'Haver Pivoted'!HA57</f>
        <v>87.2</v>
      </c>
      <c r="Q13" s="54">
        <f>'Haver Pivoted'!HB57</f>
        <v>72.400000000000006</v>
      </c>
      <c r="R13" s="54">
        <f>'Haver Pivoted'!HC57</f>
        <v>85.9</v>
      </c>
      <c r="S13" s="330">
        <f>'Haver Pivoted'!HD57</f>
        <v>68.3</v>
      </c>
      <c r="T13" s="330">
        <f>'Haver Pivoted'!HE57</f>
        <v>64</v>
      </c>
      <c r="U13" s="332">
        <f>U27+U31+U37</f>
        <v>60.929333333333297</v>
      </c>
      <c r="V13" s="332">
        <f t="shared" ref="V13:AD13" si="6">V27+V31+V37</f>
        <v>60.929333333333297</v>
      </c>
      <c r="W13" s="332">
        <f>W27+W31+W37</f>
        <v>60.929333333333297</v>
      </c>
      <c r="X13" s="332">
        <f t="shared" si="6"/>
        <v>54.244333333333302</v>
      </c>
      <c r="Y13" s="332">
        <f t="shared" si="6"/>
        <v>50.911000000000001</v>
      </c>
      <c r="Z13" s="332">
        <f t="shared" si="6"/>
        <v>31.911000000000001</v>
      </c>
      <c r="AA13" s="332">
        <f t="shared" si="6"/>
        <v>31.911000000000001</v>
      </c>
      <c r="AB13" s="332">
        <f t="shared" si="6"/>
        <v>23.099</v>
      </c>
      <c r="AC13" s="332">
        <f t="shared" si="6"/>
        <v>23.099</v>
      </c>
      <c r="AD13" s="332">
        <f t="shared" si="6"/>
        <v>23.099</v>
      </c>
      <c r="AE13" s="332"/>
      <c r="AF13" s="332"/>
      <c r="AG13" s="332"/>
      <c r="AH13" s="356">
        <f t="shared" si="5"/>
        <v>225.58583333333326</v>
      </c>
      <c r="AI13" s="406">
        <f>AH27+AH31+AH37</f>
        <v>225.76349999999994</v>
      </c>
      <c r="AJ13" s="42">
        <f>SUM(J13:R13)/4</f>
        <v>120.52500000000001</v>
      </c>
    </row>
    <row r="14" spans="2:38">
      <c r="B14" s="363" t="s">
        <v>152</v>
      </c>
      <c r="C14" s="35" t="s">
        <v>307</v>
      </c>
      <c r="D14" s="359"/>
      <c r="E14" s="35"/>
      <c r="F14" s="35"/>
      <c r="G14" s="35"/>
      <c r="H14" s="54"/>
      <c r="I14" s="54"/>
      <c r="J14" s="54">
        <f>'Haver Pivoted'!GU58</f>
        <v>64.400000000000006</v>
      </c>
      <c r="K14" s="54">
        <f>'Haver Pivoted'!GV58</f>
        <v>23.4</v>
      </c>
      <c r="L14" s="54">
        <f>'Haver Pivoted'!GW58</f>
        <v>13.8</v>
      </c>
      <c r="M14" s="54">
        <f>'Haver Pivoted'!GX58</f>
        <v>12</v>
      </c>
      <c r="N14" s="54">
        <f>'Haver Pivoted'!GY58</f>
        <v>7.5</v>
      </c>
      <c r="O14" s="54">
        <f>'Haver Pivoted'!GZ58</f>
        <v>10.5</v>
      </c>
      <c r="P14" s="436">
        <f>'Haver Pivoted'!HA58</f>
        <v>18</v>
      </c>
      <c r="Q14" s="54">
        <f>'Haver Pivoted'!HB58</f>
        <v>15</v>
      </c>
      <c r="R14" s="54">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4">
        <f>'Provider Relief (expired)'!Z12</f>
        <v>0</v>
      </c>
      <c r="AA14" s="334">
        <f>'Provider Relief (expired)'!AA12</f>
        <v>0</v>
      </c>
      <c r="AB14" s="334">
        <f>'Provider Relief (expired)'!AB12</f>
        <v>0</v>
      </c>
      <c r="AC14" s="334">
        <f>'Provider Relief (expired)'!AC12</f>
        <v>0</v>
      </c>
      <c r="AD14" s="334">
        <f>'Provider Relief (expired)'!AD12</f>
        <v>0</v>
      </c>
      <c r="AE14" s="334"/>
      <c r="AF14" s="334"/>
      <c r="AG14" s="334"/>
      <c r="AH14" s="356">
        <f t="shared" si="5"/>
        <v>47.375</v>
      </c>
      <c r="AI14" s="406">
        <f>AH28+AH32+AH38</f>
        <v>34.125000000000007</v>
      </c>
    </row>
    <row r="15" spans="2:38" ht="15.75" customHeight="1">
      <c r="B15" s="363" t="s">
        <v>343</v>
      </c>
      <c r="C15" s="35"/>
      <c r="D15" s="359"/>
      <c r="E15" s="35"/>
      <c r="F15" s="35"/>
      <c r="G15" s="35"/>
      <c r="H15" s="54"/>
      <c r="I15" s="54"/>
      <c r="J15" s="54"/>
      <c r="K15" s="54"/>
      <c r="L15" s="54"/>
      <c r="M15" s="54">
        <f>M30</f>
        <v>9.6666666666666661</v>
      </c>
      <c r="N15" s="36">
        <f t="shared" ref="N15:AC15" si="7">N30</f>
        <v>9.6666666666666661</v>
      </c>
      <c r="O15" s="36">
        <f t="shared" si="7"/>
        <v>9.6666666666666661</v>
      </c>
      <c r="P15" s="231">
        <f>P30</f>
        <v>9.6666666666666661</v>
      </c>
      <c r="Q15" s="36">
        <f>Q30</f>
        <v>9.6666666666666661</v>
      </c>
      <c r="R15" s="36">
        <f t="shared" si="7"/>
        <v>9.6666666666666661</v>
      </c>
      <c r="S15" s="36">
        <f t="shared" si="7"/>
        <v>9.6666666666666661</v>
      </c>
      <c r="T15" s="36">
        <f t="shared" si="7"/>
        <v>9.6666666666666661</v>
      </c>
      <c r="U15" s="36">
        <f t="shared" si="7"/>
        <v>9.6666666666666661</v>
      </c>
      <c r="V15" s="36">
        <f t="shared" si="7"/>
        <v>9.6666666666666661</v>
      </c>
      <c r="W15" s="36">
        <f t="shared" si="7"/>
        <v>9.6666666666666661</v>
      </c>
      <c r="X15" s="334">
        <f t="shared" si="7"/>
        <v>9.6666666666666661</v>
      </c>
      <c r="Y15" s="334">
        <f t="shared" si="7"/>
        <v>0</v>
      </c>
      <c r="Z15" s="334">
        <f t="shared" si="7"/>
        <v>0</v>
      </c>
      <c r="AA15" s="334">
        <f t="shared" si="7"/>
        <v>0</v>
      </c>
      <c r="AB15" s="334">
        <f t="shared" si="7"/>
        <v>0</v>
      </c>
      <c r="AC15" s="334">
        <f t="shared" si="7"/>
        <v>0</v>
      </c>
      <c r="AD15" s="334">
        <f t="shared" ref="AD15" si="8">AD30</f>
        <v>0</v>
      </c>
      <c r="AE15" s="334"/>
      <c r="AF15" s="334"/>
      <c r="AG15" s="334"/>
      <c r="AH15" s="356">
        <f t="shared" si="5"/>
        <v>29.000000000000004</v>
      </c>
      <c r="AI15" s="407">
        <f>AH30</f>
        <v>29.000000000000004</v>
      </c>
      <c r="AJ15" s="375" t="s">
        <v>344</v>
      </c>
      <c r="AK15" s="375"/>
      <c r="AL15" s="375"/>
    </row>
    <row r="16" spans="2:38" ht="31.4" customHeight="1">
      <c r="B16" s="363" t="s">
        <v>345</v>
      </c>
      <c r="C16" s="35"/>
      <c r="D16" s="359"/>
      <c r="E16" s="35"/>
      <c r="F16" s="35"/>
      <c r="G16" s="35"/>
      <c r="H16" s="54"/>
      <c r="I16" s="54"/>
      <c r="J16" s="54"/>
      <c r="K16" s="54"/>
      <c r="L16" s="54"/>
      <c r="M16" s="54">
        <f>M34+M33</f>
        <v>12</v>
      </c>
      <c r="N16" s="36">
        <f>N34+N33</f>
        <v>12</v>
      </c>
      <c r="O16" s="36">
        <f>O34+O33</f>
        <v>12</v>
      </c>
      <c r="P16" s="231">
        <f t="shared" ref="P16:AC16" si="9">P34+P33</f>
        <v>12</v>
      </c>
      <c r="Q16" s="36">
        <f t="shared" si="9"/>
        <v>12</v>
      </c>
      <c r="R16" s="36">
        <f t="shared" si="9"/>
        <v>12</v>
      </c>
      <c r="S16" s="36">
        <f t="shared" si="9"/>
        <v>12</v>
      </c>
      <c r="T16" s="36">
        <f t="shared" si="9"/>
        <v>12</v>
      </c>
      <c r="U16" s="36">
        <f t="shared" si="9"/>
        <v>12</v>
      </c>
      <c r="V16" s="36">
        <f t="shared" si="9"/>
        <v>12</v>
      </c>
      <c r="W16" s="36">
        <f t="shared" si="9"/>
        <v>12</v>
      </c>
      <c r="X16" s="334">
        <f t="shared" si="9"/>
        <v>12</v>
      </c>
      <c r="Y16" s="334">
        <f t="shared" si="9"/>
        <v>0</v>
      </c>
      <c r="Z16" s="334">
        <f t="shared" si="9"/>
        <v>0</v>
      </c>
      <c r="AA16" s="334">
        <f t="shared" si="9"/>
        <v>0</v>
      </c>
      <c r="AB16" s="334">
        <f t="shared" si="9"/>
        <v>0</v>
      </c>
      <c r="AC16" s="334">
        <f t="shared" si="9"/>
        <v>0</v>
      </c>
      <c r="AD16" s="334">
        <f t="shared" ref="AD16" si="10">AD34+AD33</f>
        <v>0</v>
      </c>
      <c r="AE16" s="334"/>
      <c r="AF16" s="334"/>
      <c r="AG16" s="334"/>
      <c r="AH16" s="356">
        <f t="shared" si="5"/>
        <v>36</v>
      </c>
      <c r="AI16" s="406">
        <f>SUM(AH33:AH34)+AH39</f>
        <v>130.3365</v>
      </c>
      <c r="AJ16" s="375" t="s">
        <v>346</v>
      </c>
      <c r="AK16" s="375"/>
      <c r="AL16" s="375"/>
    </row>
    <row r="17" spans="1:38">
      <c r="B17" s="363" t="s">
        <v>347</v>
      </c>
      <c r="C17" s="35"/>
      <c r="D17" s="359"/>
      <c r="E17" s="35"/>
      <c r="F17" s="35"/>
      <c r="G17" s="35"/>
      <c r="H17" s="54"/>
      <c r="I17" s="54"/>
      <c r="J17" s="54"/>
      <c r="K17" s="54"/>
      <c r="L17" s="54"/>
      <c r="M17" s="54"/>
      <c r="N17" s="36">
        <f>N39</f>
        <v>59.256</v>
      </c>
      <c r="O17" s="36">
        <f>O39</f>
        <v>59.256</v>
      </c>
      <c r="P17" s="231">
        <f>P39</f>
        <v>35.671000000000006</v>
      </c>
      <c r="Q17" s="36">
        <f>Q39</f>
        <v>35.671000000000006</v>
      </c>
      <c r="R17" s="36">
        <f t="shared" ref="R17:AC17" si="11">R39</f>
        <v>35.671000000000006</v>
      </c>
      <c r="S17" s="36">
        <f t="shared" si="11"/>
        <v>35.671000000000006</v>
      </c>
      <c r="T17" s="36">
        <f t="shared" si="11"/>
        <v>24.216000000000001</v>
      </c>
      <c r="U17" s="36">
        <f t="shared" si="11"/>
        <v>24.216000000000001</v>
      </c>
      <c r="V17" s="36">
        <f t="shared" si="11"/>
        <v>24.216000000000001</v>
      </c>
      <c r="W17" s="36">
        <f t="shared" si="11"/>
        <v>24.216000000000001</v>
      </c>
      <c r="X17" s="334">
        <f t="shared" si="11"/>
        <v>9.6430000000000007</v>
      </c>
      <c r="Y17" s="334">
        <f t="shared" si="11"/>
        <v>9.6430000000000007</v>
      </c>
      <c r="Z17" s="334">
        <f t="shared" si="11"/>
        <v>9.6430000000000007</v>
      </c>
      <c r="AA17" s="334">
        <f t="shared" si="11"/>
        <v>9.6430000000000007</v>
      </c>
      <c r="AB17" s="334">
        <f t="shared" si="11"/>
        <v>4.5789999999999997</v>
      </c>
      <c r="AC17" s="334">
        <f t="shared" si="11"/>
        <v>4.5789999999999997</v>
      </c>
      <c r="AD17" s="334">
        <f t="shared" ref="AD17" si="12">AD39</f>
        <v>4.5789999999999997</v>
      </c>
      <c r="AE17" s="334"/>
      <c r="AF17" s="334"/>
      <c r="AG17" s="334"/>
      <c r="AH17" s="356">
        <f t="shared" si="5"/>
        <v>94.336500000000001</v>
      </c>
      <c r="AI17" s="406"/>
      <c r="AJ17" s="375"/>
      <c r="AK17" s="375"/>
      <c r="AL17" s="375"/>
    </row>
    <row r="18" spans="1:38" ht="54" customHeight="1">
      <c r="B18" s="413" t="s">
        <v>780</v>
      </c>
      <c r="C18" s="35"/>
      <c r="D18" s="359"/>
      <c r="E18" s="35"/>
      <c r="F18" s="35"/>
      <c r="G18" s="35"/>
      <c r="H18" s="54"/>
      <c r="I18" s="54"/>
      <c r="J18" s="54"/>
      <c r="K18" s="54"/>
      <c r="L18" s="54"/>
      <c r="M18" s="54"/>
      <c r="N18" s="36">
        <v>-40</v>
      </c>
      <c r="O18" s="36">
        <v>-40</v>
      </c>
      <c r="P18" s="231">
        <f>-51</f>
        <v>-51</v>
      </c>
      <c r="Q18" s="36">
        <f>-51</f>
        <v>-51</v>
      </c>
      <c r="R18" s="36">
        <v>-51</v>
      </c>
      <c r="S18" s="36">
        <f>-51</f>
        <v>-51</v>
      </c>
      <c r="T18" s="36">
        <v>0</v>
      </c>
      <c r="U18" s="36">
        <v>0</v>
      </c>
      <c r="V18" s="36">
        <v>0</v>
      </c>
      <c r="W18" s="36">
        <v>0</v>
      </c>
      <c r="X18" s="334">
        <v>-4</v>
      </c>
      <c r="Y18" s="334">
        <v>-4</v>
      </c>
      <c r="Z18" s="334">
        <v>-4</v>
      </c>
      <c r="AA18" s="334">
        <v>-4</v>
      </c>
      <c r="AB18" s="334">
        <v>-4</v>
      </c>
      <c r="AC18" s="334">
        <v>-4</v>
      </c>
      <c r="AD18" s="334">
        <v>-3</v>
      </c>
      <c r="AE18" s="334">
        <v>0</v>
      </c>
      <c r="AF18" s="334">
        <v>0</v>
      </c>
      <c r="AG18" s="334">
        <v>0</v>
      </c>
      <c r="AH18" s="356"/>
      <c r="AI18" s="406"/>
      <c r="AJ18" s="375"/>
      <c r="AK18" s="375"/>
      <c r="AL18" s="375"/>
    </row>
    <row r="19" spans="1:38" ht="15.75" customHeight="1">
      <c r="B19" s="363" t="s">
        <v>348</v>
      </c>
      <c r="C19" s="38" t="s">
        <v>349</v>
      </c>
      <c r="D19" s="359"/>
      <c r="E19" s="35"/>
      <c r="F19" s="35"/>
      <c r="G19" s="35"/>
      <c r="H19" s="54"/>
      <c r="I19" s="54"/>
      <c r="J19" s="54"/>
      <c r="K19" s="54">
        <f>'Haver Pivoted'!GV56</f>
        <v>0</v>
      </c>
      <c r="L19" s="54">
        <f>'Haver Pivoted'!GW56</f>
        <v>0</v>
      </c>
      <c r="M19" s="54">
        <f>'Haver Pivoted'!GX56</f>
        <v>0</v>
      </c>
      <c r="N19" s="54">
        <f>'Haver Pivoted'!GY56</f>
        <v>785.9</v>
      </c>
      <c r="O19" s="54">
        <f>'Haver Pivoted'!GZ56</f>
        <v>187.9</v>
      </c>
      <c r="P19" s="436">
        <f>'Haver Pivoted'!HA56</f>
        <v>9.1999999999999993</v>
      </c>
      <c r="Q19" s="54">
        <f>'Haver Pivoted'!HB56</f>
        <v>0.6</v>
      </c>
      <c r="R19" s="54">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27">
        <f t="shared" ref="Z19:AC19" si="13">Z36</f>
        <v>0</v>
      </c>
      <c r="AA19" s="327">
        <f t="shared" si="13"/>
        <v>0</v>
      </c>
      <c r="AB19" s="327">
        <f t="shared" si="13"/>
        <v>0</v>
      </c>
      <c r="AC19" s="327">
        <f t="shared" si="13"/>
        <v>0</v>
      </c>
      <c r="AD19" s="327">
        <f t="shared" ref="AD19" si="14">AD36</f>
        <v>0</v>
      </c>
      <c r="AE19" s="327">
        <v>0</v>
      </c>
      <c r="AF19" s="327">
        <v>0</v>
      </c>
      <c r="AG19" s="327">
        <v>0</v>
      </c>
      <c r="AH19" s="356">
        <f>SUM(I19:Y19)/4</f>
        <v>245.9</v>
      </c>
      <c r="AI19" s="406">
        <f>AH36</f>
        <v>362.04999999999995</v>
      </c>
      <c r="AJ19" s="397"/>
      <c r="AL19" s="375"/>
    </row>
    <row r="20" spans="1:38" ht="15.75" customHeight="1">
      <c r="A20" s="377"/>
      <c r="B20" s="376" t="s">
        <v>350</v>
      </c>
      <c r="C20" s="389"/>
      <c r="D20" s="387">
        <f t="shared" ref="D20:T20" si="15">D11-SUM(D12:D19)</f>
        <v>198.17900000000003</v>
      </c>
      <c r="E20" s="389">
        <f t="shared" si="15"/>
        <v>186.87</v>
      </c>
      <c r="F20" s="389">
        <f t="shared" si="15"/>
        <v>195.82800000000003</v>
      </c>
      <c r="G20" s="389">
        <f t="shared" si="15"/>
        <v>192.03799999999995</v>
      </c>
      <c r="H20" s="389">
        <f t="shared" si="15"/>
        <v>206.82899999999995</v>
      </c>
      <c r="I20" s="389">
        <f t="shared" si="15"/>
        <v>214.11100000000005</v>
      </c>
      <c r="J20" s="389">
        <f t="shared" si="15"/>
        <v>192.44999999999993</v>
      </c>
      <c r="K20" s="389">
        <f t="shared" si="15"/>
        <v>213.93400000000003</v>
      </c>
      <c r="L20" s="389">
        <f t="shared" si="15"/>
        <v>215.54399999999998</v>
      </c>
      <c r="M20" s="389">
        <f t="shared" si="15"/>
        <v>217.77433333333329</v>
      </c>
      <c r="N20" s="389">
        <f t="shared" si="15"/>
        <v>217.59133333333352</v>
      </c>
      <c r="O20" s="389">
        <f t="shared" si="15"/>
        <v>222.7093333333334</v>
      </c>
      <c r="P20" s="314">
        <f t="shared" si="15"/>
        <v>244.61933333333332</v>
      </c>
      <c r="Q20" s="389">
        <f t="shared" si="15"/>
        <v>248.60033333333331</v>
      </c>
      <c r="R20" s="389">
        <f t="shared" si="15"/>
        <v>262.76933333333329</v>
      </c>
      <c r="S20" s="365">
        <f t="shared" si="15"/>
        <v>260.1133333333334</v>
      </c>
      <c r="T20" s="365">
        <f t="shared" si="15"/>
        <v>222.98033333333342</v>
      </c>
      <c r="U20" s="365">
        <f>U11-SUM(U12:U19)</f>
        <v>236.8250000000001</v>
      </c>
      <c r="V20" s="365">
        <f>V11-SUM(V12:V19)</f>
        <v>227.57700000000006</v>
      </c>
      <c r="W20" s="365">
        <f>W11-SUM(W12:W19)</f>
        <v>220.74100000000004</v>
      </c>
      <c r="X20" s="365">
        <f>X11-SUM(X12:X19)</f>
        <v>243.04900000000009</v>
      </c>
      <c r="Y20" s="365">
        <f>Y11-SUM(Y12:Y19)</f>
        <v>258.27700000000004</v>
      </c>
      <c r="Z20" s="267">
        <f t="shared" ref="Z20:AC20" si="16">Y20*(1.04)^0.25</f>
        <v>260.82190828324809</v>
      </c>
      <c r="AA20" s="267">
        <f t="shared" si="16"/>
        <v>263.39189258244079</v>
      </c>
      <c r="AB20" s="267">
        <f t="shared" si="16"/>
        <v>265.9871999817579</v>
      </c>
      <c r="AC20" s="267">
        <f t="shared" si="16"/>
        <v>268.60808000000003</v>
      </c>
      <c r="AD20" s="267">
        <f>AC20*(1.04)^0.25</f>
        <v>271.25478461457794</v>
      </c>
      <c r="AE20" s="267">
        <f t="shared" ref="AE20:AG20" si="17">AD20*(1.04)^0.25</f>
        <v>273.92756828573835</v>
      </c>
      <c r="AF20" s="267">
        <f t="shared" si="17"/>
        <v>276.62668798102817</v>
      </c>
      <c r="AG20" s="267">
        <f t="shared" si="17"/>
        <v>279.35240319999997</v>
      </c>
      <c r="AH20" s="411"/>
      <c r="AI20" s="408"/>
      <c r="AJ20" s="375" t="s">
        <v>351</v>
      </c>
      <c r="AK20" s="375"/>
      <c r="AL20" s="375"/>
    </row>
    <row r="21" spans="1:38" ht="15.75" customHeight="1">
      <c r="A21" s="8"/>
      <c r="B21" s="342"/>
      <c r="C21" s="35"/>
      <c r="D21" s="35"/>
      <c r="E21" s="35"/>
      <c r="F21" s="35"/>
      <c r="G21" s="35"/>
      <c r="H21" s="35"/>
      <c r="I21" s="35"/>
      <c r="J21" s="35"/>
      <c r="K21" s="35"/>
      <c r="L21" s="35"/>
      <c r="M21" s="35"/>
      <c r="AA21" s="231"/>
      <c r="AB21" s="231"/>
      <c r="AC21" s="231"/>
      <c r="AD21" s="231"/>
      <c r="AE21" s="231"/>
      <c r="AF21" s="231"/>
      <c r="AG21" s="231"/>
      <c r="AH21" s="231"/>
      <c r="AI21" s="380"/>
      <c r="AJ21" s="375"/>
      <c r="AK21" s="375"/>
      <c r="AL21" s="375"/>
    </row>
    <row r="22" spans="1:38">
      <c r="C22" s="35"/>
      <c r="D22" s="35"/>
      <c r="E22" s="381"/>
      <c r="F22" s="35"/>
      <c r="G22" s="35"/>
      <c r="H22" s="35"/>
      <c r="I22" s="35"/>
      <c r="J22" s="35"/>
      <c r="K22" s="35"/>
      <c r="L22" s="35"/>
      <c r="M22" s="35"/>
      <c r="N22" s="35"/>
      <c r="P22" s="380"/>
      <c r="Q22" s="35"/>
      <c r="R22" s="35"/>
      <c r="S22" s="35"/>
      <c r="T22" s="35"/>
      <c r="U22" s="35"/>
      <c r="V22" s="35"/>
      <c r="W22" s="35"/>
      <c r="X22" s="35"/>
      <c r="Y22" s="35"/>
      <c r="Z22" s="35"/>
      <c r="AA22" s="35"/>
      <c r="AB22" s="35"/>
      <c r="AC22" s="35"/>
      <c r="AD22" s="35"/>
      <c r="AE22" s="35"/>
      <c r="AF22" s="35"/>
      <c r="AG22" s="35"/>
      <c r="AH22" s="35"/>
      <c r="AI22" s="35"/>
    </row>
    <row r="23" spans="1:38">
      <c r="B23" s="403" t="s">
        <v>352</v>
      </c>
      <c r="C23" s="35"/>
      <c r="D23" s="35"/>
      <c r="E23" s="35"/>
      <c r="F23" s="35"/>
      <c r="G23" s="35"/>
      <c r="H23" s="35"/>
      <c r="I23" s="35"/>
      <c r="J23" s="35"/>
      <c r="K23" s="35"/>
      <c r="L23" s="35"/>
      <c r="M23" s="35"/>
      <c r="N23" s="35"/>
      <c r="O23" s="35"/>
      <c r="P23" s="380"/>
      <c r="Q23" s="35"/>
      <c r="R23" s="35"/>
      <c r="S23" s="35"/>
      <c r="T23" s="35"/>
      <c r="U23" s="35"/>
      <c r="V23" s="35"/>
      <c r="W23" s="35"/>
      <c r="X23" s="35"/>
      <c r="Y23" s="35"/>
      <c r="Z23" s="35"/>
      <c r="AA23" s="35"/>
      <c r="AB23" s="35"/>
      <c r="AC23" s="35"/>
      <c r="AD23" s="35"/>
      <c r="AE23" s="35"/>
      <c r="AF23" s="35"/>
      <c r="AG23" s="35"/>
      <c r="AH23" s="35"/>
      <c r="AI23" s="35"/>
    </row>
    <row r="24" spans="1:38" ht="27" customHeight="1">
      <c r="B24" s="1334" t="s">
        <v>353</v>
      </c>
      <c r="C24" s="1335"/>
      <c r="D24" s="1336"/>
      <c r="E24" s="1336"/>
      <c r="F24" s="1336"/>
      <c r="G24" s="1336"/>
      <c r="H24" s="1336"/>
      <c r="I24" s="1336"/>
      <c r="J24" s="1336"/>
      <c r="K24" s="1336"/>
      <c r="L24" s="1336"/>
      <c r="M24" s="1336"/>
      <c r="N24" s="1336"/>
      <c r="O24" s="1336"/>
      <c r="P24" s="1336"/>
      <c r="Q24" s="1336"/>
      <c r="R24" s="1336"/>
      <c r="S24" s="1336"/>
      <c r="T24" s="1336"/>
      <c r="U24" s="1336"/>
      <c r="V24" s="1336"/>
      <c r="W24" s="1336"/>
      <c r="X24" s="1336"/>
      <c r="Y24" s="1336"/>
      <c r="Z24" s="1336"/>
      <c r="AA24" s="1336"/>
      <c r="AB24" s="1336"/>
      <c r="AC24" s="1337"/>
      <c r="AD24" s="348"/>
      <c r="AE24" s="348"/>
      <c r="AF24" s="348"/>
      <c r="AG24" s="348"/>
      <c r="AH24" s="347" t="s">
        <v>335</v>
      </c>
      <c r="AI24" s="409"/>
    </row>
    <row r="25" spans="1:38" ht="17.899999999999999" customHeight="1">
      <c r="B25" s="416" t="s">
        <v>354</v>
      </c>
      <c r="C25" s="35"/>
      <c r="D25" s="427"/>
      <c r="E25" s="417"/>
      <c r="F25" s="417"/>
      <c r="G25" s="417"/>
      <c r="H25" s="414"/>
      <c r="I25" s="414"/>
      <c r="J25" s="373">
        <f>SUM(J26:J28)</f>
        <v>692.8</v>
      </c>
      <c r="K25" s="373">
        <f t="shared" ref="K25:P25" si="18">SUM(K26:K28)</f>
        <v>39.200000000000003</v>
      </c>
      <c r="L25" s="373">
        <f t="shared" si="18"/>
        <v>29</v>
      </c>
      <c r="M25" s="373">
        <f t="shared" si="18"/>
        <v>27</v>
      </c>
      <c r="N25" s="373">
        <f t="shared" si="18"/>
        <v>18</v>
      </c>
      <c r="O25" s="373">
        <f t="shared" si="18"/>
        <v>0</v>
      </c>
      <c r="P25" s="315">
        <f t="shared" si="18"/>
        <v>0</v>
      </c>
      <c r="Q25" s="373"/>
      <c r="R25" s="373"/>
      <c r="S25" s="373"/>
      <c r="T25" s="412"/>
      <c r="U25" s="412"/>
      <c r="V25" s="412"/>
      <c r="W25" s="412"/>
      <c r="X25" s="412"/>
      <c r="Y25" s="412"/>
      <c r="Z25" s="412"/>
      <c r="AA25" s="412"/>
      <c r="AB25" s="412"/>
      <c r="AC25" s="345"/>
      <c r="AD25" s="327"/>
      <c r="AE25" s="327"/>
      <c r="AF25" s="327"/>
      <c r="AG25" s="327"/>
      <c r="AH25" s="356">
        <f t="shared" ref="AH25:AH39" si="19">SUM(I25:Y25)/4</f>
        <v>201.5</v>
      </c>
      <c r="AI25" s="1348" t="s">
        <v>355</v>
      </c>
      <c r="AJ25" s="1349"/>
    </row>
    <row r="26" spans="1:38">
      <c r="B26" s="378" t="s">
        <v>149</v>
      </c>
      <c r="C26" s="35"/>
      <c r="D26" s="359"/>
      <c r="E26" s="35"/>
      <c r="F26" s="35"/>
      <c r="G26" s="35"/>
      <c r="H26" s="36"/>
      <c r="I26" s="36"/>
      <c r="J26" s="320">
        <f>C46*4</f>
        <v>600</v>
      </c>
      <c r="K26" s="320"/>
      <c r="L26" s="320"/>
      <c r="M26" s="320"/>
      <c r="N26" s="320"/>
      <c r="O26" s="320"/>
      <c r="P26" s="227"/>
      <c r="Q26" s="320"/>
      <c r="R26" s="320"/>
      <c r="S26" s="320"/>
      <c r="T26" s="327"/>
      <c r="U26" s="327"/>
      <c r="V26" s="327"/>
      <c r="W26" s="327"/>
      <c r="X26" s="327"/>
      <c r="Y26" s="327"/>
      <c r="Z26" s="327"/>
      <c r="AA26" s="327"/>
      <c r="AB26" s="327"/>
      <c r="AC26" s="327"/>
      <c r="AD26" s="327"/>
      <c r="AE26" s="327"/>
      <c r="AF26" s="327"/>
      <c r="AG26" s="327"/>
      <c r="AH26" s="356">
        <f t="shared" si="19"/>
        <v>150</v>
      </c>
      <c r="AI26" s="320"/>
    </row>
    <row r="27" spans="1:38" ht="15" customHeight="1">
      <c r="B27" s="378" t="s">
        <v>150</v>
      </c>
      <c r="C27" s="35"/>
      <c r="D27" s="359"/>
      <c r="E27" s="35"/>
      <c r="F27" s="35"/>
      <c r="G27" s="35"/>
      <c r="H27" s="36"/>
      <c r="I27" s="36"/>
      <c r="J27" s="320">
        <v>28.4</v>
      </c>
      <c r="K27" s="320">
        <v>15.8</v>
      </c>
      <c r="L27" s="320">
        <v>15.2</v>
      </c>
      <c r="M27" s="320">
        <v>10.9</v>
      </c>
      <c r="N27" s="320">
        <v>18</v>
      </c>
      <c r="O27" s="320"/>
      <c r="P27" s="227"/>
      <c r="Q27" s="320"/>
      <c r="R27" s="320"/>
      <c r="S27" s="320">
        <v>20</v>
      </c>
      <c r="T27" s="374">
        <v>10</v>
      </c>
      <c r="U27" s="327"/>
      <c r="V27" s="327"/>
      <c r="W27" s="327"/>
      <c r="X27" s="327"/>
      <c r="Y27" s="327"/>
      <c r="Z27" s="327"/>
      <c r="AA27" s="327"/>
      <c r="AB27" s="327"/>
      <c r="AC27" s="327"/>
      <c r="AD27" s="327"/>
      <c r="AE27" s="327"/>
      <c r="AF27" s="327"/>
      <c r="AG27" s="327"/>
      <c r="AH27" s="356">
        <f t="shared" si="19"/>
        <v>29.575000000000003</v>
      </c>
      <c r="AI27" s="320"/>
    </row>
    <row r="28" spans="1:38">
      <c r="B28" s="378" t="s">
        <v>152</v>
      </c>
      <c r="C28" s="35"/>
      <c r="D28" s="359"/>
      <c r="E28" s="35"/>
      <c r="F28" s="35"/>
      <c r="G28" s="35"/>
      <c r="H28" s="36"/>
      <c r="I28" s="36"/>
      <c r="J28" s="230">
        <v>64.400000000000006</v>
      </c>
      <c r="K28" s="230">
        <v>23.4</v>
      </c>
      <c r="L28" s="230">
        <v>13.8</v>
      </c>
      <c r="M28" s="230">
        <v>16.100000000000001</v>
      </c>
      <c r="N28" s="320"/>
      <c r="O28" s="320"/>
      <c r="P28" s="227"/>
      <c r="Q28" s="320"/>
      <c r="R28" s="320"/>
      <c r="S28" s="320"/>
      <c r="T28" s="327"/>
      <c r="U28" s="327"/>
      <c r="V28" s="327"/>
      <c r="W28" s="327"/>
      <c r="X28" s="327"/>
      <c r="Y28" s="327"/>
      <c r="Z28" s="327"/>
      <c r="AA28" s="327"/>
      <c r="AB28" s="327"/>
      <c r="AC28" s="327"/>
      <c r="AD28" s="327"/>
      <c r="AE28" s="327"/>
      <c r="AF28" s="327"/>
      <c r="AG28" s="327"/>
      <c r="AH28" s="356">
        <f t="shared" si="19"/>
        <v>29.425000000000004</v>
      </c>
      <c r="AI28" s="320"/>
    </row>
    <row r="29" spans="1:38" ht="16.5" customHeight="1">
      <c r="B29" s="416" t="s">
        <v>356</v>
      </c>
      <c r="C29" s="35"/>
      <c r="D29" s="359"/>
      <c r="E29" s="35"/>
      <c r="F29" s="35"/>
      <c r="G29" s="35"/>
      <c r="H29" s="36"/>
      <c r="I29" s="36"/>
      <c r="J29" s="36"/>
      <c r="K29" s="36"/>
      <c r="L29" s="36"/>
      <c r="M29" s="320">
        <f>SUM(M30:M34)</f>
        <v>43</v>
      </c>
      <c r="N29" s="320">
        <f t="shared" ref="N29:AD29" si="20">SUM(N30:N34)</f>
        <v>70</v>
      </c>
      <c r="O29" s="320">
        <f t="shared" si="20"/>
        <v>59.999999999999964</v>
      </c>
      <c r="P29" s="227">
        <f t="shared" si="20"/>
        <v>50</v>
      </c>
      <c r="Q29" s="320">
        <f t="shared" si="20"/>
        <v>44.999999999999964</v>
      </c>
      <c r="R29" s="320">
        <f t="shared" si="20"/>
        <v>44.999999999999964</v>
      </c>
      <c r="S29" s="320">
        <f t="shared" si="20"/>
        <v>44.999999999999964</v>
      </c>
      <c r="T29" s="327">
        <f t="shared" si="20"/>
        <v>44.999999999999964</v>
      </c>
      <c r="U29" s="327">
        <f t="shared" si="20"/>
        <v>44.999999999999964</v>
      </c>
      <c r="V29" s="327">
        <f t="shared" si="20"/>
        <v>44.999999999999964</v>
      </c>
      <c r="W29" s="327">
        <f t="shared" si="20"/>
        <v>44.999999999999964</v>
      </c>
      <c r="X29" s="327">
        <f>SUM(X30:X34)</f>
        <v>44.999999999999964</v>
      </c>
      <c r="Y29" s="327">
        <f t="shared" si="20"/>
        <v>19</v>
      </c>
      <c r="Z29" s="327">
        <f t="shared" si="20"/>
        <v>0</v>
      </c>
      <c r="AA29" s="327">
        <f t="shared" si="20"/>
        <v>0</v>
      </c>
      <c r="AB29" s="327">
        <f t="shared" si="20"/>
        <v>0</v>
      </c>
      <c r="AC29" s="327">
        <f t="shared" si="20"/>
        <v>0</v>
      </c>
      <c r="AD29" s="327">
        <f t="shared" si="20"/>
        <v>0</v>
      </c>
      <c r="AE29" s="327"/>
      <c r="AF29" s="327"/>
      <c r="AG29" s="327"/>
      <c r="AH29" s="356">
        <f t="shared" si="19"/>
        <v>150.49999999999991</v>
      </c>
      <c r="AI29" s="1348" t="s">
        <v>357</v>
      </c>
      <c r="AJ29" s="1349"/>
    </row>
    <row r="30" spans="1:38">
      <c r="B30" s="378" t="s">
        <v>343</v>
      </c>
      <c r="C30" s="35"/>
      <c r="D30" s="359"/>
      <c r="E30" s="35"/>
      <c r="F30" s="35"/>
      <c r="G30" s="35"/>
      <c r="H30" s="36"/>
      <c r="I30" s="36"/>
      <c r="J30" s="36"/>
      <c r="K30" s="36"/>
      <c r="L30" s="36"/>
      <c r="M30" s="320">
        <f>C49/12*4</f>
        <v>9.6666666666666661</v>
      </c>
      <c r="N30" s="320">
        <f>M30</f>
        <v>9.6666666666666661</v>
      </c>
      <c r="O30" s="320">
        <f t="shared" ref="O30:X30" si="21">N30</f>
        <v>9.6666666666666661</v>
      </c>
      <c r="P30" s="227">
        <f t="shared" si="21"/>
        <v>9.6666666666666661</v>
      </c>
      <c r="Q30" s="320">
        <f t="shared" si="21"/>
        <v>9.6666666666666661</v>
      </c>
      <c r="R30" s="320">
        <f t="shared" si="21"/>
        <v>9.6666666666666661</v>
      </c>
      <c r="S30" s="320">
        <f t="shared" si="21"/>
        <v>9.6666666666666661</v>
      </c>
      <c r="T30" s="327">
        <f t="shared" si="21"/>
        <v>9.6666666666666661</v>
      </c>
      <c r="U30" s="327">
        <f t="shared" si="21"/>
        <v>9.6666666666666661</v>
      </c>
      <c r="V30" s="327">
        <f t="shared" si="21"/>
        <v>9.6666666666666661</v>
      </c>
      <c r="W30" s="327">
        <f t="shared" si="21"/>
        <v>9.6666666666666661</v>
      </c>
      <c r="X30" s="327">
        <f t="shared" si="21"/>
        <v>9.6666666666666661</v>
      </c>
      <c r="Y30" s="334"/>
      <c r="Z30" s="334"/>
      <c r="AA30" s="334"/>
      <c r="AB30" s="334"/>
      <c r="AC30" s="334"/>
      <c r="AD30" s="334"/>
      <c r="AE30" s="334"/>
      <c r="AF30" s="334"/>
      <c r="AG30" s="334"/>
      <c r="AH30" s="356">
        <f t="shared" si="19"/>
        <v>29.000000000000004</v>
      </c>
      <c r="AI30" s="1348"/>
      <c r="AJ30" s="1349"/>
    </row>
    <row r="31" spans="1:38" ht="41.9" customHeight="1">
      <c r="B31" s="378" t="s">
        <v>150</v>
      </c>
      <c r="C31" s="35"/>
      <c r="D31" s="359"/>
      <c r="E31" s="35"/>
      <c r="F31" s="35"/>
      <c r="G31" s="35"/>
      <c r="H31" s="36"/>
      <c r="I31" s="36"/>
      <c r="J31" s="36"/>
      <c r="K31" s="36"/>
      <c r="L31" s="36"/>
      <c r="M31" s="401">
        <f>C60/12*4 - 7</f>
        <v>20.333333333333332</v>
      </c>
      <c r="N31" s="401">
        <f>C60/12*4 + 20</f>
        <v>47.333333333333329</v>
      </c>
      <c r="O31" s="401">
        <v>37.3333333333333</v>
      </c>
      <c r="P31" s="316">
        <v>27.333333333333332</v>
      </c>
      <c r="Q31" s="401">
        <v>22.3333333333333</v>
      </c>
      <c r="R31" s="401">
        <v>22.3333333333333</v>
      </c>
      <c r="S31" s="401">
        <v>22.3333333333333</v>
      </c>
      <c r="T31" s="346">
        <v>22.3333333333333</v>
      </c>
      <c r="U31" s="346">
        <v>22.3333333333333</v>
      </c>
      <c r="V31" s="346">
        <v>22.3333333333333</v>
      </c>
      <c r="W31" s="346">
        <v>22.3333333333333</v>
      </c>
      <c r="X31" s="346">
        <v>22.3333333333333</v>
      </c>
      <c r="Y31" s="346">
        <v>19</v>
      </c>
      <c r="Z31" s="346"/>
      <c r="AA31" s="346"/>
      <c r="AB31" s="346"/>
      <c r="AC31" s="346"/>
      <c r="AD31" s="346"/>
      <c r="AE31" s="346"/>
      <c r="AF31" s="346"/>
      <c r="AG31" s="346"/>
      <c r="AH31" s="356">
        <f t="shared" si="19"/>
        <v>82.499999999999943</v>
      </c>
      <c r="AI31" s="423" t="s">
        <v>358</v>
      </c>
    </row>
    <row r="32" spans="1:38">
      <c r="B32" s="378" t="s">
        <v>152</v>
      </c>
      <c r="C32" s="35"/>
      <c r="D32" s="359"/>
      <c r="E32" s="35"/>
      <c r="F32" s="35"/>
      <c r="G32" s="35"/>
      <c r="H32" s="36"/>
      <c r="I32" s="36"/>
      <c r="J32" s="36"/>
      <c r="K32" s="36"/>
      <c r="L32" s="36"/>
      <c r="M32" s="320">
        <f>C61/12*4</f>
        <v>1</v>
      </c>
      <c r="N32" s="320">
        <f>C61/12*4</f>
        <v>1</v>
      </c>
      <c r="O32" s="320">
        <f t="shared" ref="O32:X32" si="22">$C$61/12*4</f>
        <v>1</v>
      </c>
      <c r="P32" s="227">
        <f t="shared" si="22"/>
        <v>1</v>
      </c>
      <c r="Q32" s="320">
        <f t="shared" si="22"/>
        <v>1</v>
      </c>
      <c r="R32" s="320">
        <f t="shared" si="22"/>
        <v>1</v>
      </c>
      <c r="S32" s="320">
        <f t="shared" si="22"/>
        <v>1</v>
      </c>
      <c r="T32" s="327">
        <f t="shared" si="22"/>
        <v>1</v>
      </c>
      <c r="U32" s="327">
        <f t="shared" si="22"/>
        <v>1</v>
      </c>
      <c r="V32" s="327">
        <f t="shared" si="22"/>
        <v>1</v>
      </c>
      <c r="W32" s="327">
        <f t="shared" si="22"/>
        <v>1</v>
      </c>
      <c r="X32" s="327">
        <f t="shared" si="22"/>
        <v>1</v>
      </c>
      <c r="Y32" s="334"/>
      <c r="Z32" s="334"/>
      <c r="AA32" s="334"/>
      <c r="AB32" s="334"/>
      <c r="AC32" s="334"/>
      <c r="AD32" s="334"/>
      <c r="AE32" s="334"/>
      <c r="AF32" s="334"/>
      <c r="AG32" s="334"/>
      <c r="AH32" s="356">
        <f t="shared" si="19"/>
        <v>3</v>
      </c>
      <c r="AI32" s="36"/>
    </row>
    <row r="33" spans="1:92" ht="13.4" customHeight="1">
      <c r="B33" s="378" t="s">
        <v>359</v>
      </c>
      <c r="C33" s="35"/>
      <c r="D33" s="359"/>
      <c r="E33" s="35"/>
      <c r="F33" s="35"/>
      <c r="G33" s="35"/>
      <c r="H33" s="36"/>
      <c r="I33" s="36"/>
      <c r="J33" s="36"/>
      <c r="K33" s="36"/>
      <c r="L33" s="36"/>
      <c r="M33" s="320">
        <f t="shared" ref="M33:X33" si="23">$C$62/12*4</f>
        <v>11.333333333333334</v>
      </c>
      <c r="N33" s="320">
        <f t="shared" si="23"/>
        <v>11.333333333333334</v>
      </c>
      <c r="O33" s="320">
        <f t="shared" si="23"/>
        <v>11.333333333333334</v>
      </c>
      <c r="P33" s="227">
        <f t="shared" si="23"/>
        <v>11.333333333333334</v>
      </c>
      <c r="Q33" s="320">
        <f t="shared" si="23"/>
        <v>11.333333333333334</v>
      </c>
      <c r="R33" s="320">
        <f t="shared" si="23"/>
        <v>11.333333333333334</v>
      </c>
      <c r="S33" s="320">
        <f t="shared" si="23"/>
        <v>11.333333333333334</v>
      </c>
      <c r="T33" s="327">
        <f t="shared" si="23"/>
        <v>11.333333333333334</v>
      </c>
      <c r="U33" s="327">
        <f t="shared" si="23"/>
        <v>11.333333333333334</v>
      </c>
      <c r="V33" s="327">
        <f t="shared" si="23"/>
        <v>11.333333333333334</v>
      </c>
      <c r="W33" s="327">
        <f t="shared" si="23"/>
        <v>11.333333333333334</v>
      </c>
      <c r="X33" s="327">
        <f t="shared" si="23"/>
        <v>11.333333333333334</v>
      </c>
      <c r="Y33" s="334"/>
      <c r="Z33" s="334"/>
      <c r="AA33" s="334"/>
      <c r="AB33" s="334"/>
      <c r="AC33" s="334"/>
      <c r="AD33" s="334"/>
      <c r="AE33" s="334"/>
      <c r="AF33" s="334"/>
      <c r="AG33" s="334"/>
      <c r="AH33" s="356">
        <f t="shared" si="19"/>
        <v>33.999999999999993</v>
      </c>
      <c r="AI33" s="36"/>
    </row>
    <row r="34" spans="1:92" ht="29.25" customHeight="1">
      <c r="B34" s="378" t="s">
        <v>360</v>
      </c>
      <c r="C34" s="35"/>
      <c r="D34" s="359"/>
      <c r="E34" s="35"/>
      <c r="F34" s="35"/>
      <c r="G34" s="35"/>
      <c r="H34" s="36"/>
      <c r="I34" s="36"/>
      <c r="J34" s="36"/>
      <c r="K34" s="36"/>
      <c r="L34" s="36"/>
      <c r="M34" s="320">
        <f t="shared" ref="M34:X34" si="24">$C$63/12*4</f>
        <v>0.66666666666666663</v>
      </c>
      <c r="N34" s="320">
        <f t="shared" si="24"/>
        <v>0.66666666666666663</v>
      </c>
      <c r="O34" s="320">
        <f t="shared" si="24"/>
        <v>0.66666666666666663</v>
      </c>
      <c r="P34" s="227">
        <f t="shared" si="24"/>
        <v>0.66666666666666663</v>
      </c>
      <c r="Q34" s="320">
        <f t="shared" si="24"/>
        <v>0.66666666666666663</v>
      </c>
      <c r="R34" s="320">
        <f t="shared" si="24"/>
        <v>0.66666666666666663</v>
      </c>
      <c r="S34" s="320">
        <f t="shared" si="24"/>
        <v>0.66666666666666663</v>
      </c>
      <c r="T34" s="327">
        <f t="shared" si="24"/>
        <v>0.66666666666666663</v>
      </c>
      <c r="U34" s="327">
        <f t="shared" si="24"/>
        <v>0.66666666666666663</v>
      </c>
      <c r="V34" s="327">
        <f t="shared" si="24"/>
        <v>0.66666666666666663</v>
      </c>
      <c r="W34" s="327">
        <f t="shared" si="24"/>
        <v>0.66666666666666663</v>
      </c>
      <c r="X34" s="327">
        <f t="shared" si="24"/>
        <v>0.66666666666666663</v>
      </c>
      <c r="Y34" s="334"/>
      <c r="Z34" s="334"/>
      <c r="AA34" s="334"/>
      <c r="AB34" s="334"/>
      <c r="AC34" s="334"/>
      <c r="AD34" s="334"/>
      <c r="AE34" s="334"/>
      <c r="AF34" s="334"/>
      <c r="AG34" s="334"/>
      <c r="AH34" s="356">
        <f t="shared" si="19"/>
        <v>2</v>
      </c>
      <c r="AI34" s="36"/>
    </row>
    <row r="35" spans="1:92" ht="44.25" customHeight="1">
      <c r="B35" s="416" t="s">
        <v>361</v>
      </c>
      <c r="C35" s="35"/>
      <c r="D35" s="359"/>
      <c r="E35" s="35"/>
      <c r="F35" s="35"/>
      <c r="G35" s="35"/>
      <c r="H35" s="36"/>
      <c r="I35" s="36"/>
      <c r="J35" s="36"/>
      <c r="K35" s="36"/>
      <c r="L35" s="36"/>
      <c r="M35" s="320"/>
      <c r="N35" s="320">
        <f t="shared" ref="N35:AD35" si="25">SUM(N36:N40)</f>
        <v>954.03959999999972</v>
      </c>
      <c r="O35" s="320">
        <f t="shared" si="25"/>
        <v>85.500399999999999</v>
      </c>
      <c r="P35" s="227">
        <f t="shared" si="25"/>
        <v>83.481000000000009</v>
      </c>
      <c r="Q35" s="320">
        <f t="shared" si="25"/>
        <v>662.76099999999997</v>
      </c>
      <c r="R35" s="320">
        <f t="shared" si="25"/>
        <v>83.481000000000009</v>
      </c>
      <c r="S35" s="320">
        <f t="shared" si="25"/>
        <v>83.481000000000009</v>
      </c>
      <c r="T35" s="327">
        <f t="shared" si="25"/>
        <v>62.811999999999998</v>
      </c>
      <c r="U35" s="327">
        <f t="shared" si="25"/>
        <v>62.811999999999998</v>
      </c>
      <c r="V35" s="327">
        <f t="shared" si="25"/>
        <v>62.811999999999998</v>
      </c>
      <c r="W35" s="327">
        <f t="shared" si="25"/>
        <v>62.811999999999998</v>
      </c>
      <c r="X35" s="327">
        <f t="shared" si="25"/>
        <v>41.554000000000002</v>
      </c>
      <c r="Y35" s="327">
        <f t="shared" si="25"/>
        <v>41.554000000000002</v>
      </c>
      <c r="Z35" s="327">
        <f t="shared" si="25"/>
        <v>41.554000000000002</v>
      </c>
      <c r="AA35" s="327">
        <f t="shared" si="25"/>
        <v>41.554000000000002</v>
      </c>
      <c r="AB35" s="327">
        <f t="shared" si="25"/>
        <v>27.678000000000001</v>
      </c>
      <c r="AC35" s="327">
        <f t="shared" si="25"/>
        <v>27.678000000000001</v>
      </c>
      <c r="AD35" s="327">
        <f t="shared" si="25"/>
        <v>27.678000000000001</v>
      </c>
      <c r="AE35" s="327"/>
      <c r="AF35" s="327"/>
      <c r="AG35" s="327"/>
      <c r="AH35" s="356">
        <f t="shared" si="19"/>
        <v>571.77499999999986</v>
      </c>
      <c r="AI35" s="1348" t="s">
        <v>362</v>
      </c>
      <c r="AJ35" s="1349"/>
    </row>
    <row r="36" spans="1:92" ht="17.899999999999999" customHeight="1">
      <c r="B36" s="378" t="s">
        <v>348</v>
      </c>
      <c r="C36" s="35"/>
      <c r="D36" s="359"/>
      <c r="E36" s="35"/>
      <c r="F36" s="35"/>
      <c r="G36" s="35"/>
      <c r="H36" s="36"/>
      <c r="I36" s="36"/>
      <c r="J36" s="36"/>
      <c r="K36" s="36"/>
      <c r="L36" s="36"/>
      <c r="M36" s="320"/>
      <c r="N36" s="320">
        <f>0.6*C65*4</f>
        <v>868.91999999999985</v>
      </c>
      <c r="O36" s="320"/>
      <c r="P36" s="227"/>
      <c r="Q36" s="320">
        <f>0.4*C65*4</f>
        <v>579.28</v>
      </c>
      <c r="R36" s="320"/>
      <c r="S36" s="320"/>
      <c r="T36" s="327"/>
      <c r="U36" s="327"/>
      <c r="V36" s="327"/>
      <c r="W36" s="327"/>
      <c r="X36" s="327"/>
      <c r="Y36" s="327"/>
      <c r="Z36" s="327"/>
      <c r="AA36" s="327"/>
      <c r="AB36" s="327"/>
      <c r="AC36" s="327"/>
      <c r="AD36" s="327"/>
      <c r="AE36" s="327"/>
      <c r="AF36" s="327"/>
      <c r="AG36" s="327"/>
      <c r="AH36" s="356">
        <f t="shared" si="19"/>
        <v>362.04999999999995</v>
      </c>
      <c r="AI36" s="397" t="s">
        <v>363</v>
      </c>
      <c r="AJ36" s="397"/>
    </row>
    <row r="37" spans="1:92">
      <c r="B37" s="378" t="s">
        <v>150</v>
      </c>
      <c r="C37" s="35"/>
      <c r="D37" s="359"/>
      <c r="E37" s="35"/>
      <c r="F37" s="35"/>
      <c r="G37" s="35"/>
      <c r="H37" s="36"/>
      <c r="I37" s="36"/>
      <c r="J37" s="36"/>
      <c r="K37" s="36"/>
      <c r="L37" s="36"/>
      <c r="M37" s="320"/>
      <c r="N37" s="320">
        <f>'ARP Quarterly'!D9</f>
        <v>24.693999999999999</v>
      </c>
      <c r="O37" s="320">
        <f>'ARP Quarterly'!E9</f>
        <v>24.693999999999999</v>
      </c>
      <c r="P37" s="227">
        <f>'ARP Quarterly'!F9</f>
        <v>46.79</v>
      </c>
      <c r="Q37" s="320">
        <f>'ARP Quarterly'!G9</f>
        <v>46.79</v>
      </c>
      <c r="R37" s="320">
        <f>'ARP Quarterly'!H9</f>
        <v>46.79</v>
      </c>
      <c r="S37" s="320">
        <f>'ARP Quarterly'!I9</f>
        <v>46.79</v>
      </c>
      <c r="T37" s="327">
        <f>'ARP Quarterly'!J9</f>
        <v>38.595999999999997</v>
      </c>
      <c r="U37" s="327">
        <f>'ARP Quarterly'!K9</f>
        <v>38.595999999999997</v>
      </c>
      <c r="V37" s="327">
        <f>'ARP Quarterly'!L9</f>
        <v>38.595999999999997</v>
      </c>
      <c r="W37" s="327">
        <f>'ARP Quarterly'!M9</f>
        <v>38.595999999999997</v>
      </c>
      <c r="X37" s="327">
        <f>'ARP Quarterly'!N9</f>
        <v>31.911000000000001</v>
      </c>
      <c r="Y37" s="327">
        <f>'ARP Quarterly'!O9</f>
        <v>31.911000000000001</v>
      </c>
      <c r="Z37" s="327">
        <f>'ARP Quarterly'!P9</f>
        <v>31.911000000000001</v>
      </c>
      <c r="AA37" s="327">
        <f>'ARP Quarterly'!Q9</f>
        <v>31.911000000000001</v>
      </c>
      <c r="AB37" s="327">
        <f>'ARP Quarterly'!R9</f>
        <v>23.099</v>
      </c>
      <c r="AC37" s="327">
        <f>'ARP Quarterly'!S9</f>
        <v>23.099</v>
      </c>
      <c r="AD37" s="327">
        <f>'ARP Quarterly'!T9</f>
        <v>23.099</v>
      </c>
      <c r="AE37" s="327"/>
      <c r="AF37" s="327"/>
      <c r="AG37" s="327"/>
      <c r="AH37" s="356">
        <f t="shared" si="19"/>
        <v>113.68849999999999</v>
      </c>
      <c r="AI37" s="320"/>
    </row>
    <row r="38" spans="1:92">
      <c r="B38" s="378" t="s">
        <v>152</v>
      </c>
      <c r="C38" s="35"/>
      <c r="D38" s="359"/>
      <c r="E38" s="35"/>
      <c r="F38" s="35"/>
      <c r="G38" s="35"/>
      <c r="H38" s="36"/>
      <c r="I38" s="36"/>
      <c r="J38" s="36"/>
      <c r="K38" s="36"/>
      <c r="L38" s="36"/>
      <c r="M38" s="320"/>
      <c r="N38" s="320">
        <f>'ARP Quarterly'!D14</f>
        <v>1.1696</v>
      </c>
      <c r="O38" s="320">
        <f>'ARP Quarterly'!E14</f>
        <v>1.5503999999999998</v>
      </c>
      <c r="P38" s="227">
        <f>'ARP Quarterly'!F14</f>
        <v>1.02</v>
      </c>
      <c r="Q38" s="320">
        <f>'ARP Quarterly'!G14</f>
        <v>1.02</v>
      </c>
      <c r="R38" s="320">
        <f>'ARP Quarterly'!H14</f>
        <v>1.02</v>
      </c>
      <c r="S38" s="320">
        <f>'ARP Quarterly'!I14</f>
        <v>1.02</v>
      </c>
      <c r="T38" s="327">
        <f>'ARP Quarterly'!J14</f>
        <v>0</v>
      </c>
      <c r="U38" s="327">
        <f>'ARP Quarterly'!K14</f>
        <v>0</v>
      </c>
      <c r="V38" s="327">
        <f>'ARP Quarterly'!L14</f>
        <v>0</v>
      </c>
      <c r="W38" s="327">
        <f>'ARP Quarterly'!M14</f>
        <v>0</v>
      </c>
      <c r="X38" s="327">
        <f>'ARP Quarterly'!N14</f>
        <v>0</v>
      </c>
      <c r="Y38" s="327">
        <f>'ARP Quarterly'!O14</f>
        <v>0</v>
      </c>
      <c r="Z38" s="327">
        <f>'ARP Quarterly'!P14</f>
        <v>0</v>
      </c>
      <c r="AA38" s="327">
        <f>'ARP Quarterly'!Q14</f>
        <v>0</v>
      </c>
      <c r="AB38" s="327">
        <f>'ARP Quarterly'!R14</f>
        <v>0</v>
      </c>
      <c r="AC38" s="327">
        <f>'ARP Quarterly'!S14</f>
        <v>0</v>
      </c>
      <c r="AD38" s="327">
        <f>'ARP Quarterly'!T14</f>
        <v>0</v>
      </c>
      <c r="AE38" s="327"/>
      <c r="AF38" s="327"/>
      <c r="AG38" s="327"/>
      <c r="AH38" s="356">
        <f t="shared" si="19"/>
        <v>1.6999999999999997</v>
      </c>
      <c r="AI38" s="320"/>
    </row>
    <row r="39" spans="1:92">
      <c r="B39" s="378" t="s">
        <v>364</v>
      </c>
      <c r="C39" s="35"/>
      <c r="D39" s="359"/>
      <c r="E39" s="35"/>
      <c r="F39" s="35"/>
      <c r="G39" s="35"/>
      <c r="H39" s="36"/>
      <c r="I39" s="36"/>
      <c r="J39" s="36"/>
      <c r="K39" s="36"/>
      <c r="L39" s="36"/>
      <c r="M39" s="320"/>
      <c r="N39" s="320">
        <f>'ARP Quarterly'!D10</f>
        <v>59.256</v>
      </c>
      <c r="O39" s="320">
        <f>'ARP Quarterly'!E10</f>
        <v>59.256</v>
      </c>
      <c r="P39" s="227">
        <f>'ARP Quarterly'!F10</f>
        <v>35.671000000000006</v>
      </c>
      <c r="Q39" s="320">
        <f>'ARP Quarterly'!G10</f>
        <v>35.671000000000006</v>
      </c>
      <c r="R39" s="320">
        <f>'ARP Quarterly'!H10</f>
        <v>35.671000000000006</v>
      </c>
      <c r="S39" s="320">
        <f>'ARP Quarterly'!I10</f>
        <v>35.671000000000006</v>
      </c>
      <c r="T39" s="327">
        <f>'ARP Quarterly'!J10</f>
        <v>24.216000000000001</v>
      </c>
      <c r="U39" s="327">
        <f>'ARP Quarterly'!K10</f>
        <v>24.216000000000001</v>
      </c>
      <c r="V39" s="327">
        <f>'ARP Quarterly'!L10</f>
        <v>24.216000000000001</v>
      </c>
      <c r="W39" s="327">
        <f>'ARP Quarterly'!M10</f>
        <v>24.216000000000001</v>
      </c>
      <c r="X39" s="327">
        <f>'ARP Quarterly'!N10</f>
        <v>9.6430000000000007</v>
      </c>
      <c r="Y39" s="327">
        <f>'ARP Quarterly'!O10</f>
        <v>9.6430000000000007</v>
      </c>
      <c r="Z39" s="327">
        <f>'ARP Quarterly'!P10</f>
        <v>9.6430000000000007</v>
      </c>
      <c r="AA39" s="327">
        <f>'ARP Quarterly'!Q10</f>
        <v>9.6430000000000007</v>
      </c>
      <c r="AB39" s="327">
        <f>'ARP Quarterly'!R10</f>
        <v>4.5789999999999997</v>
      </c>
      <c r="AC39" s="327">
        <f>'ARP Quarterly'!S10</f>
        <v>4.5789999999999997</v>
      </c>
      <c r="AD39" s="327">
        <f>'ARP Quarterly'!T10</f>
        <v>4.5789999999999997</v>
      </c>
      <c r="AE39" s="327"/>
      <c r="AF39" s="327"/>
      <c r="AG39" s="327"/>
      <c r="AH39" s="356">
        <f t="shared" si="19"/>
        <v>94.336500000000001</v>
      </c>
      <c r="AI39" s="320"/>
    </row>
    <row r="40" spans="1:92">
      <c r="A40" s="8"/>
      <c r="B40" s="392"/>
      <c r="C40" s="389"/>
      <c r="D40" s="387"/>
      <c r="E40" s="389"/>
      <c r="F40" s="389"/>
      <c r="G40" s="389"/>
      <c r="H40" s="394"/>
      <c r="I40" s="394"/>
      <c r="J40" s="394"/>
      <c r="K40" s="394"/>
      <c r="L40" s="394"/>
      <c r="M40" s="321"/>
      <c r="N40" s="321"/>
      <c r="O40" s="321"/>
      <c r="P40" s="317"/>
      <c r="Q40" s="321"/>
      <c r="R40" s="321"/>
      <c r="S40" s="321"/>
      <c r="T40" s="398"/>
      <c r="U40" s="398"/>
      <c r="V40" s="398"/>
      <c r="W40" s="398"/>
      <c r="X40" s="398"/>
      <c r="Y40" s="398"/>
      <c r="Z40" s="398"/>
      <c r="AA40" s="398"/>
      <c r="AB40" s="398"/>
      <c r="AC40" s="398"/>
      <c r="AD40" s="327"/>
      <c r="AE40" s="327"/>
      <c r="AF40" s="327"/>
      <c r="AG40" s="327"/>
      <c r="AH40" s="410"/>
      <c r="AI40" s="320"/>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row>
    <row r="41" spans="1:92">
      <c r="B41" s="342"/>
      <c r="C41" s="35"/>
      <c r="D41" s="35"/>
      <c r="E41" s="35"/>
      <c r="F41" s="35"/>
      <c r="G41" s="35"/>
      <c r="H41" s="35"/>
      <c r="I41" s="35"/>
      <c r="J41" s="35"/>
      <c r="K41" s="35"/>
      <c r="L41" s="35"/>
      <c r="M41" s="35"/>
      <c r="N41" s="35"/>
      <c r="O41" s="35"/>
      <c r="P41" s="380"/>
      <c r="Q41" s="35"/>
      <c r="R41" s="35"/>
      <c r="S41" s="35"/>
      <c r="T41" s="35"/>
      <c r="U41" s="35"/>
      <c r="V41" s="35"/>
      <c r="W41" s="35"/>
      <c r="X41" s="35"/>
      <c r="Y41" s="35"/>
      <c r="Z41" s="35"/>
      <c r="AA41" s="35"/>
      <c r="AB41" s="35"/>
      <c r="AC41" s="35"/>
      <c r="AD41" s="35"/>
      <c r="AE41" s="35"/>
      <c r="AF41" s="35"/>
      <c r="AG41" s="35"/>
      <c r="AH41" s="35"/>
      <c r="AI41" s="35"/>
    </row>
    <row r="42" spans="1:92">
      <c r="B42" s="342"/>
      <c r="C42" s="35"/>
      <c r="D42" s="35"/>
      <c r="E42" s="35"/>
      <c r="F42" s="35"/>
      <c r="G42" s="35"/>
      <c r="H42" s="35"/>
      <c r="I42" s="35"/>
      <c r="J42" s="35"/>
      <c r="K42" s="35"/>
      <c r="L42" s="35"/>
      <c r="M42" s="35"/>
      <c r="N42" s="35"/>
      <c r="O42" s="35"/>
      <c r="P42" s="380"/>
      <c r="Q42" s="35"/>
      <c r="R42" s="35"/>
      <c r="S42" s="35"/>
      <c r="T42" s="35"/>
      <c r="U42" s="35"/>
      <c r="V42" s="35"/>
      <c r="W42" s="35"/>
      <c r="X42" s="35"/>
      <c r="Y42" s="35"/>
      <c r="Z42" s="35"/>
      <c r="AA42" s="35"/>
      <c r="AB42" s="35"/>
      <c r="AC42" s="35"/>
      <c r="AD42" s="35"/>
      <c r="AE42" s="35"/>
      <c r="AF42" s="35"/>
      <c r="AG42" s="35"/>
      <c r="AH42" s="35"/>
      <c r="AI42" s="35"/>
    </row>
    <row r="43" spans="1:92" ht="17.899999999999999" customHeight="1">
      <c r="B43" s="399" t="s">
        <v>365</v>
      </c>
      <c r="H43" s="36"/>
      <c r="I43" s="36"/>
      <c r="J43" s="36"/>
      <c r="K43" s="36"/>
      <c r="L43" s="36"/>
      <c r="M43" s="36"/>
      <c r="N43" s="36"/>
      <c r="O43" s="36"/>
      <c r="P43" s="231"/>
      <c r="Q43" s="36"/>
      <c r="R43" s="36"/>
      <c r="S43" s="36"/>
      <c r="T43" s="36"/>
      <c r="U43" s="36"/>
      <c r="V43" s="36"/>
      <c r="W43" s="36"/>
      <c r="X43" s="36"/>
      <c r="Y43" s="36"/>
      <c r="Z43" s="36"/>
      <c r="AA43" s="36"/>
      <c r="AB43" s="36"/>
      <c r="AC43" s="36"/>
      <c r="AD43" s="36"/>
      <c r="AE43" s="36"/>
      <c r="AF43" s="36"/>
      <c r="AG43" s="36"/>
      <c r="AH43" s="36"/>
      <c r="AI43" s="36"/>
    </row>
    <row r="44" spans="1:92" ht="29.9" customHeight="1">
      <c r="B44" s="420" t="s">
        <v>366</v>
      </c>
      <c r="C44" s="421" t="s">
        <v>367</v>
      </c>
      <c r="D44" s="422" t="s">
        <v>368</v>
      </c>
      <c r="E44" s="405" t="s">
        <v>369</v>
      </c>
      <c r="F44" s="36"/>
      <c r="G44" s="36"/>
      <c r="H44" s="36"/>
      <c r="I44" s="36"/>
      <c r="J44" s="36"/>
      <c r="K44" s="36"/>
      <c r="L44" s="36"/>
      <c r="M44" s="36"/>
      <c r="N44" s="36"/>
      <c r="O44" s="36"/>
      <c r="P44" s="231"/>
      <c r="Q44" s="36"/>
      <c r="R44" s="36"/>
      <c r="S44" s="36"/>
      <c r="T44" s="36"/>
      <c r="U44" s="36"/>
      <c r="V44" s="36"/>
      <c r="W44" s="36"/>
    </row>
    <row r="45" spans="1:92" ht="18.75" customHeight="1">
      <c r="B45" s="426" t="s">
        <v>370</v>
      </c>
      <c r="C45" s="395">
        <f>SUM(C46:C51)</f>
        <v>898.11599999999999</v>
      </c>
      <c r="D45" s="36">
        <f>SUM(D46:D50)</f>
        <v>202.36666666666667</v>
      </c>
      <c r="E45" s="364">
        <f>SUM(E46:E50)</f>
        <v>650.35233333333326</v>
      </c>
      <c r="F45" s="36"/>
      <c r="G45" s="36"/>
      <c r="H45" s="36"/>
      <c r="I45" s="36"/>
      <c r="J45" s="36"/>
      <c r="K45" s="36"/>
      <c r="L45" s="36"/>
      <c r="M45" s="36"/>
      <c r="N45" s="36"/>
      <c r="O45" s="36"/>
      <c r="P45" s="231"/>
      <c r="Q45" s="36"/>
      <c r="R45" s="36"/>
      <c r="S45" s="36"/>
      <c r="T45" s="36"/>
      <c r="U45" s="36"/>
      <c r="V45" s="36"/>
      <c r="W45" s="36"/>
    </row>
    <row r="46" spans="1:92">
      <c r="B46" s="425" t="s">
        <v>149</v>
      </c>
      <c r="C46" s="395">
        <f>C55</f>
        <v>150</v>
      </c>
      <c r="D46" s="36">
        <f>SUM(H12:M12)/4</f>
        <v>149.47499999999999</v>
      </c>
      <c r="E46" s="356">
        <f>C46-D46</f>
        <v>0.52500000000000568</v>
      </c>
      <c r="F46" s="36"/>
      <c r="G46" s="36"/>
      <c r="H46" s="36"/>
      <c r="I46" s="385"/>
      <c r="J46" s="385"/>
      <c r="K46" s="385"/>
      <c r="L46" s="385"/>
      <c r="M46" s="385"/>
      <c r="N46" s="385"/>
      <c r="O46" s="385"/>
      <c r="P46" s="435"/>
      <c r="Q46" s="36"/>
      <c r="R46" s="36"/>
      <c r="S46" s="36"/>
      <c r="T46" s="36"/>
      <c r="U46" s="36"/>
      <c r="V46" s="36"/>
      <c r="W46" s="36"/>
    </row>
    <row r="47" spans="1:92">
      <c r="B47" s="425" t="s">
        <v>150</v>
      </c>
      <c r="C47" s="428">
        <f>C56+C60+C66</f>
        <v>273.16899999999998</v>
      </c>
      <c r="D47" s="36">
        <f>SUM(H13:M13)/4</f>
        <v>22.075000000000003</v>
      </c>
      <c r="E47" s="356">
        <f>C47-D47</f>
        <v>251.09399999999999</v>
      </c>
      <c r="F47" s="36"/>
      <c r="G47" s="36"/>
      <c r="H47" s="36"/>
      <c r="I47" s="385"/>
      <c r="J47" s="385"/>
      <c r="K47" s="385"/>
      <c r="L47" s="385"/>
      <c r="M47" s="385"/>
      <c r="N47" s="385"/>
      <c r="O47" s="385"/>
      <c r="P47" s="435"/>
      <c r="Q47" s="36"/>
      <c r="R47" s="36"/>
      <c r="S47" s="36"/>
      <c r="T47" s="36"/>
      <c r="U47" s="36"/>
      <c r="V47" s="36"/>
      <c r="W47" s="36"/>
    </row>
    <row r="48" spans="1:92">
      <c r="B48" s="425" t="s">
        <v>152</v>
      </c>
      <c r="C48" s="274">
        <f>C57+C67+C61</f>
        <v>38.5</v>
      </c>
      <c r="D48" s="36">
        <f>SUM(H14:M14)/4</f>
        <v>28.400000000000002</v>
      </c>
      <c r="E48" s="356">
        <f>C48-D48</f>
        <v>10.099999999999998</v>
      </c>
      <c r="F48" s="36"/>
      <c r="G48" s="36"/>
      <c r="H48" s="36"/>
      <c r="I48" s="385"/>
      <c r="J48" s="385"/>
      <c r="K48" s="385"/>
      <c r="L48" s="385"/>
      <c r="M48" s="385"/>
      <c r="N48" s="385"/>
      <c r="O48" s="385"/>
      <c r="P48" s="435"/>
      <c r="Q48" s="1338"/>
      <c r="R48" s="1338"/>
      <c r="S48" s="1338"/>
      <c r="T48" s="1338"/>
      <c r="U48" s="1338"/>
      <c r="V48" s="1338"/>
      <c r="W48" s="1338"/>
      <c r="X48" s="1338"/>
      <c r="Y48" s="1338"/>
      <c r="Z48" s="1338"/>
      <c r="AA48" s="1338"/>
      <c r="AB48" s="1338"/>
      <c r="AC48" s="1338"/>
      <c r="AD48" s="1338"/>
      <c r="AE48" s="1338"/>
      <c r="AF48" s="1338"/>
      <c r="AG48" s="1338"/>
      <c r="AH48" s="1338"/>
      <c r="AI48" s="1338"/>
      <c r="AJ48" s="1338"/>
      <c r="AK48" s="1338"/>
      <c r="AL48" s="1338"/>
    </row>
    <row r="49" spans="1:38" ht="17.25" customHeight="1">
      <c r="B49" s="425" t="s">
        <v>371</v>
      </c>
      <c r="C49" s="274">
        <f>C59</f>
        <v>29</v>
      </c>
      <c r="D49" s="36">
        <f>SUM(H15:M15)/4</f>
        <v>2.4166666666666665</v>
      </c>
      <c r="E49" s="356">
        <f>C49-D49</f>
        <v>26.583333333333332</v>
      </c>
      <c r="F49" s="36"/>
      <c r="G49" s="36"/>
      <c r="H49" s="36"/>
      <c r="I49" s="385"/>
      <c r="J49" s="385"/>
      <c r="K49" s="385"/>
      <c r="L49" s="385"/>
      <c r="M49" s="385"/>
      <c r="N49" s="385"/>
      <c r="O49" s="385"/>
      <c r="P49" s="435"/>
      <c r="Q49" s="1339"/>
      <c r="R49" s="1339"/>
      <c r="S49" s="1339"/>
      <c r="T49" s="1339"/>
      <c r="U49" s="1339"/>
      <c r="V49" s="1339"/>
      <c r="W49" s="1339"/>
      <c r="X49" s="1339"/>
      <c r="Y49" s="1339"/>
      <c r="Z49" s="234"/>
      <c r="AA49" s="234"/>
      <c r="AB49" s="234"/>
      <c r="AC49" s="234"/>
      <c r="AD49" s="234"/>
      <c r="AE49" s="234"/>
      <c r="AF49" s="234"/>
      <c r="AG49" s="234"/>
      <c r="AH49" s="1339"/>
      <c r="AI49" s="1339"/>
      <c r="AJ49" s="1339"/>
      <c r="AK49" s="1339"/>
      <c r="AL49" s="234"/>
    </row>
    <row r="50" spans="1:38" ht="15.75" customHeight="1">
      <c r="B50" s="425" t="s">
        <v>348</v>
      </c>
      <c r="C50" s="274">
        <f>C65</f>
        <v>362.04999999999995</v>
      </c>
      <c r="D50" s="36">
        <v>0</v>
      </c>
      <c r="E50" s="356">
        <f>C50-D50</f>
        <v>362.04999999999995</v>
      </c>
      <c r="F50" s="36"/>
      <c r="G50" s="36"/>
      <c r="H50" s="36"/>
      <c r="I50" s="385"/>
      <c r="J50" s="385"/>
      <c r="K50" s="385"/>
      <c r="L50" s="385"/>
      <c r="M50" s="385"/>
      <c r="N50" s="385"/>
      <c r="O50" s="385"/>
      <c r="P50" s="435"/>
      <c r="Q50" s="234"/>
      <c r="R50" s="234"/>
      <c r="S50" s="234"/>
      <c r="T50" s="234"/>
      <c r="U50" s="234"/>
      <c r="V50" s="234"/>
      <c r="W50" s="234"/>
      <c r="X50" s="234"/>
      <c r="Y50" s="234"/>
      <c r="Z50" s="234"/>
      <c r="AA50" s="234"/>
      <c r="AB50" s="234"/>
      <c r="AC50" s="234"/>
      <c r="AD50" s="234"/>
      <c r="AE50" s="234"/>
      <c r="AF50" s="234"/>
      <c r="AG50" s="234"/>
      <c r="AH50" s="234"/>
      <c r="AI50" s="234"/>
      <c r="AJ50" s="234"/>
      <c r="AK50" s="234"/>
      <c r="AL50" s="234"/>
    </row>
    <row r="51" spans="1:38" ht="15" customHeight="1">
      <c r="B51" s="424" t="s">
        <v>372</v>
      </c>
      <c r="C51" s="395">
        <f>C68+C69+C62+C63</f>
        <v>45.396999999999998</v>
      </c>
      <c r="D51" s="36"/>
      <c r="E51" s="356"/>
      <c r="F51" s="36"/>
      <c r="G51" s="36"/>
      <c r="H51" s="36"/>
      <c r="I51" s="385"/>
      <c r="J51" s="385"/>
      <c r="K51" s="385"/>
      <c r="L51" s="385"/>
      <c r="M51" s="385"/>
      <c r="N51" s="385"/>
      <c r="O51" s="385"/>
      <c r="P51" s="435"/>
      <c r="Q51" s="36"/>
      <c r="R51" s="36"/>
      <c r="S51" s="36"/>
      <c r="T51" s="36"/>
      <c r="U51" s="36"/>
      <c r="V51" s="36"/>
      <c r="W51" s="36"/>
    </row>
    <row r="52" spans="1:38" ht="5.25" customHeight="1">
      <c r="B52" s="424"/>
      <c r="C52" s="395"/>
      <c r="D52" s="36"/>
      <c r="E52" s="356"/>
      <c r="F52" s="36"/>
      <c r="G52" s="36"/>
      <c r="H52" s="36"/>
      <c r="I52" s="385"/>
      <c r="J52" s="385"/>
      <c r="K52" s="385"/>
      <c r="L52" s="385"/>
      <c r="M52" s="385"/>
      <c r="N52" s="385"/>
      <c r="O52" s="385"/>
      <c r="P52" s="435"/>
      <c r="Q52" s="36"/>
      <c r="R52" s="36"/>
      <c r="S52" s="36"/>
      <c r="T52" s="36"/>
      <c r="U52" s="36"/>
      <c r="V52" s="36"/>
      <c r="W52" s="36"/>
    </row>
    <row r="53" spans="1:38" ht="18.75" customHeight="1">
      <c r="B53" s="426" t="s">
        <v>373</v>
      </c>
      <c r="C53" s="274">
        <f>C54+C58+C64</f>
        <v>898.11599999999999</v>
      </c>
      <c r="D53" s="36"/>
      <c r="E53" s="356"/>
      <c r="F53" s="36"/>
      <c r="G53" s="36"/>
      <c r="H53" s="36"/>
      <c r="I53" s="385"/>
      <c r="J53" s="385"/>
      <c r="K53" s="385"/>
      <c r="L53" s="385"/>
      <c r="M53" s="385"/>
      <c r="N53" s="385"/>
      <c r="O53" s="385"/>
      <c r="P53" s="435"/>
      <c r="Q53" s="36"/>
      <c r="R53" s="36"/>
      <c r="S53" s="36"/>
      <c r="T53" s="36"/>
      <c r="U53" s="36"/>
      <c r="V53" s="36"/>
      <c r="W53" s="36"/>
    </row>
    <row r="54" spans="1:38" ht="16.399999999999999" customHeight="1">
      <c r="B54" s="416" t="s">
        <v>354</v>
      </c>
      <c r="C54" s="274">
        <f>SUM(C55:C57)</f>
        <v>199</v>
      </c>
      <c r="D54" s="36"/>
      <c r="E54" s="356"/>
      <c r="F54" s="36"/>
      <c r="G54" s="36"/>
      <c r="H54" s="36"/>
      <c r="I54" s="385"/>
      <c r="J54" s="385"/>
      <c r="K54" s="385"/>
      <c r="L54" s="385"/>
      <c r="M54" s="385"/>
      <c r="N54" s="385"/>
      <c r="O54" s="385"/>
      <c r="P54" s="435"/>
      <c r="Q54" s="36"/>
      <c r="R54" s="36"/>
      <c r="S54" s="36"/>
      <c r="T54" s="36"/>
      <c r="U54" s="36"/>
      <c r="V54" s="36"/>
      <c r="W54" s="36"/>
    </row>
    <row r="55" spans="1:38" ht="20.9" customHeight="1">
      <c r="B55" s="378" t="s">
        <v>149</v>
      </c>
      <c r="C55" s="274">
        <v>150</v>
      </c>
      <c r="D55" s="36"/>
      <c r="E55" s="356"/>
      <c r="F55" s="36"/>
      <c r="G55" s="36"/>
      <c r="H55" s="36"/>
      <c r="I55" s="385"/>
      <c r="J55" s="385"/>
      <c r="K55" s="385"/>
      <c r="L55" s="385"/>
      <c r="M55" s="385"/>
      <c r="N55" s="385"/>
      <c r="O55" s="385"/>
      <c r="P55" s="435"/>
      <c r="Q55" s="36"/>
      <c r="R55" s="36"/>
      <c r="S55" s="36"/>
      <c r="T55" s="36"/>
      <c r="U55" s="36"/>
      <c r="V55" s="36"/>
      <c r="W55" s="36"/>
    </row>
    <row r="56" spans="1:38" ht="16.5" customHeight="1">
      <c r="B56" s="378" t="s">
        <v>150</v>
      </c>
      <c r="C56" s="428">
        <v>22</v>
      </c>
      <c r="D56" s="230"/>
      <c r="E56" s="356"/>
      <c r="F56" s="36"/>
      <c r="G56" s="36"/>
      <c r="H56" s="36"/>
      <c r="I56" s="385"/>
      <c r="J56" s="385"/>
      <c r="K56" s="385"/>
      <c r="L56" s="385"/>
      <c r="M56" s="385"/>
      <c r="N56" s="385"/>
      <c r="O56" s="385"/>
      <c r="P56" s="435"/>
      <c r="Q56" s="36"/>
      <c r="R56" s="36"/>
      <c r="S56" s="36"/>
      <c r="T56" s="36"/>
      <c r="U56" s="36"/>
      <c r="V56" s="36"/>
      <c r="W56" s="36"/>
    </row>
    <row r="57" spans="1:38">
      <c r="B57" s="378" t="s">
        <v>152</v>
      </c>
      <c r="C57" s="274">
        <v>27</v>
      </c>
      <c r="D57" s="36"/>
      <c r="E57" s="356"/>
      <c r="F57" s="35"/>
      <c r="G57" s="36"/>
      <c r="H57" s="36"/>
      <c r="I57" s="385"/>
      <c r="J57" s="385"/>
      <c r="K57" s="385"/>
      <c r="L57" s="385"/>
      <c r="M57" s="385"/>
      <c r="N57" s="385"/>
      <c r="P57" s="435"/>
      <c r="Q57" s="36"/>
      <c r="R57" s="36"/>
      <c r="S57" s="36"/>
      <c r="T57" s="36"/>
      <c r="U57" s="36"/>
      <c r="V57" s="36"/>
      <c r="W57" s="36"/>
    </row>
    <row r="58" spans="1:38" ht="15" customHeight="1">
      <c r="B58" s="416" t="s">
        <v>356</v>
      </c>
      <c r="C58" s="274">
        <f>SUM(C59:C63)</f>
        <v>150</v>
      </c>
      <c r="D58" s="36"/>
      <c r="E58" s="356"/>
      <c r="F58" s="36"/>
      <c r="G58" s="36"/>
      <c r="H58" s="36"/>
      <c r="I58" s="36"/>
      <c r="J58" s="36"/>
      <c r="K58" s="36"/>
      <c r="L58" s="36"/>
      <c r="M58" s="36"/>
      <c r="N58" s="36"/>
      <c r="P58" s="231"/>
      <c r="Q58" s="36"/>
      <c r="R58" s="36"/>
      <c r="S58" s="36"/>
      <c r="T58" s="36"/>
      <c r="U58" s="36"/>
      <c r="V58" s="36"/>
      <c r="W58" s="36"/>
    </row>
    <row r="59" spans="1:38" ht="17.25" customHeight="1">
      <c r="B59" s="378" t="s">
        <v>343</v>
      </c>
      <c r="C59" s="274">
        <f>'Response and Relief Act Score'!F7</f>
        <v>29</v>
      </c>
      <c r="D59" s="36"/>
      <c r="E59" s="356"/>
      <c r="F59" s="36"/>
      <c r="G59" s="36"/>
      <c r="H59" s="36"/>
      <c r="I59" s="36"/>
    </row>
    <row r="60" spans="1:38">
      <c r="B60" s="378" t="s">
        <v>150</v>
      </c>
      <c r="C60" s="274">
        <f>'Response and Relief Act Score'!F5</f>
        <v>82</v>
      </c>
      <c r="D60" s="36"/>
      <c r="E60" s="356"/>
      <c r="F60" s="36"/>
      <c r="G60" s="36"/>
      <c r="H60" s="36"/>
      <c r="I60" s="36"/>
      <c r="J60" s="36"/>
      <c r="K60" s="36"/>
      <c r="L60" s="36"/>
      <c r="M60" s="36"/>
      <c r="N60" s="36"/>
      <c r="P60" s="231"/>
      <c r="Q60" s="36"/>
      <c r="R60" s="36"/>
      <c r="S60" s="36"/>
      <c r="T60" s="36"/>
      <c r="U60" s="36"/>
      <c r="V60" s="36"/>
      <c r="W60" s="36"/>
    </row>
    <row r="61" spans="1:38">
      <c r="B61" s="378" t="s">
        <v>152</v>
      </c>
      <c r="C61" s="274">
        <f>'Response and Relief Act Score'!F6</f>
        <v>3</v>
      </c>
      <c r="D61" s="36"/>
      <c r="E61" s="356"/>
      <c r="F61" s="36"/>
      <c r="G61" s="36"/>
      <c r="H61" s="36"/>
      <c r="I61" s="36"/>
      <c r="J61" s="36"/>
      <c r="K61" s="36"/>
      <c r="L61" s="36"/>
      <c r="M61" s="36"/>
      <c r="N61" s="36"/>
      <c r="P61" s="231"/>
      <c r="Q61" s="36"/>
      <c r="R61" s="36"/>
      <c r="S61" s="36"/>
      <c r="T61" s="36"/>
      <c r="U61" s="36"/>
      <c r="V61" s="36"/>
      <c r="W61" s="36"/>
    </row>
    <row r="62" spans="1:38" ht="29.25" customHeight="1">
      <c r="B62" s="378" t="s">
        <v>359</v>
      </c>
      <c r="C62" s="274">
        <f>'Response and Relief Act Score'!F9</f>
        <v>34</v>
      </c>
      <c r="D62" s="36"/>
      <c r="E62" s="356"/>
      <c r="F62" s="36"/>
      <c r="G62" s="36"/>
      <c r="H62" s="36"/>
      <c r="I62" s="400"/>
      <c r="J62" s="36"/>
      <c r="K62" s="36"/>
      <c r="L62" s="36"/>
      <c r="M62" s="36"/>
      <c r="N62" s="36"/>
      <c r="O62" s="385"/>
      <c r="P62" s="231"/>
      <c r="Q62" s="36"/>
      <c r="R62" s="36"/>
      <c r="S62" s="36"/>
      <c r="T62" s="36"/>
      <c r="U62" s="36"/>
      <c r="V62" s="36"/>
      <c r="W62" s="36"/>
    </row>
    <row r="63" spans="1:38" ht="12.75" customHeight="1">
      <c r="B63" s="378" t="s">
        <v>360</v>
      </c>
      <c r="C63" s="274">
        <f>'Response and Relief Act Score'!F8</f>
        <v>2</v>
      </c>
      <c r="D63" s="36"/>
      <c r="E63" s="356"/>
      <c r="F63" s="36"/>
      <c r="G63" s="36"/>
      <c r="H63" s="36"/>
      <c r="I63" s="36"/>
      <c r="J63" s="36"/>
      <c r="K63" s="36"/>
      <c r="L63" s="36"/>
      <c r="M63" s="36"/>
      <c r="N63" s="36"/>
      <c r="O63" s="36"/>
      <c r="P63" s="231"/>
      <c r="Q63" s="36"/>
      <c r="R63" s="36"/>
      <c r="S63" s="36"/>
      <c r="T63" s="36"/>
      <c r="U63" s="36"/>
      <c r="V63" s="36"/>
      <c r="W63" s="36"/>
    </row>
    <row r="64" spans="1:38">
      <c r="A64" s="391"/>
      <c r="B64" s="388" t="s">
        <v>361</v>
      </c>
      <c r="C64" s="395">
        <f>SUM(C65:C69)</f>
        <v>549.11599999999999</v>
      </c>
      <c r="D64" s="36"/>
      <c r="E64" s="356"/>
      <c r="F64" s="36"/>
      <c r="G64" s="36"/>
      <c r="H64" s="36"/>
      <c r="I64" s="36"/>
      <c r="J64" s="36"/>
      <c r="K64" s="36"/>
      <c r="L64" s="36"/>
      <c r="M64" s="36"/>
      <c r="N64" s="36"/>
      <c r="P64" s="231"/>
      <c r="Q64" s="36"/>
      <c r="R64" s="36"/>
      <c r="S64" s="36"/>
      <c r="T64" s="36"/>
      <c r="U64" s="36"/>
      <c r="V64" s="36"/>
      <c r="W64" s="36"/>
    </row>
    <row r="65" spans="1:35" ht="16.399999999999999" customHeight="1">
      <c r="A65" s="391"/>
      <c r="B65" s="390" t="s">
        <v>348</v>
      </c>
      <c r="C65" s="395">
        <f>'ARP Score'!AJ16</f>
        <v>362.04999999999995</v>
      </c>
      <c r="D65" s="36"/>
      <c r="E65" s="356"/>
      <c r="F65" s="36"/>
      <c r="G65" s="36"/>
      <c r="H65" s="36"/>
      <c r="I65" s="36"/>
      <c r="J65" s="36"/>
      <c r="K65" s="36"/>
      <c r="L65" s="36"/>
      <c r="M65" s="36"/>
      <c r="N65" s="36"/>
      <c r="O65" s="36"/>
      <c r="P65" s="231"/>
      <c r="Q65" s="36"/>
      <c r="R65" s="36"/>
      <c r="S65" s="36"/>
      <c r="T65" s="36"/>
      <c r="U65" s="36"/>
      <c r="V65" s="36"/>
      <c r="W65" s="36"/>
    </row>
    <row r="66" spans="1:35" ht="15" customHeight="1">
      <c r="A66" s="1330"/>
      <c r="B66" s="390" t="s">
        <v>150</v>
      </c>
      <c r="C66" s="395">
        <f>'ARP Score'!AL16</f>
        <v>169.16899999999998</v>
      </c>
      <c r="D66" s="36"/>
      <c r="E66" s="356"/>
      <c r="F66" s="36"/>
      <c r="G66" s="36"/>
      <c r="H66" s="36"/>
      <c r="I66" s="36"/>
      <c r="J66" s="36"/>
      <c r="K66" s="36"/>
      <c r="L66" s="36"/>
      <c r="M66" s="36"/>
      <c r="N66" s="36"/>
      <c r="O66" s="36"/>
      <c r="P66" s="231"/>
      <c r="Q66" s="393"/>
      <c r="R66" s="36"/>
      <c r="S66" s="36"/>
      <c r="T66" s="36"/>
      <c r="U66" s="36"/>
      <c r="V66" s="36"/>
      <c r="W66" s="36"/>
    </row>
    <row r="67" spans="1:35">
      <c r="A67" s="1330"/>
      <c r="B67" s="390" t="s">
        <v>152</v>
      </c>
      <c r="C67" s="395">
        <f>'ARP Score'!AK16</f>
        <v>8.5</v>
      </c>
      <c r="D67" s="36"/>
      <c r="E67" s="356"/>
      <c r="F67" s="36"/>
      <c r="G67" s="36"/>
      <c r="H67" s="36"/>
      <c r="I67" s="36"/>
      <c r="J67" s="36"/>
      <c r="K67" s="36"/>
      <c r="L67" s="36"/>
      <c r="M67" s="36"/>
      <c r="N67" s="36"/>
      <c r="O67" s="36"/>
      <c r="P67" s="231"/>
      <c r="Q67" s="36"/>
      <c r="R67" s="36"/>
      <c r="S67" s="36"/>
      <c r="T67" s="36"/>
      <c r="U67" s="36"/>
      <c r="V67" s="36"/>
      <c r="W67" s="36"/>
    </row>
    <row r="68" spans="1:35" ht="17.25" customHeight="1">
      <c r="A68" s="391"/>
      <c r="B68" s="390" t="s">
        <v>364</v>
      </c>
      <c r="C68" s="395">
        <f>'ARP Score'!AM16</f>
        <v>0.79700000000000004</v>
      </c>
      <c r="D68" s="36"/>
      <c r="E68" s="356"/>
      <c r="F68" s="36"/>
      <c r="G68" s="36"/>
      <c r="H68" s="36"/>
      <c r="I68" s="36"/>
      <c r="J68" s="36"/>
      <c r="K68" s="36"/>
      <c r="L68" s="36"/>
      <c r="M68" s="36"/>
      <c r="N68" s="36"/>
      <c r="O68" s="36"/>
      <c r="P68" s="231"/>
      <c r="Q68" s="36"/>
      <c r="R68" s="36"/>
      <c r="S68" s="36"/>
      <c r="T68" s="36"/>
      <c r="U68" s="36"/>
      <c r="V68" s="36"/>
      <c r="W68" s="36"/>
    </row>
    <row r="69" spans="1:35" ht="17.25" customHeight="1">
      <c r="A69" s="391"/>
      <c r="B69" s="392" t="s">
        <v>374</v>
      </c>
      <c r="C69" s="396">
        <f>'ARP Score'!AN16</f>
        <v>8.6</v>
      </c>
      <c r="D69" s="394"/>
      <c r="E69" s="382"/>
      <c r="F69" s="36"/>
      <c r="G69" s="36"/>
      <c r="H69" s="36"/>
      <c r="I69" s="36"/>
      <c r="J69" s="36"/>
      <c r="K69" s="36"/>
      <c r="L69" s="36"/>
      <c r="M69" s="36"/>
      <c r="N69" s="36"/>
      <c r="O69" s="36"/>
      <c r="P69" s="231"/>
      <c r="Q69" s="36"/>
      <c r="R69" s="36"/>
      <c r="S69" s="36"/>
      <c r="T69" s="36"/>
      <c r="U69" s="36"/>
      <c r="V69" s="36"/>
      <c r="W69" s="36"/>
    </row>
    <row r="70" spans="1:35" ht="17.25" customHeight="1">
      <c r="B70" s="390"/>
      <c r="C70" s="55"/>
      <c r="D70" s="55"/>
      <c r="E70" s="55"/>
      <c r="F70" s="55"/>
      <c r="G70" s="55"/>
      <c r="H70" s="36"/>
      <c r="I70" s="36"/>
      <c r="J70" s="36"/>
      <c r="K70" s="36"/>
      <c r="L70" s="36"/>
      <c r="M70" s="36"/>
      <c r="N70" s="36"/>
      <c r="O70" s="36"/>
      <c r="P70" s="231"/>
      <c r="Q70" s="36"/>
      <c r="R70" s="36"/>
      <c r="S70" s="36"/>
      <c r="T70" s="36"/>
      <c r="U70" s="36"/>
      <c r="V70" s="36"/>
      <c r="W70" s="36"/>
      <c r="X70" s="36"/>
      <c r="Y70" s="36"/>
      <c r="Z70" s="36"/>
      <c r="AA70" s="36"/>
      <c r="AB70" s="36"/>
      <c r="AC70" s="36"/>
      <c r="AD70" s="36"/>
      <c r="AE70" s="36"/>
      <c r="AF70" s="36"/>
      <c r="AG70" s="36"/>
      <c r="AH70" s="36"/>
      <c r="AI70" s="36"/>
    </row>
    <row r="71" spans="1:35" ht="17.25" customHeight="1">
      <c r="B71" s="379" t="s">
        <v>375</v>
      </c>
      <c r="C71" s="55"/>
      <c r="D71" s="55"/>
      <c r="E71" s="55"/>
      <c r="F71" s="55"/>
      <c r="G71" s="55"/>
      <c r="H71" s="36"/>
      <c r="I71" s="36"/>
      <c r="J71" s="36"/>
      <c r="K71" s="36"/>
      <c r="L71" s="36"/>
      <c r="M71" s="36"/>
      <c r="N71" s="36"/>
      <c r="O71" s="36"/>
      <c r="P71" s="231"/>
      <c r="Q71" s="36"/>
      <c r="R71" s="36"/>
      <c r="S71" s="36"/>
      <c r="T71" s="36"/>
      <c r="U71" s="36"/>
      <c r="V71" s="36"/>
      <c r="W71" s="36"/>
      <c r="X71" s="36"/>
      <c r="Y71" s="36"/>
      <c r="Z71" s="36"/>
      <c r="AA71" s="36"/>
      <c r="AB71" s="36"/>
      <c r="AC71" s="36"/>
      <c r="AD71" s="36"/>
      <c r="AE71" s="36"/>
      <c r="AF71" s="36"/>
      <c r="AG71" s="36"/>
      <c r="AH71" s="36"/>
      <c r="AI71" s="36"/>
    </row>
    <row r="72" spans="1:35" ht="14.9" customHeight="1">
      <c r="B72" s="1302" t="s">
        <v>376</v>
      </c>
      <c r="C72" s="1303"/>
      <c r="D72" s="1306" t="s">
        <v>280</v>
      </c>
      <c r="E72" s="1319"/>
      <c r="F72" s="1319"/>
      <c r="G72" s="1319"/>
      <c r="H72" s="1319"/>
      <c r="I72" s="1319"/>
      <c r="J72" s="1319"/>
      <c r="K72" s="1319"/>
      <c r="L72" s="1319"/>
      <c r="M72" s="1319"/>
      <c r="N72" s="1319"/>
      <c r="O72" s="1319"/>
      <c r="P72" s="1319"/>
      <c r="Q72" s="1319"/>
      <c r="R72" s="1319"/>
      <c r="S72" s="1319"/>
      <c r="T72" s="1319"/>
      <c r="U72" s="1319"/>
      <c r="V72" s="1307"/>
      <c r="W72" s="1331" t="s">
        <v>281</v>
      </c>
      <c r="X72" s="1332"/>
      <c r="Y72" s="1332"/>
      <c r="Z72" s="1332"/>
      <c r="AA72" s="1332"/>
      <c r="AB72" s="1332"/>
      <c r="AC72" s="1332"/>
      <c r="AD72" s="1332"/>
      <c r="AE72" s="1332"/>
      <c r="AF72" s="1332"/>
      <c r="AG72" s="1332"/>
      <c r="AH72" s="200"/>
      <c r="AI72" s="200"/>
    </row>
    <row r="73" spans="1:35">
      <c r="B73" s="1304"/>
      <c r="C73" s="1305"/>
      <c r="D73" s="219">
        <v>2018</v>
      </c>
      <c r="E73" s="1311">
        <v>2019</v>
      </c>
      <c r="F73" s="1312"/>
      <c r="G73" s="1312"/>
      <c r="H73" s="1313"/>
      <c r="I73" s="1311">
        <v>2020</v>
      </c>
      <c r="J73" s="1312"/>
      <c r="K73" s="1312"/>
      <c r="L73" s="1312"/>
      <c r="M73" s="1311">
        <v>2021</v>
      </c>
      <c r="N73" s="1312"/>
      <c r="O73" s="1312"/>
      <c r="P73" s="1312"/>
      <c r="Q73" s="1328">
        <v>2022</v>
      </c>
      <c r="R73" s="1329"/>
      <c r="S73" s="288"/>
      <c r="T73" s="288"/>
      <c r="U73" s="239"/>
      <c r="V73" s="288">
        <v>2023</v>
      </c>
      <c r="W73" s="289"/>
      <c r="X73" s="260"/>
      <c r="Y73" s="1309">
        <v>2024</v>
      </c>
      <c r="Z73" s="1321"/>
      <c r="AA73" s="1321"/>
      <c r="AB73" s="1310"/>
      <c r="AC73" s="1308">
        <v>2025</v>
      </c>
      <c r="AD73" s="1309"/>
      <c r="AE73" s="1309"/>
      <c r="AF73" s="1310"/>
      <c r="AG73" s="340">
        <v>2026</v>
      </c>
      <c r="AH73" s="240"/>
      <c r="AI73" s="240"/>
    </row>
    <row r="74" spans="1:35">
      <c r="B74" s="1306"/>
      <c r="C74" s="1307"/>
      <c r="D74" s="214" t="s">
        <v>282</v>
      </c>
      <c r="E74" s="214" t="s">
        <v>283</v>
      </c>
      <c r="F74" s="215" t="s">
        <v>284</v>
      </c>
      <c r="G74" s="215" t="s">
        <v>238</v>
      </c>
      <c r="H74" s="216" t="s">
        <v>282</v>
      </c>
      <c r="I74" s="215" t="s">
        <v>283</v>
      </c>
      <c r="J74" s="215" t="s">
        <v>284</v>
      </c>
      <c r="K74" s="215" t="s">
        <v>238</v>
      </c>
      <c r="L74" s="215" t="s">
        <v>282</v>
      </c>
      <c r="M74" s="214" t="s">
        <v>283</v>
      </c>
      <c r="N74" s="215" t="s">
        <v>284</v>
      </c>
      <c r="O74" s="215" t="s">
        <v>238</v>
      </c>
      <c r="P74" s="215" t="s">
        <v>282</v>
      </c>
      <c r="Q74" s="214" t="s">
        <v>283</v>
      </c>
      <c r="R74" s="215" t="s">
        <v>284</v>
      </c>
      <c r="S74" s="215" t="s">
        <v>238</v>
      </c>
      <c r="T74" s="215" t="s">
        <v>282</v>
      </c>
      <c r="U74" s="285" t="s">
        <v>283</v>
      </c>
      <c r="V74" s="286" t="s">
        <v>284</v>
      </c>
      <c r="W74" s="270" t="s">
        <v>238</v>
      </c>
      <c r="X74" s="271" t="s">
        <v>282</v>
      </c>
      <c r="Y74" s="270" t="s">
        <v>283</v>
      </c>
      <c r="Z74" s="267" t="s">
        <v>284</v>
      </c>
      <c r="AA74" s="270" t="s">
        <v>238</v>
      </c>
      <c r="AB74" s="270" t="s">
        <v>282</v>
      </c>
      <c r="AC74" s="269" t="s">
        <v>283</v>
      </c>
      <c r="AD74" s="267" t="s">
        <v>284</v>
      </c>
      <c r="AE74" s="270" t="s">
        <v>238</v>
      </c>
      <c r="AF74" s="271" t="s">
        <v>282</v>
      </c>
      <c r="AG74" s="341" t="s">
        <v>283</v>
      </c>
      <c r="AH74" s="56"/>
      <c r="AI74" s="56"/>
    </row>
    <row r="75" spans="1:35" ht="29.25" customHeight="1">
      <c r="B75" s="351" t="s">
        <v>377</v>
      </c>
      <c r="C75" s="418"/>
      <c r="D75" s="352"/>
      <c r="E75" s="353"/>
      <c r="F75" s="353"/>
      <c r="G75" s="353"/>
      <c r="H75" s="354">
        <f t="shared" ref="H75:O75" si="26">SUM(H77:H85)</f>
        <v>206.82899999999995</v>
      </c>
      <c r="I75" s="354">
        <f t="shared" si="26"/>
        <v>214.11100000000005</v>
      </c>
      <c r="J75" s="354">
        <f t="shared" si="26"/>
        <v>320.24999999999989</v>
      </c>
      <c r="K75" s="354">
        <f t="shared" si="26"/>
        <v>298.13400000000001</v>
      </c>
      <c r="L75" s="354">
        <f t="shared" si="26"/>
        <v>289.54399999999998</v>
      </c>
      <c r="M75" s="354">
        <f t="shared" si="26"/>
        <v>320.34099999999995</v>
      </c>
      <c r="N75" s="354">
        <f t="shared" si="26"/>
        <v>354.35800000000017</v>
      </c>
      <c r="O75" s="354">
        <f t="shared" si="26"/>
        <v>375.57600000000008</v>
      </c>
      <c r="P75" s="434">
        <f>SUM(P77:P86)</f>
        <v>396.106852</v>
      </c>
      <c r="Q75" s="354">
        <f>SUM(Q77:Q86)</f>
        <v>433.66327480000001</v>
      </c>
      <c r="R75" s="354">
        <f>SUM(R77:R86)</f>
        <v>500.88603199999994</v>
      </c>
      <c r="S75" s="354">
        <f>SUM(S77:S86)</f>
        <v>486.87586800000008</v>
      </c>
      <c r="T75" s="373">
        <f t="shared" ref="T75:AF75" si="27">SUM(T77:T86)</f>
        <v>445.45392800000008</v>
      </c>
      <c r="U75" s="320">
        <f>SUM(U77:U86)</f>
        <v>439.61154320000009</v>
      </c>
      <c r="V75" s="320">
        <f>SUM(V77:V86)</f>
        <v>429.15772000000004</v>
      </c>
      <c r="W75" s="320">
        <f>SUM(W77:W86)</f>
        <v>415.61894400000006</v>
      </c>
      <c r="X75" s="320">
        <f t="shared" si="27"/>
        <v>427.53694400000006</v>
      </c>
      <c r="Y75" s="412">
        <f t="shared" si="27"/>
        <v>427.26494400000001</v>
      </c>
      <c r="Z75" s="412">
        <f t="shared" si="27"/>
        <v>418.03001728324807</v>
      </c>
      <c r="AA75" s="412">
        <f t="shared" si="27"/>
        <v>422.5102225824408</v>
      </c>
      <c r="AB75" s="412">
        <f t="shared" si="27"/>
        <v>427.2815256817579</v>
      </c>
      <c r="AC75" s="327">
        <f t="shared" si="27"/>
        <v>410.47107700000004</v>
      </c>
      <c r="AD75" s="327">
        <f t="shared" si="27"/>
        <v>405.8184041145779</v>
      </c>
      <c r="AE75" s="327">
        <f>SUM(AE77:AE86)</f>
        <v>408.36749628573835</v>
      </c>
      <c r="AF75" s="327">
        <f t="shared" si="27"/>
        <v>407.0560067810282</v>
      </c>
      <c r="AG75" s="325">
        <f>SUM(AG77:AG86)</f>
        <v>409.781722</v>
      </c>
      <c r="AH75" s="339"/>
      <c r="AI75" s="339"/>
    </row>
    <row r="76" spans="1:35" ht="19.399999999999999" customHeight="1">
      <c r="B76" s="426" t="s">
        <v>378</v>
      </c>
      <c r="C76" s="230"/>
      <c r="D76" s="274"/>
      <c r="E76" s="230"/>
      <c r="F76" s="230"/>
      <c r="G76" s="230"/>
      <c r="H76" s="320"/>
      <c r="I76" s="320"/>
      <c r="J76" s="320"/>
      <c r="K76" s="320"/>
      <c r="L76" s="320"/>
      <c r="M76" s="320"/>
      <c r="N76" s="320"/>
      <c r="O76" s="320"/>
      <c r="P76" s="226"/>
      <c r="Q76" s="320"/>
      <c r="R76" s="320"/>
      <c r="S76" s="320"/>
      <c r="T76" s="320"/>
      <c r="U76" s="320"/>
      <c r="V76" s="320"/>
      <c r="W76" s="320"/>
      <c r="X76" s="320"/>
      <c r="Y76" s="328"/>
      <c r="Z76" s="328"/>
      <c r="AA76" s="328"/>
      <c r="AB76" s="328"/>
      <c r="AC76" s="328"/>
      <c r="AD76" s="328"/>
      <c r="AE76" s="328"/>
      <c r="AF76" s="328"/>
      <c r="AG76" s="328"/>
      <c r="AH76" s="339"/>
      <c r="AI76" s="339"/>
    </row>
    <row r="77" spans="1:35">
      <c r="B77" s="363" t="s">
        <v>152</v>
      </c>
      <c r="C77" s="35"/>
      <c r="D77" s="359"/>
      <c r="E77" s="35"/>
      <c r="F77" s="35"/>
      <c r="G77" s="35"/>
      <c r="H77" s="320"/>
      <c r="I77" s="320"/>
      <c r="J77" s="320">
        <f t="shared" ref="J77:AG77" si="28">J14</f>
        <v>64.400000000000006</v>
      </c>
      <c r="K77" s="320">
        <f t="shared" si="28"/>
        <v>23.4</v>
      </c>
      <c r="L77" s="320">
        <f t="shared" si="28"/>
        <v>13.8</v>
      </c>
      <c r="M77" s="320">
        <f t="shared" si="28"/>
        <v>12</v>
      </c>
      <c r="N77" s="320">
        <f t="shared" si="28"/>
        <v>7.5</v>
      </c>
      <c r="O77" s="320">
        <f t="shared" si="28"/>
        <v>10.5</v>
      </c>
      <c r="P77" s="226">
        <f t="shared" si="28"/>
        <v>18</v>
      </c>
      <c r="Q77" s="320">
        <f t="shared" si="28"/>
        <v>15</v>
      </c>
      <c r="R77" s="320">
        <f t="shared" si="28"/>
        <v>11.2</v>
      </c>
      <c r="S77" s="320">
        <f t="shared" si="28"/>
        <v>7.5</v>
      </c>
      <c r="T77" s="320">
        <f t="shared" si="28"/>
        <v>6.2</v>
      </c>
      <c r="U77" s="320">
        <f t="shared" si="28"/>
        <v>0</v>
      </c>
      <c r="V77" s="320">
        <f t="shared" si="28"/>
        <v>0</v>
      </c>
      <c r="W77" s="320">
        <f t="shared" si="28"/>
        <v>0</v>
      </c>
      <c r="X77" s="320">
        <f t="shared" si="28"/>
        <v>0</v>
      </c>
      <c r="Y77" s="328">
        <f t="shared" si="28"/>
        <v>0</v>
      </c>
      <c r="Z77" s="328">
        <f t="shared" si="28"/>
        <v>0</v>
      </c>
      <c r="AA77" s="328">
        <f t="shared" si="28"/>
        <v>0</v>
      </c>
      <c r="AB77" s="328">
        <f t="shared" si="28"/>
        <v>0</v>
      </c>
      <c r="AC77" s="328">
        <f t="shared" si="28"/>
        <v>0</v>
      </c>
      <c r="AD77" s="328">
        <f t="shared" si="28"/>
        <v>0</v>
      </c>
      <c r="AE77" s="328">
        <f t="shared" si="28"/>
        <v>0</v>
      </c>
      <c r="AF77" s="328">
        <f t="shared" si="28"/>
        <v>0</v>
      </c>
      <c r="AG77" s="328">
        <f t="shared" si="28"/>
        <v>0</v>
      </c>
      <c r="AH77" s="320"/>
      <c r="AI77" s="320"/>
    </row>
    <row r="78" spans="1:35">
      <c r="B78" s="363" t="s">
        <v>343</v>
      </c>
      <c r="C78" s="35"/>
      <c r="D78" s="359"/>
      <c r="E78" s="35"/>
      <c r="F78" s="35"/>
      <c r="G78" s="35"/>
      <c r="H78" s="320"/>
      <c r="I78" s="320"/>
      <c r="J78" s="320"/>
      <c r="K78" s="320"/>
      <c r="L78" s="320"/>
      <c r="M78" s="320">
        <f>M30</f>
        <v>9.6666666666666661</v>
      </c>
      <c r="N78" s="320">
        <f t="shared" ref="N78:AC78" si="29">N30</f>
        <v>9.6666666666666661</v>
      </c>
      <c r="O78" s="320">
        <f t="shared" si="29"/>
        <v>9.6666666666666661</v>
      </c>
      <c r="P78" s="226">
        <f t="shared" si="29"/>
        <v>9.6666666666666661</v>
      </c>
      <c r="Q78" s="320">
        <f>Q30</f>
        <v>9.6666666666666661</v>
      </c>
      <c r="R78" s="320">
        <f>R30</f>
        <v>9.6666666666666661</v>
      </c>
      <c r="S78" s="320">
        <f>S30</f>
        <v>9.6666666666666661</v>
      </c>
      <c r="T78" s="320">
        <f t="shared" si="29"/>
        <v>9.6666666666666661</v>
      </c>
      <c r="U78" s="320">
        <f t="shared" si="29"/>
        <v>9.6666666666666661</v>
      </c>
      <c r="V78" s="320">
        <f t="shared" si="29"/>
        <v>9.6666666666666661</v>
      </c>
      <c r="W78" s="320">
        <f t="shared" si="29"/>
        <v>9.6666666666666661</v>
      </c>
      <c r="X78" s="320">
        <f t="shared" si="29"/>
        <v>9.6666666666666661</v>
      </c>
      <c r="Y78" s="328">
        <f t="shared" si="29"/>
        <v>0</v>
      </c>
      <c r="Z78" s="328">
        <f t="shared" si="29"/>
        <v>0</v>
      </c>
      <c r="AA78" s="328">
        <f t="shared" si="29"/>
        <v>0</v>
      </c>
      <c r="AB78" s="328">
        <f t="shared" si="29"/>
        <v>0</v>
      </c>
      <c r="AC78" s="328">
        <f t="shared" si="29"/>
        <v>0</v>
      </c>
      <c r="AD78" s="328">
        <f t="shared" ref="AD78:AG78" si="30">AD30</f>
        <v>0</v>
      </c>
      <c r="AE78" s="328">
        <f t="shared" si="30"/>
        <v>0</v>
      </c>
      <c r="AF78" s="328">
        <f t="shared" si="30"/>
        <v>0</v>
      </c>
      <c r="AG78" s="328">
        <f t="shared" si="30"/>
        <v>0</v>
      </c>
      <c r="AH78" s="320"/>
      <c r="AI78" s="320"/>
    </row>
    <row r="79" spans="1:35">
      <c r="B79" s="363" t="s">
        <v>379</v>
      </c>
      <c r="C79" s="35"/>
      <c r="D79" s="359"/>
      <c r="E79" s="35"/>
      <c r="F79" s="35"/>
      <c r="G79" s="35"/>
      <c r="H79" s="320"/>
      <c r="I79" s="320"/>
      <c r="J79" s="320"/>
      <c r="K79" s="320"/>
      <c r="L79" s="320"/>
      <c r="M79" s="320">
        <f t="shared" ref="M79:AG79" si="31">M16</f>
        <v>12</v>
      </c>
      <c r="N79" s="320">
        <f t="shared" si="31"/>
        <v>12</v>
      </c>
      <c r="O79" s="320">
        <f t="shared" si="31"/>
        <v>12</v>
      </c>
      <c r="P79" s="226">
        <f t="shared" si="31"/>
        <v>12</v>
      </c>
      <c r="Q79" s="320">
        <f t="shared" si="31"/>
        <v>12</v>
      </c>
      <c r="R79" s="320">
        <f t="shared" si="31"/>
        <v>12</v>
      </c>
      <c r="S79" s="320">
        <f t="shared" si="31"/>
        <v>12</v>
      </c>
      <c r="T79" s="320">
        <f t="shared" si="31"/>
        <v>12</v>
      </c>
      <c r="U79" s="320">
        <f t="shared" si="31"/>
        <v>12</v>
      </c>
      <c r="V79" s="320">
        <f t="shared" si="31"/>
        <v>12</v>
      </c>
      <c r="W79" s="320">
        <f t="shared" si="31"/>
        <v>12</v>
      </c>
      <c r="X79" s="320">
        <f t="shared" si="31"/>
        <v>12</v>
      </c>
      <c r="Y79" s="328">
        <f t="shared" si="31"/>
        <v>0</v>
      </c>
      <c r="Z79" s="328">
        <f t="shared" si="31"/>
        <v>0</v>
      </c>
      <c r="AA79" s="328">
        <f t="shared" si="31"/>
        <v>0</v>
      </c>
      <c r="AB79" s="328">
        <f t="shared" si="31"/>
        <v>0</v>
      </c>
      <c r="AC79" s="328">
        <f t="shared" si="31"/>
        <v>0</v>
      </c>
      <c r="AD79" s="328">
        <f t="shared" si="31"/>
        <v>0</v>
      </c>
      <c r="AE79" s="328">
        <f t="shared" si="31"/>
        <v>0</v>
      </c>
      <c r="AF79" s="328">
        <f t="shared" si="31"/>
        <v>0</v>
      </c>
      <c r="AG79" s="328">
        <f t="shared" si="31"/>
        <v>0</v>
      </c>
      <c r="AH79" s="320"/>
      <c r="AI79" s="320"/>
    </row>
    <row r="80" spans="1:35">
      <c r="B80" s="363" t="s">
        <v>380</v>
      </c>
      <c r="C80" s="35"/>
      <c r="D80" s="359"/>
      <c r="E80" s="35"/>
      <c r="F80" s="35"/>
      <c r="G80" s="35"/>
      <c r="H80" s="38">
        <f t="shared" ref="H80:AG80" si="32">H20</f>
        <v>206.82899999999995</v>
      </c>
      <c r="I80" s="38">
        <f t="shared" si="32"/>
        <v>214.11100000000005</v>
      </c>
      <c r="J80" s="38">
        <f t="shared" si="32"/>
        <v>192.44999999999993</v>
      </c>
      <c r="K80" s="38">
        <f t="shared" si="32"/>
        <v>213.93400000000003</v>
      </c>
      <c r="L80" s="38">
        <f t="shared" si="32"/>
        <v>215.54399999999998</v>
      </c>
      <c r="M80" s="38">
        <f t="shared" si="32"/>
        <v>217.77433333333329</v>
      </c>
      <c r="N80" s="38">
        <f t="shared" si="32"/>
        <v>217.59133333333352</v>
      </c>
      <c r="O80" s="38">
        <f t="shared" si="32"/>
        <v>222.7093333333334</v>
      </c>
      <c r="P80" s="318">
        <f t="shared" si="32"/>
        <v>244.61933333333332</v>
      </c>
      <c r="Q80" s="38">
        <f t="shared" si="32"/>
        <v>248.60033333333331</v>
      </c>
      <c r="R80" s="38">
        <f t="shared" si="32"/>
        <v>262.76933333333329</v>
      </c>
      <c r="S80" s="38">
        <f t="shared" si="32"/>
        <v>260.1133333333334</v>
      </c>
      <c r="T80" s="38">
        <f t="shared" si="32"/>
        <v>222.98033333333342</v>
      </c>
      <c r="U80" s="349">
        <f t="shared" si="32"/>
        <v>236.8250000000001</v>
      </c>
      <c r="V80" s="38">
        <f t="shared" si="32"/>
        <v>227.57700000000006</v>
      </c>
      <c r="W80" s="38">
        <f t="shared" si="32"/>
        <v>220.74100000000004</v>
      </c>
      <c r="X80" s="38">
        <f t="shared" si="32"/>
        <v>243.04900000000009</v>
      </c>
      <c r="Y80" s="329">
        <f t="shared" si="32"/>
        <v>258.27700000000004</v>
      </c>
      <c r="Z80" s="329">
        <f t="shared" si="32"/>
        <v>260.82190828324809</v>
      </c>
      <c r="AA80" s="329">
        <f t="shared" si="32"/>
        <v>263.39189258244079</v>
      </c>
      <c r="AB80" s="329">
        <f t="shared" si="32"/>
        <v>265.9871999817579</v>
      </c>
      <c r="AC80" s="329">
        <f t="shared" si="32"/>
        <v>268.60808000000003</v>
      </c>
      <c r="AD80" s="329">
        <f t="shared" si="32"/>
        <v>271.25478461457794</v>
      </c>
      <c r="AE80" s="329">
        <f t="shared" si="32"/>
        <v>273.92756828573835</v>
      </c>
      <c r="AF80" s="329">
        <f t="shared" si="32"/>
        <v>276.62668798102817</v>
      </c>
      <c r="AG80" s="329">
        <f t="shared" si="32"/>
        <v>279.35240319999997</v>
      </c>
      <c r="AH80" s="38"/>
      <c r="AI80" s="38"/>
    </row>
    <row r="81" spans="2:35">
      <c r="B81" s="363" t="s">
        <v>1185</v>
      </c>
      <c r="C81" s="35"/>
      <c r="D81" s="359"/>
      <c r="E81" s="35"/>
      <c r="F81" s="35"/>
      <c r="G81" s="35"/>
      <c r="H81" s="38"/>
      <c r="I81" s="38"/>
      <c r="J81" s="38"/>
      <c r="K81" s="38"/>
      <c r="L81" s="38"/>
      <c r="M81" s="38"/>
      <c r="N81" s="38"/>
      <c r="O81" s="38"/>
      <c r="P81" s="318"/>
      <c r="Q81" s="38"/>
      <c r="R81" s="38"/>
      <c r="S81" s="322">
        <f>'IRA and CHIPS'!E184</f>
        <v>0</v>
      </c>
      <c r="T81" s="322">
        <f>'IRA and CHIPS'!F184</f>
        <v>6.8000000000000005E-2</v>
      </c>
      <c r="U81" s="322">
        <f>'IRA and CHIPS'!G184</f>
        <v>6.8000000000000005E-2</v>
      </c>
      <c r="V81" s="322">
        <f>'IRA and CHIPS'!H184</f>
        <v>6.8000000000000005E-2</v>
      </c>
      <c r="W81" s="322">
        <f>'IRA and CHIPS'!I184</f>
        <v>6.8000000000000005E-2</v>
      </c>
      <c r="X81" s="322">
        <f>'IRA and CHIPS'!J184</f>
        <v>1.363</v>
      </c>
      <c r="Y81" s="344">
        <f>'IRA and CHIPS'!K184</f>
        <v>1.363</v>
      </c>
      <c r="Z81" s="344">
        <f>'IRA and CHIPS'!L184</f>
        <v>1.363</v>
      </c>
      <c r="AA81" s="344">
        <f>'IRA and CHIPS'!M184</f>
        <v>1.363</v>
      </c>
      <c r="AB81" s="344">
        <f>'IRA and CHIPS'!N184</f>
        <v>2.4329999999999998</v>
      </c>
      <c r="AC81" s="344">
        <f>'IRA and CHIPS'!O184</f>
        <v>2.4329999999999998</v>
      </c>
      <c r="AD81" s="344">
        <f>'IRA and CHIPS'!P184</f>
        <v>2.4329999999999998</v>
      </c>
      <c r="AE81" s="344">
        <f>'IRA and CHIPS'!Q184</f>
        <v>2.4329999999999998</v>
      </c>
      <c r="AF81" s="344">
        <f>'IRA and CHIPS'!R184</f>
        <v>2.8029999999999999</v>
      </c>
      <c r="AG81" s="344">
        <f>'IRA and CHIPS'!S184</f>
        <v>2.8029999999999999</v>
      </c>
      <c r="AH81" s="38"/>
      <c r="AI81" s="38"/>
    </row>
    <row r="82" spans="2:35" ht="14.9" customHeight="1">
      <c r="B82" s="404" t="s">
        <v>381</v>
      </c>
      <c r="C82" s="35"/>
      <c r="D82" s="359"/>
      <c r="E82" s="35"/>
      <c r="F82" s="35"/>
      <c r="G82" s="35"/>
      <c r="H82" s="320"/>
      <c r="I82" s="320"/>
      <c r="J82" s="320"/>
      <c r="K82" s="320"/>
      <c r="L82" s="320"/>
      <c r="M82" s="320"/>
      <c r="N82" s="320"/>
      <c r="O82" s="320"/>
      <c r="P82" s="226"/>
      <c r="Q82" s="320"/>
      <c r="R82" s="320"/>
      <c r="S82" s="320"/>
      <c r="T82" s="320"/>
      <c r="U82" s="320"/>
      <c r="V82" s="320"/>
      <c r="W82" s="320"/>
      <c r="X82" s="320"/>
      <c r="Y82" s="328"/>
      <c r="Z82" s="328"/>
      <c r="AA82" s="328"/>
      <c r="AB82" s="328"/>
      <c r="AC82" s="328"/>
      <c r="AD82" s="328"/>
      <c r="AE82" s="328"/>
      <c r="AF82" s="328"/>
      <c r="AG82" s="328"/>
      <c r="AH82" s="320"/>
      <c r="AI82" s="320"/>
    </row>
    <row r="83" spans="2:35" ht="14.9" customHeight="1">
      <c r="B83" s="363" t="s">
        <v>150</v>
      </c>
      <c r="C83" s="35"/>
      <c r="D83" s="359"/>
      <c r="E83" s="35"/>
      <c r="F83" s="35"/>
      <c r="G83" s="35"/>
      <c r="H83" s="320"/>
      <c r="I83" s="320"/>
      <c r="J83" s="320">
        <f t="shared" ref="J83:Y83" si="33">J13</f>
        <v>28.4</v>
      </c>
      <c r="K83" s="320">
        <f t="shared" si="33"/>
        <v>15.8</v>
      </c>
      <c r="L83" s="320">
        <f t="shared" si="33"/>
        <v>15.2</v>
      </c>
      <c r="M83" s="320">
        <f t="shared" si="33"/>
        <v>28.9</v>
      </c>
      <c r="N83" s="320">
        <f t="shared" si="33"/>
        <v>67.599999999999994</v>
      </c>
      <c r="O83" s="320">
        <f t="shared" si="33"/>
        <v>80.7</v>
      </c>
      <c r="P83" s="226">
        <f t="shared" si="33"/>
        <v>87.2</v>
      </c>
      <c r="Q83" s="320">
        <f t="shared" si="33"/>
        <v>72.400000000000006</v>
      </c>
      <c r="R83" s="320">
        <f t="shared" si="33"/>
        <v>85.9</v>
      </c>
      <c r="S83" s="355">
        <f t="shared" si="33"/>
        <v>68.3</v>
      </c>
      <c r="T83" s="355">
        <f t="shared" si="33"/>
        <v>64</v>
      </c>
      <c r="U83" s="355">
        <f t="shared" si="33"/>
        <v>60.929333333333297</v>
      </c>
      <c r="V83" s="355">
        <f t="shared" si="33"/>
        <v>60.929333333333297</v>
      </c>
      <c r="W83" s="355">
        <f t="shared" si="33"/>
        <v>60.929333333333297</v>
      </c>
      <c r="X83" s="355">
        <f t="shared" si="33"/>
        <v>54.244333333333302</v>
      </c>
      <c r="Y83" s="355">
        <f t="shared" si="33"/>
        <v>50.911000000000001</v>
      </c>
      <c r="Z83" s="328">
        <f>Z27+Z31+'ARP Quarterly'!P28</f>
        <v>44.428388999999996</v>
      </c>
      <c r="AA83" s="328">
        <f>AA27+AA31+'ARP Quarterly'!Q28</f>
        <v>46.338610000000003</v>
      </c>
      <c r="AB83" s="328">
        <f>AB27+AB31+'ARP Quarterly'!R28</f>
        <v>47.279744500000007</v>
      </c>
      <c r="AC83" s="328">
        <f>AC27+AC31+'ARP Quarterly'!S28</f>
        <v>46.283419000000009</v>
      </c>
      <c r="AD83" s="328">
        <f>AD27+AD31+'ARP Quarterly'!T28</f>
        <v>45.578489500000011</v>
      </c>
      <c r="AE83" s="328">
        <f>AE27+AE31+'ARP Quarterly'!U28</f>
        <v>45.454798000000011</v>
      </c>
      <c r="AF83" s="328">
        <f>AF27+AF31+'ARP Quarterly'!V28</f>
        <v>45.360580000000013</v>
      </c>
      <c r="AG83" s="325">
        <f>AF83</f>
        <v>45.360580000000013</v>
      </c>
      <c r="AH83" s="342"/>
      <c r="AI83" s="320"/>
    </row>
    <row r="84" spans="2:35">
      <c r="B84" s="363" t="s">
        <v>149</v>
      </c>
      <c r="C84" s="38"/>
      <c r="D84" s="430"/>
      <c r="E84" s="38"/>
      <c r="F84" s="38"/>
      <c r="G84" s="38"/>
      <c r="H84" s="320"/>
      <c r="I84" s="320"/>
      <c r="J84" s="320">
        <v>35</v>
      </c>
      <c r="K84" s="320">
        <v>45</v>
      </c>
      <c r="L84" s="320">
        <v>45</v>
      </c>
      <c r="M84" s="320">
        <v>40</v>
      </c>
      <c r="N84" s="320">
        <v>40</v>
      </c>
      <c r="O84" s="320">
        <v>40</v>
      </c>
      <c r="P84" s="226">
        <v>40</v>
      </c>
      <c r="Q84" s="320">
        <v>50</v>
      </c>
      <c r="R84" s="320">
        <v>50</v>
      </c>
      <c r="S84" s="320">
        <v>50</v>
      </c>
      <c r="T84" s="320">
        <v>50</v>
      </c>
      <c r="U84" s="350">
        <v>40</v>
      </c>
      <c r="V84" s="320">
        <v>30</v>
      </c>
      <c r="W84" s="320">
        <v>20</v>
      </c>
      <c r="X84" s="320">
        <v>15</v>
      </c>
      <c r="Y84" s="328">
        <v>10</v>
      </c>
      <c r="Z84" s="328">
        <v>0</v>
      </c>
      <c r="AA84" s="328">
        <v>0</v>
      </c>
      <c r="AB84" s="328">
        <v>0</v>
      </c>
      <c r="AC84" s="328">
        <v>0</v>
      </c>
      <c r="AD84" s="328">
        <v>0</v>
      </c>
      <c r="AE84" s="328">
        <v>0</v>
      </c>
      <c r="AF84" s="328">
        <v>0</v>
      </c>
      <c r="AG84" s="328">
        <v>0</v>
      </c>
      <c r="AH84" s="94"/>
    </row>
    <row r="85" spans="2:35" ht="28.5" customHeight="1">
      <c r="B85" s="376" t="s">
        <v>382</v>
      </c>
      <c r="C85" s="389"/>
      <c r="D85" s="359"/>
      <c r="E85" s="35"/>
      <c r="F85" s="35"/>
      <c r="G85" s="35"/>
      <c r="H85" s="320"/>
      <c r="I85" s="320"/>
      <c r="J85" s="320"/>
      <c r="K85" s="320"/>
      <c r="L85" s="320"/>
      <c r="M85" s="320"/>
      <c r="N85" s="320">
        <f>'ARP Quarterly'!D47</f>
        <v>0</v>
      </c>
      <c r="O85" s="320">
        <f>'ARP Quarterly'!E47</f>
        <v>0</v>
      </c>
      <c r="P85" s="226">
        <f>'ARP Quarterly'!F47</f>
        <v>34.620851999999999</v>
      </c>
      <c r="Q85" s="320">
        <f>'ARP Quarterly'!G47</f>
        <v>50.996274799999995</v>
      </c>
      <c r="R85" s="320">
        <f>'ARP Quarterly'!H47</f>
        <v>69.350031999999999</v>
      </c>
      <c r="S85" s="320">
        <f>'ARP Quarterly'!I47</f>
        <v>79.295867999999999</v>
      </c>
      <c r="T85" s="320">
        <f>'ARP Quarterly'!J47</f>
        <v>80.538927999999999</v>
      </c>
      <c r="U85" s="320">
        <f>'ARP Quarterly'!K47</f>
        <v>80.122543199999996</v>
      </c>
      <c r="V85" s="320">
        <f>'ARP Quarterly'!L47</f>
        <v>88.916719999999998</v>
      </c>
      <c r="W85" s="321">
        <f>'ARP Quarterly'!M47</f>
        <v>92.213943999999998</v>
      </c>
      <c r="X85" s="321">
        <f>'ARP Quarterly'!N47</f>
        <v>92.213943999999998</v>
      </c>
      <c r="Y85" s="415">
        <f>'ARP Quarterly'!O47</f>
        <v>94.213943999999998</v>
      </c>
      <c r="Z85" s="415">
        <f>'ARP Quarterly'!P47</f>
        <v>98.916719999999998</v>
      </c>
      <c r="AA85" s="415">
        <f>'ARP Quarterly'!Q47</f>
        <v>98.916719999999998</v>
      </c>
      <c r="AB85" s="415">
        <f>'ARP Quarterly'!R47</f>
        <v>99.081581199999988</v>
      </c>
      <c r="AC85" s="328">
        <f>'ARP Quarterly'!S47</f>
        <v>93.146578000000005</v>
      </c>
      <c r="AD85" s="328">
        <f>'ARP Quarterly'!T47</f>
        <v>86.552129999999991</v>
      </c>
      <c r="AE85" s="328">
        <f>'ARP Quarterly'!U47</f>
        <v>86.552129999999991</v>
      </c>
      <c r="AF85" s="328">
        <f>'ARP Quarterly'!V47</f>
        <v>82.265738799999994</v>
      </c>
      <c r="AG85" s="325">
        <f>AF85</f>
        <v>82.265738799999994</v>
      </c>
      <c r="AH85" s="402"/>
    </row>
    <row r="86" spans="2:35" ht="55.4" customHeight="1">
      <c r="B86" s="383" t="s">
        <v>829</v>
      </c>
      <c r="C86" s="384"/>
      <c r="D86" s="357"/>
      <c r="E86" s="358"/>
      <c r="F86" s="358"/>
      <c r="G86" s="358"/>
      <c r="H86" s="358"/>
      <c r="I86" s="384"/>
      <c r="J86" s="384"/>
      <c r="K86" s="384"/>
      <c r="L86" s="384"/>
      <c r="M86" s="384"/>
      <c r="N86" s="384"/>
      <c r="O86" s="384"/>
      <c r="P86" s="384">
        <v>-50</v>
      </c>
      <c r="Q86" s="384">
        <v>-25</v>
      </c>
      <c r="R86" s="384"/>
      <c r="S86" s="384"/>
      <c r="T86" s="384"/>
      <c r="U86" s="431"/>
      <c r="V86" s="358"/>
      <c r="W86" s="384"/>
      <c r="X86" s="384"/>
      <c r="Y86" s="384">
        <v>12.5</v>
      </c>
      <c r="Z86" s="384">
        <v>12.5</v>
      </c>
      <c r="AA86" s="384">
        <v>12.5</v>
      </c>
      <c r="AB86" s="384">
        <v>12.5</v>
      </c>
      <c r="AC86" s="431"/>
      <c r="AD86" s="240"/>
      <c r="AE86" s="240"/>
      <c r="AF86" s="240"/>
      <c r="AG86" s="240"/>
    </row>
    <row r="87" spans="2:35">
      <c r="B87" s="283"/>
      <c r="C87" s="240"/>
      <c r="D87" s="240"/>
      <c r="E87" s="240"/>
      <c r="F87" s="240"/>
      <c r="G87" s="240"/>
      <c r="H87" s="240"/>
      <c r="I87" s="240"/>
      <c r="J87" s="240"/>
      <c r="K87" s="240"/>
      <c r="L87" s="240"/>
      <c r="M87" s="240"/>
      <c r="Z87" s="240"/>
      <c r="AA87" s="240"/>
      <c r="AB87" s="240"/>
      <c r="AC87" s="240"/>
      <c r="AD87" s="240"/>
      <c r="AE87" s="240"/>
      <c r="AF87" s="240"/>
      <c r="AG87" s="240"/>
    </row>
    <row r="88" spans="2:35">
      <c r="B88" s="283"/>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row>
    <row r="89" spans="2:35" ht="14.5" customHeight="1">
      <c r="B89" s="283"/>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row>
    <row r="90" spans="2:35">
      <c r="B90" s="1297" t="s">
        <v>134</v>
      </c>
      <c r="C90" s="1297"/>
      <c r="D90" s="1297"/>
      <c r="E90" s="1297"/>
      <c r="F90" s="1297"/>
      <c r="G90" s="1297"/>
      <c r="H90" s="1297"/>
      <c r="I90" s="1297"/>
      <c r="J90" s="1297"/>
      <c r="K90" s="1297"/>
      <c r="L90" s="1297"/>
      <c r="M90" s="1297"/>
      <c r="N90" s="1297"/>
      <c r="O90" s="1297"/>
      <c r="P90" s="1297"/>
      <c r="Q90" s="1297"/>
      <c r="R90" s="1297"/>
      <c r="S90" s="1297"/>
      <c r="T90" s="1297"/>
      <c r="U90" s="1297"/>
      <c r="V90" s="1297"/>
      <c r="W90" s="1297"/>
      <c r="X90" s="1297"/>
      <c r="Y90" s="1297"/>
      <c r="Z90" s="212"/>
      <c r="AA90" s="212"/>
      <c r="AB90" s="212"/>
      <c r="AC90" s="212"/>
      <c r="AD90" s="212"/>
      <c r="AE90" s="212"/>
      <c r="AF90" s="212"/>
      <c r="AG90" s="212"/>
      <c r="AH90" s="200"/>
      <c r="AI90" s="200"/>
    </row>
    <row r="91" spans="2:35" ht="19.399999999999999" customHeight="1">
      <c r="B91" s="1298" t="s">
        <v>1835</v>
      </c>
      <c r="C91" s="1298"/>
      <c r="D91" s="1298"/>
      <c r="E91" s="1298"/>
      <c r="F91" s="1298"/>
      <c r="G91" s="1298"/>
      <c r="H91" s="1298"/>
      <c r="I91" s="1298"/>
      <c r="J91" s="1298"/>
      <c r="K91" s="1298"/>
      <c r="L91" s="1298"/>
      <c r="M91" s="1298"/>
      <c r="N91" s="1298"/>
      <c r="O91" s="1298"/>
      <c r="P91" s="1298"/>
      <c r="Q91" s="1298"/>
      <c r="R91" s="1298"/>
      <c r="S91" s="1298"/>
      <c r="T91" s="1298"/>
      <c r="U91" s="1298"/>
      <c r="V91" s="1298"/>
      <c r="W91" s="1298"/>
      <c r="X91" s="1298"/>
      <c r="Y91" s="1298"/>
      <c r="Z91" s="1298"/>
      <c r="AA91" s="1298"/>
      <c r="AB91" s="1298"/>
      <c r="AC91" s="1298"/>
      <c r="AD91" s="213"/>
      <c r="AE91" s="213"/>
      <c r="AF91" s="213"/>
      <c r="AG91" s="213"/>
      <c r="AH91" s="213"/>
      <c r="AI91" s="213"/>
    </row>
    <row r="92" spans="2:35" ht="11.9" customHeight="1">
      <c r="B92" s="247"/>
      <c r="C92" s="247"/>
      <c r="D92" s="247"/>
      <c r="E92" s="247"/>
      <c r="F92" s="247"/>
      <c r="G92" s="247"/>
      <c r="H92" s="247"/>
      <c r="I92" s="247"/>
      <c r="J92" s="247"/>
      <c r="K92" s="247"/>
      <c r="L92" s="247"/>
      <c r="M92" s="247"/>
      <c r="V92" s="234"/>
      <c r="W92" s="234"/>
      <c r="X92" s="234"/>
      <c r="Y92" s="234"/>
      <c r="Z92" s="234"/>
      <c r="AA92" s="234"/>
      <c r="AB92" s="234"/>
      <c r="AC92" s="234"/>
      <c r="AD92" s="234"/>
      <c r="AE92" s="234"/>
      <c r="AF92" s="234"/>
      <c r="AG92" s="234"/>
      <c r="AH92" s="234"/>
      <c r="AI92" s="234"/>
    </row>
    <row r="93" spans="2:35" ht="14.9" customHeight="1">
      <c r="B93" s="1302" t="s">
        <v>279</v>
      </c>
      <c r="C93" s="1303"/>
      <c r="D93" s="1306" t="s">
        <v>280</v>
      </c>
      <c r="E93" s="1319"/>
      <c r="F93" s="1319"/>
      <c r="G93" s="1319"/>
      <c r="H93" s="1319"/>
      <c r="I93" s="1319"/>
      <c r="J93" s="1319"/>
      <c r="K93" s="1319"/>
      <c r="L93" s="1319"/>
      <c r="M93" s="1319"/>
      <c r="N93" s="1319"/>
      <c r="O93" s="1319"/>
      <c r="P93" s="1319"/>
      <c r="Q93" s="1319"/>
      <c r="R93" s="1319"/>
      <c r="S93" s="1319"/>
      <c r="T93" s="1319"/>
      <c r="U93" s="1320"/>
      <c r="V93" s="1305"/>
      <c r="W93" s="1340" t="s">
        <v>281</v>
      </c>
      <c r="X93" s="1341"/>
      <c r="Y93" s="1332"/>
      <c r="Z93" s="1332"/>
      <c r="AA93" s="1332"/>
      <c r="AB93" s="1332"/>
      <c r="AC93" s="1332"/>
      <c r="AD93" s="1332"/>
      <c r="AE93" s="1332"/>
      <c r="AF93" s="1332"/>
      <c r="AG93" s="1332"/>
      <c r="AH93" s="200"/>
      <c r="AI93" s="200"/>
    </row>
    <row r="94" spans="2:35">
      <c r="B94" s="1304"/>
      <c r="C94" s="1305"/>
      <c r="D94" s="220">
        <v>2018</v>
      </c>
      <c r="E94" s="1311">
        <v>2019</v>
      </c>
      <c r="F94" s="1312"/>
      <c r="G94" s="1312"/>
      <c r="H94" s="1313"/>
      <c r="I94" s="1311">
        <v>2020</v>
      </c>
      <c r="J94" s="1312"/>
      <c r="K94" s="1312"/>
      <c r="L94" s="1312"/>
      <c r="M94" s="1311">
        <v>2021</v>
      </c>
      <c r="N94" s="1312"/>
      <c r="O94" s="1312"/>
      <c r="P94" s="1312"/>
      <c r="Q94" s="1311">
        <v>2022</v>
      </c>
      <c r="R94" s="1333"/>
      <c r="S94" s="1333"/>
      <c r="T94" s="1333"/>
      <c r="U94" s="239"/>
      <c r="V94" s="288">
        <v>2023</v>
      </c>
      <c r="W94" s="289"/>
      <c r="X94" s="260"/>
      <c r="Y94" s="1309">
        <v>2024</v>
      </c>
      <c r="Z94" s="1321"/>
      <c r="AA94" s="1321"/>
      <c r="AB94" s="1309"/>
      <c r="AC94" s="1308">
        <v>2025</v>
      </c>
      <c r="AD94" s="1309"/>
      <c r="AE94" s="1309"/>
      <c r="AF94" s="1310"/>
      <c r="AG94" s="340">
        <v>2026</v>
      </c>
      <c r="AH94" s="234"/>
      <c r="AI94" s="234"/>
    </row>
    <row r="95" spans="2:35">
      <c r="B95" s="1304"/>
      <c r="C95" s="1305"/>
      <c r="D95" s="215"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5" t="s">
        <v>282</v>
      </c>
      <c r="U95" s="214" t="s">
        <v>283</v>
      </c>
      <c r="V95" s="215" t="s">
        <v>284</v>
      </c>
      <c r="W95" s="326" t="s">
        <v>238</v>
      </c>
      <c r="X95" s="432" t="s">
        <v>282</v>
      </c>
      <c r="Y95" s="326" t="s">
        <v>283</v>
      </c>
      <c r="Z95" s="333" t="s">
        <v>284</v>
      </c>
      <c r="AA95" s="326" t="s">
        <v>238</v>
      </c>
      <c r="AB95" s="326" t="s">
        <v>282</v>
      </c>
      <c r="AC95" s="433" t="s">
        <v>283</v>
      </c>
      <c r="AD95" s="333" t="s">
        <v>284</v>
      </c>
      <c r="AE95" s="326" t="s">
        <v>238</v>
      </c>
      <c r="AF95" s="432" t="s">
        <v>282</v>
      </c>
      <c r="AG95" s="343" t="s">
        <v>283</v>
      </c>
      <c r="AH95" s="234"/>
      <c r="AI95" s="234"/>
    </row>
    <row r="96" spans="2:35" ht="14.9" customHeight="1">
      <c r="B96" s="429" t="s">
        <v>383</v>
      </c>
      <c r="C96" s="369" t="s">
        <v>384</v>
      </c>
      <c r="D96" s="370"/>
      <c r="E96" s="371"/>
      <c r="F96" s="371"/>
      <c r="G96" s="371"/>
      <c r="H96" s="323">
        <f>'Haver Pivoted'!GS41</f>
        <v>72.156000000000006</v>
      </c>
      <c r="I96" s="323">
        <f>'Haver Pivoted'!GT41</f>
        <v>75.245999999999995</v>
      </c>
      <c r="J96" s="323">
        <f>'Haver Pivoted'!GU41</f>
        <v>75.986000000000004</v>
      </c>
      <c r="K96" s="323">
        <f>'Haver Pivoted'!GV41</f>
        <v>79.650999999999996</v>
      </c>
      <c r="L96" s="323">
        <f>'Haver Pivoted'!GW41</f>
        <v>75.400999999999996</v>
      </c>
      <c r="M96" s="323">
        <f>'Haver Pivoted'!GX41</f>
        <v>73.034999999999997</v>
      </c>
      <c r="N96" s="323">
        <f>'Haver Pivoted'!GY41</f>
        <v>75.13</v>
      </c>
      <c r="O96" s="323">
        <f>'Haver Pivoted'!GZ41</f>
        <v>70.191999999999993</v>
      </c>
      <c r="P96" s="323">
        <f>'Haver Pivoted'!HA41</f>
        <v>72.266999999999996</v>
      </c>
      <c r="Q96" s="323">
        <f>'Haver Pivoted'!HB41</f>
        <v>74.974000000000004</v>
      </c>
      <c r="R96" s="323">
        <f t="shared" ref="R96:S96" si="34">AVERAGE($H$96:$N$96)</f>
        <v>75.229285714285723</v>
      </c>
      <c r="S96" s="323">
        <f t="shared" si="34"/>
        <v>75.229285714285723</v>
      </c>
      <c r="T96" s="323">
        <f t="shared" ref="T96:AC96" si="35">AVERAGE($H$96:$N$96)+T97</f>
        <v>76.048285714285726</v>
      </c>
      <c r="U96" s="323">
        <f t="shared" si="35"/>
        <v>76.048285714285726</v>
      </c>
      <c r="V96" s="323">
        <f t="shared" si="35"/>
        <v>76.048285714285726</v>
      </c>
      <c r="W96" s="323">
        <f t="shared" si="35"/>
        <v>76.048285714285726</v>
      </c>
      <c r="X96" s="361">
        <f t="shared" si="35"/>
        <v>77.707285714285717</v>
      </c>
      <c r="Y96" s="361">
        <f t="shared" si="35"/>
        <v>77.707285714285717</v>
      </c>
      <c r="Z96" s="361">
        <f t="shared" si="35"/>
        <v>77.707285714285717</v>
      </c>
      <c r="AA96" s="361">
        <f t="shared" si="35"/>
        <v>77.707285714285717</v>
      </c>
      <c r="AB96" s="361">
        <f t="shared" si="35"/>
        <v>79.301285714285726</v>
      </c>
      <c r="AC96" s="361">
        <f t="shared" si="35"/>
        <v>79.301285714285726</v>
      </c>
      <c r="AD96" s="361">
        <f>AVERAGE($H$96:$N$96)+AD97</f>
        <v>75.229285714285723</v>
      </c>
      <c r="AE96" s="361">
        <f t="shared" ref="AE96:AG96" si="36">AVERAGE($H$96:$N$96)+AE97</f>
        <v>75.229285714285723</v>
      </c>
      <c r="AF96" s="361">
        <f t="shared" si="36"/>
        <v>75.229285714285723</v>
      </c>
      <c r="AG96" s="361">
        <f t="shared" si="36"/>
        <v>75.229285714285723</v>
      </c>
      <c r="AH96" s="228"/>
      <c r="AI96" s="228"/>
    </row>
    <row r="97" spans="2:33">
      <c r="B97" s="319" t="s">
        <v>1184</v>
      </c>
      <c r="C97" s="57"/>
      <c r="D97" s="319"/>
      <c r="E97" s="57"/>
      <c r="F97" s="57"/>
      <c r="G97" s="57"/>
      <c r="H97" s="57"/>
      <c r="I97" s="57"/>
      <c r="J97" s="57"/>
      <c r="K97" s="57"/>
      <c r="L97" s="57"/>
      <c r="M97" s="57"/>
      <c r="N97" s="57"/>
      <c r="O97" s="57"/>
      <c r="P97" s="57"/>
      <c r="Q97" s="57"/>
      <c r="R97" s="57"/>
      <c r="S97" s="324">
        <f>'IRA and CHIPS'!E185</f>
        <v>0</v>
      </c>
      <c r="T97" s="324">
        <f>'IRA and CHIPS'!F185</f>
        <v>0.81899999999999995</v>
      </c>
      <c r="U97" s="324">
        <f>'IRA and CHIPS'!G185</f>
        <v>0.81899999999999995</v>
      </c>
      <c r="V97" s="324">
        <f>'IRA and CHIPS'!H185</f>
        <v>0.81899999999999995</v>
      </c>
      <c r="W97" s="324">
        <f>'IRA and CHIPS'!I185</f>
        <v>0.81899999999999995</v>
      </c>
      <c r="X97" s="360">
        <f>'IRA and CHIPS'!J185</f>
        <v>2.4780000000000002</v>
      </c>
      <c r="Y97" s="360">
        <f>'IRA and CHIPS'!K185</f>
        <v>2.4780000000000002</v>
      </c>
      <c r="Z97" s="360">
        <f>'IRA and CHIPS'!L185</f>
        <v>2.4780000000000002</v>
      </c>
      <c r="AA97" s="360">
        <f>'IRA and CHIPS'!M185</f>
        <v>2.4780000000000002</v>
      </c>
      <c r="AB97" s="360">
        <f>'IRA and CHIPS'!N185</f>
        <v>4.0720000000000001</v>
      </c>
      <c r="AC97" s="360">
        <f>'IRA and CHIPS'!O185</f>
        <v>4.0720000000000001</v>
      </c>
      <c r="AD97" s="360">
        <f>'IRA and CHIPS'!T185</f>
        <v>0</v>
      </c>
      <c r="AE97" s="360">
        <v>0</v>
      </c>
      <c r="AF97" s="360">
        <v>0</v>
      </c>
      <c r="AG97" s="362">
        <v>0</v>
      </c>
    </row>
    <row r="98" spans="2:33" ht="18.75" customHeight="1"/>
    <row r="99" spans="2:33" ht="21.75" customHeight="1"/>
  </sheetData>
  <mergeCells count="42">
    <mergeCell ref="AC94:AF94"/>
    <mergeCell ref="W93:AG93"/>
    <mergeCell ref="D93:V93"/>
    <mergeCell ref="AH6:AH8"/>
    <mergeCell ref="AI6:AI8"/>
    <mergeCell ref="E7:H7"/>
    <mergeCell ref="Y7:AB7"/>
    <mergeCell ref="M7:P7"/>
    <mergeCell ref="Q7:T7"/>
    <mergeCell ref="D6:V6"/>
    <mergeCell ref="W6:AG6"/>
    <mergeCell ref="AC7:AF7"/>
    <mergeCell ref="AI25:AJ25"/>
    <mergeCell ref="AI29:AJ30"/>
    <mergeCell ref="AI35:AJ35"/>
    <mergeCell ref="B93:C95"/>
    <mergeCell ref="I94:L94"/>
    <mergeCell ref="E94:H94"/>
    <mergeCell ref="Y94:AB94"/>
    <mergeCell ref="B1:Y1"/>
    <mergeCell ref="B6:C8"/>
    <mergeCell ref="I7:L7"/>
    <mergeCell ref="M94:P94"/>
    <mergeCell ref="Q94:T94"/>
    <mergeCell ref="B2:AC4"/>
    <mergeCell ref="B24:AC24"/>
    <mergeCell ref="Q73:R73"/>
    <mergeCell ref="Q48:AL48"/>
    <mergeCell ref="Q49:S49"/>
    <mergeCell ref="T49:Y49"/>
    <mergeCell ref="AH49:AK49"/>
    <mergeCell ref="A66:A67"/>
    <mergeCell ref="B91:AC91"/>
    <mergeCell ref="Y73:AB73"/>
    <mergeCell ref="B72:C74"/>
    <mergeCell ref="I73:L73"/>
    <mergeCell ref="B90:Y90"/>
    <mergeCell ref="E73:H73"/>
    <mergeCell ref="M73:P73"/>
    <mergeCell ref="AC73:AF73"/>
    <mergeCell ref="D72:V72"/>
    <mergeCell ref="W72:AG72"/>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topLeftCell="E9" zoomScale="93" zoomScaleNormal="110" workbookViewId="0">
      <selection activeCell="Z9" sqref="Z9"/>
    </sheetView>
  </sheetViews>
  <sheetFormatPr defaultColWidth="10.81640625" defaultRowHeight="14.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68" ht="20.25" customHeight="1">
      <c r="B1" s="1297" t="s">
        <v>385</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c r="AD1" s="212"/>
      <c r="AE1" s="212"/>
      <c r="AF1" s="212"/>
      <c r="AG1" s="212"/>
    </row>
    <row r="2" spans="2:68" ht="14.25" customHeight="1">
      <c r="B2" s="1349" t="s">
        <v>386</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c r="AD2" s="247"/>
      <c r="AE2" s="247"/>
      <c r="AF2" s="247"/>
      <c r="AG2" s="247"/>
    </row>
    <row r="3" spans="2:68" ht="9" customHeight="1">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c r="AD3" s="247"/>
      <c r="AE3" s="247"/>
      <c r="AF3" s="247"/>
      <c r="AG3" s="247"/>
    </row>
    <row r="4" spans="2:68" ht="27" customHeight="1">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c r="AD4" s="247"/>
      <c r="AE4" s="247"/>
      <c r="AF4" s="247"/>
      <c r="AG4" s="247"/>
      <c r="AI4" s="486"/>
      <c r="AJ4" s="486"/>
      <c r="AK4" s="486"/>
      <c r="AL4" s="486"/>
      <c r="AM4" s="486"/>
      <c r="AN4" s="486"/>
      <c r="AO4" s="486"/>
      <c r="AP4" s="486"/>
      <c r="AQ4" s="486"/>
    </row>
    <row r="5" spans="2:68">
      <c r="B5" s="283"/>
      <c r="AC5" s="223"/>
      <c r="AD5" s="223"/>
      <c r="AE5" s="223"/>
      <c r="AF5" s="223"/>
      <c r="AG5" s="223"/>
      <c r="AH5" s="223"/>
      <c r="AI5" s="223"/>
      <c r="AJ5" s="223"/>
    </row>
    <row r="6" spans="2:68" ht="14.9" customHeight="1">
      <c r="B6" s="1353" t="s">
        <v>279</v>
      </c>
      <c r="C6" s="1354"/>
      <c r="D6" s="1361" t="s">
        <v>280</v>
      </c>
      <c r="E6" s="1362"/>
      <c r="F6" s="1362"/>
      <c r="G6" s="1362"/>
      <c r="H6" s="1362"/>
      <c r="I6" s="1362"/>
      <c r="J6" s="1362"/>
      <c r="K6" s="1362"/>
      <c r="L6" s="1362"/>
      <c r="M6" s="1362"/>
      <c r="N6" s="1362"/>
      <c r="O6" s="1362"/>
      <c r="P6" s="1362"/>
      <c r="Q6" s="1362"/>
      <c r="R6" s="1362"/>
      <c r="S6" s="1362"/>
      <c r="T6" s="1362"/>
      <c r="U6" s="1363"/>
      <c r="V6" s="1356"/>
      <c r="W6" s="1340" t="s">
        <v>281</v>
      </c>
      <c r="X6" s="1341"/>
      <c r="Y6" s="1332"/>
      <c r="Z6" s="1332"/>
      <c r="AA6" s="1332"/>
      <c r="AB6" s="1332"/>
      <c r="AC6" s="1332"/>
      <c r="AD6" s="1332"/>
      <c r="AE6" s="1332"/>
      <c r="AF6" s="1332"/>
      <c r="AG6" s="1332"/>
    </row>
    <row r="7" spans="2:68" ht="14.9" customHeight="1">
      <c r="B7" s="1355"/>
      <c r="C7" s="1356"/>
      <c r="D7" s="437">
        <v>2018</v>
      </c>
      <c r="E7" s="1357">
        <v>2019</v>
      </c>
      <c r="F7" s="1358"/>
      <c r="G7" s="1358"/>
      <c r="H7" s="1359"/>
      <c r="I7" s="1357">
        <v>2020</v>
      </c>
      <c r="J7" s="1358"/>
      <c r="K7" s="1358"/>
      <c r="L7" s="1358"/>
      <c r="M7" s="1357">
        <v>2021</v>
      </c>
      <c r="N7" s="1360"/>
      <c r="O7" s="1360"/>
      <c r="P7" s="1360"/>
      <c r="Q7" s="1357">
        <v>2022</v>
      </c>
      <c r="R7" s="1360"/>
      <c r="S7" s="1360"/>
      <c r="T7" s="1359"/>
      <c r="U7" s="239"/>
      <c r="V7" s="288">
        <v>2023</v>
      </c>
      <c r="W7" s="289"/>
      <c r="X7" s="260"/>
      <c r="Y7" s="1309">
        <v>2024</v>
      </c>
      <c r="Z7" s="1321"/>
      <c r="AA7" s="1321"/>
      <c r="AB7" s="1310"/>
      <c r="AC7" s="1308">
        <v>2025</v>
      </c>
      <c r="AD7" s="1309"/>
      <c r="AE7" s="1309"/>
      <c r="AF7" s="1309"/>
      <c r="AG7" s="251">
        <v>2026</v>
      </c>
    </row>
    <row r="8" spans="2:68">
      <c r="B8" s="1355"/>
      <c r="C8" s="1356"/>
      <c r="D8" s="472" t="s">
        <v>282</v>
      </c>
      <c r="E8" s="472" t="s">
        <v>283</v>
      </c>
      <c r="F8" s="457" t="s">
        <v>284</v>
      </c>
      <c r="G8" s="457" t="s">
        <v>238</v>
      </c>
      <c r="H8" s="473" t="s">
        <v>282</v>
      </c>
      <c r="I8" s="457" t="s">
        <v>283</v>
      </c>
      <c r="J8" s="457" t="s">
        <v>284</v>
      </c>
      <c r="K8" s="457" t="s">
        <v>238</v>
      </c>
      <c r="L8" s="457" t="s">
        <v>282</v>
      </c>
      <c r="M8" s="1219" t="s">
        <v>283</v>
      </c>
      <c r="N8" s="1220" t="s">
        <v>284</v>
      </c>
      <c r="O8" s="1220" t="s">
        <v>238</v>
      </c>
      <c r="P8" s="1220" t="s">
        <v>282</v>
      </c>
      <c r="Q8" s="1219" t="s">
        <v>283</v>
      </c>
      <c r="R8" s="1220" t="s">
        <v>284</v>
      </c>
      <c r="S8" s="1220" t="s">
        <v>238</v>
      </c>
      <c r="T8" s="1221" t="s">
        <v>282</v>
      </c>
      <c r="U8" s="214" t="s">
        <v>283</v>
      </c>
      <c r="V8" s="215" t="s">
        <v>284</v>
      </c>
      <c r="W8" s="326" t="s">
        <v>238</v>
      </c>
      <c r="X8" s="432" t="s">
        <v>282</v>
      </c>
      <c r="Y8" s="270" t="s">
        <v>283</v>
      </c>
      <c r="Z8" s="267" t="s">
        <v>284</v>
      </c>
      <c r="AA8" s="270" t="s">
        <v>238</v>
      </c>
      <c r="AB8" s="270" t="s">
        <v>282</v>
      </c>
      <c r="AC8" s="433" t="s">
        <v>283</v>
      </c>
      <c r="AD8" s="333" t="s">
        <v>284</v>
      </c>
      <c r="AE8" s="270" t="s">
        <v>238</v>
      </c>
      <c r="AF8" s="270" t="s">
        <v>282</v>
      </c>
      <c r="AG8" s="272" t="s">
        <v>283</v>
      </c>
    </row>
    <row r="9" spans="2:68" ht="18" customHeight="1">
      <c r="B9" s="466" t="s">
        <v>1953</v>
      </c>
      <c r="C9" s="467"/>
      <c r="D9" s="468"/>
      <c r="E9" s="468"/>
      <c r="F9" s="468"/>
      <c r="G9" s="468"/>
      <c r="H9" s="468"/>
      <c r="I9" s="468"/>
      <c r="J9" s="468"/>
      <c r="K9" s="468"/>
      <c r="L9" s="468"/>
      <c r="M9" s="1217">
        <v>1609.9</v>
      </c>
      <c r="N9" s="1217">
        <v>1588.5</v>
      </c>
      <c r="O9" s="1217">
        <v>1576.4</v>
      </c>
      <c r="P9" s="1217">
        <v>1602.5</v>
      </c>
      <c r="Q9" s="1217">
        <v>1601.7</v>
      </c>
      <c r="R9" s="1217">
        <v>1612.3</v>
      </c>
      <c r="S9" s="1217">
        <v>1636.3</v>
      </c>
      <c r="T9" s="1217">
        <v>1691.8</v>
      </c>
      <c r="U9" s="1217">
        <v>1730.6</v>
      </c>
      <c r="V9" s="1217">
        <v>1744.3</v>
      </c>
      <c r="W9" s="1217">
        <v>1791.9</v>
      </c>
      <c r="X9" s="1217">
        <v>1820</v>
      </c>
      <c r="Y9" s="1217">
        <v>1837.3</v>
      </c>
      <c r="Z9" s="1218">
        <v>1825.6</v>
      </c>
      <c r="AA9" s="1218">
        <v>1824.6</v>
      </c>
      <c r="AB9" s="1218">
        <v>1842.6</v>
      </c>
      <c r="AC9" s="1218">
        <v>1864.3</v>
      </c>
      <c r="AD9" s="1218">
        <v>1886.9</v>
      </c>
      <c r="AE9" s="1218">
        <v>1910.1</v>
      </c>
      <c r="AF9" s="1218">
        <v>1923.8</v>
      </c>
      <c r="AG9" s="1218">
        <v>1936.1</v>
      </c>
      <c r="AH9" s="1218">
        <v>1950.7</v>
      </c>
      <c r="AI9" s="1218">
        <v>1964.1</v>
      </c>
      <c r="AJ9" s="1218">
        <v>1978.7</v>
      </c>
      <c r="AK9" s="1218">
        <v>1993.5</v>
      </c>
      <c r="AL9" s="1218">
        <v>2007</v>
      </c>
      <c r="AM9" s="1218">
        <v>2019.8</v>
      </c>
      <c r="AN9" s="1218">
        <v>2031.9</v>
      </c>
      <c r="AO9" s="1218">
        <v>2043.4</v>
      </c>
      <c r="AP9" s="1218">
        <v>2054.6</v>
      </c>
      <c r="AQ9" s="1218">
        <v>2065.9</v>
      </c>
      <c r="AR9" s="1218">
        <v>2077.3000000000002</v>
      </c>
      <c r="AS9" s="1218">
        <v>2089.9</v>
      </c>
      <c r="AT9" s="1218">
        <v>2102</v>
      </c>
      <c r="AU9" s="1218">
        <v>2114.3000000000002</v>
      </c>
      <c r="AV9" s="1218">
        <v>2125.1</v>
      </c>
      <c r="AW9" s="1218">
        <v>2137.1999999999998</v>
      </c>
      <c r="AX9" s="1218">
        <v>2149.5</v>
      </c>
      <c r="AY9" s="1218">
        <v>2161.8000000000002</v>
      </c>
      <c r="AZ9" s="1218">
        <v>2174.1999999999998</v>
      </c>
      <c r="BA9" s="1218">
        <v>2187.3000000000002</v>
      </c>
      <c r="BB9" s="1218">
        <v>2200.6</v>
      </c>
      <c r="BC9" s="1218">
        <v>2213.9</v>
      </c>
      <c r="BD9" s="1218">
        <v>2217.1999999999998</v>
      </c>
      <c r="BE9" s="1218">
        <v>2226.4</v>
      </c>
      <c r="BF9" s="1218">
        <v>2236.9</v>
      </c>
      <c r="BG9" s="1218">
        <v>2250.1999999999998</v>
      </c>
      <c r="BH9" s="1218">
        <v>2265.5</v>
      </c>
      <c r="BI9" s="1218">
        <v>2280.5</v>
      </c>
      <c r="BJ9" s="1218">
        <v>2294.6</v>
      </c>
      <c r="BK9" s="1218">
        <v>2308.5</v>
      </c>
      <c r="BL9" s="1218">
        <v>2322.1999999999998</v>
      </c>
      <c r="BM9" s="1218">
        <v>2336</v>
      </c>
      <c r="BN9" s="1218">
        <v>2350</v>
      </c>
      <c r="BO9" s="1218">
        <v>2364</v>
      </c>
      <c r="BP9" s="1218">
        <v>2378.5</v>
      </c>
    </row>
    <row r="10" spans="2:68" ht="17.25" customHeight="1">
      <c r="B10" s="471" t="s">
        <v>1954</v>
      </c>
      <c r="C10" s="463"/>
      <c r="D10" s="463"/>
      <c r="E10" s="463"/>
      <c r="F10" s="463"/>
      <c r="G10" s="463"/>
      <c r="H10" s="464"/>
      <c r="I10" s="464"/>
      <c r="J10" s="464"/>
      <c r="K10" s="464"/>
      <c r="L10" s="464"/>
      <c r="M10" s="1215">
        <v>22.143000000000001</v>
      </c>
      <c r="N10" s="1215">
        <v>-5.2320000000000002</v>
      </c>
      <c r="O10" s="1215">
        <v>-2.996</v>
      </c>
      <c r="P10" s="1215">
        <v>6.7709999999999999</v>
      </c>
      <c r="Q10" s="1215">
        <v>-0.192</v>
      </c>
      <c r="R10" s="1215">
        <v>2.6680000000000001</v>
      </c>
      <c r="S10" s="1215">
        <v>6.1040000000000001</v>
      </c>
      <c r="T10" s="1215">
        <v>14.257</v>
      </c>
      <c r="U10" s="1215">
        <v>9.5150000000000006</v>
      </c>
      <c r="V10" s="1215">
        <v>3.1989999999999998</v>
      </c>
      <c r="W10" s="1215">
        <v>11.372</v>
      </c>
      <c r="X10" s="1215">
        <v>6.4130000000000003</v>
      </c>
      <c r="Y10" s="1215">
        <v>3.851</v>
      </c>
      <c r="Z10" s="1216">
        <v>-2.524</v>
      </c>
      <c r="AA10" s="1216">
        <v>-0.216</v>
      </c>
      <c r="AB10" s="1216">
        <v>4.008</v>
      </c>
      <c r="AC10" s="1216">
        <v>4.8029999999999999</v>
      </c>
      <c r="AD10" s="1216">
        <v>4.9379999999999997</v>
      </c>
      <c r="AE10" s="1216">
        <v>5.0030000000000001</v>
      </c>
      <c r="AF10" s="1216">
        <v>2.887</v>
      </c>
      <c r="AG10" s="1216">
        <v>2.5859999999999999</v>
      </c>
      <c r="AH10" s="1216">
        <v>3.056</v>
      </c>
      <c r="AI10" s="1216">
        <v>2.7789999999999999</v>
      </c>
      <c r="AJ10" s="1216">
        <v>2.9980000000000002</v>
      </c>
      <c r="AK10" s="1216">
        <v>3.0270000000000001</v>
      </c>
      <c r="AL10" s="1216">
        <v>2.7360000000000002</v>
      </c>
      <c r="AM10" s="1216">
        <v>2.573</v>
      </c>
      <c r="AN10" s="1216">
        <v>2.4159999999999999</v>
      </c>
      <c r="AO10" s="1216">
        <v>2.29</v>
      </c>
      <c r="AP10" s="1216">
        <v>2.21</v>
      </c>
      <c r="AQ10" s="1216">
        <v>2.2189999999999999</v>
      </c>
      <c r="AR10" s="1216">
        <v>2.226</v>
      </c>
      <c r="AS10" s="1216">
        <v>2.4359999999999999</v>
      </c>
      <c r="AT10" s="1216">
        <v>2.3479999999999999</v>
      </c>
      <c r="AU10" s="1216">
        <v>2.351</v>
      </c>
      <c r="AV10" s="1216">
        <v>2.0609999999999999</v>
      </c>
      <c r="AW10" s="1216">
        <v>2.3069999999999999</v>
      </c>
      <c r="AX10" s="1216">
        <v>2.3079999999999998</v>
      </c>
      <c r="AY10" s="1216">
        <v>2.3090000000000002</v>
      </c>
      <c r="AZ10" s="1216">
        <v>2.31</v>
      </c>
      <c r="BA10" s="1216">
        <v>2.4460000000000002</v>
      </c>
      <c r="BB10" s="1216">
        <v>2.4470000000000001</v>
      </c>
      <c r="BC10" s="1216">
        <v>2.4470000000000001</v>
      </c>
      <c r="BD10" s="1216">
        <v>0.58599999999999997</v>
      </c>
      <c r="BE10" s="1216">
        <v>1.6830000000000001</v>
      </c>
      <c r="BF10" s="1216">
        <v>1.8919999999999999</v>
      </c>
      <c r="BG10" s="1216">
        <v>2.4009999999999998</v>
      </c>
      <c r="BH10" s="1216">
        <v>2.7450000000000001</v>
      </c>
      <c r="BI10" s="1216">
        <v>2.673</v>
      </c>
      <c r="BJ10" s="1216">
        <v>2.4969999999999999</v>
      </c>
      <c r="BK10" s="1216">
        <v>2.4359999999999999</v>
      </c>
      <c r="BL10" s="1216">
        <v>2.4079999999999999</v>
      </c>
      <c r="BM10" s="1216">
        <v>2.4</v>
      </c>
      <c r="BN10" s="1216">
        <v>2.4039999999999999</v>
      </c>
      <c r="BO10" s="1216">
        <v>2.4079999999999999</v>
      </c>
      <c r="BP10" s="1216">
        <v>2.4790000000000001</v>
      </c>
    </row>
    <row r="11" spans="2:68" ht="17.25" customHeight="1">
      <c r="B11" s="477" t="s">
        <v>195</v>
      </c>
      <c r="C11" s="463" t="s">
        <v>908</v>
      </c>
      <c r="D11" s="463"/>
      <c r="E11" s="463"/>
      <c r="F11" s="463"/>
      <c r="G11" s="463"/>
      <c r="H11" s="453">
        <f>'Haver Pivoted'!GS23</f>
        <v>1442</v>
      </c>
      <c r="I11" s="453">
        <f>'Haver Pivoted'!GT23</f>
        <v>1464.7</v>
      </c>
      <c r="J11" s="453">
        <f>'Haver Pivoted'!GU23</f>
        <v>1569.8</v>
      </c>
      <c r="K11" s="453">
        <f>'Haver Pivoted'!GV23</f>
        <v>1527.7</v>
      </c>
      <c r="L11" s="453">
        <f>'Haver Pivoted'!GW23</f>
        <v>1531.4</v>
      </c>
      <c r="M11" s="453">
        <f>'Haver Pivoted'!GX23</f>
        <v>1609.9</v>
      </c>
      <c r="N11" s="453">
        <f>'Haver Pivoted'!GY23</f>
        <v>1588.5</v>
      </c>
      <c r="O11" s="453">
        <f>'Haver Pivoted'!GZ23</f>
        <v>1576.4</v>
      </c>
      <c r="P11" s="453">
        <f>'Haver Pivoted'!HA23</f>
        <v>1602.5</v>
      </c>
      <c r="Q11" s="453">
        <f>'Haver Pivoted'!HB23</f>
        <v>1601.7</v>
      </c>
      <c r="R11" s="453">
        <f>'Haver Pivoted'!HC23</f>
        <v>1612.3</v>
      </c>
      <c r="S11" s="465">
        <f>'Haver Pivoted'!HD23</f>
        <v>1636.3</v>
      </c>
      <c r="T11" s="465">
        <f>'Haver Pivoted'!HE23</f>
        <v>1691.8</v>
      </c>
      <c r="U11" s="465">
        <f>'Haver Pivoted'!HF23</f>
        <v>1730.6</v>
      </c>
      <c r="V11" s="465">
        <f>'Haver Pivoted'!HG23</f>
        <v>1744.3</v>
      </c>
      <c r="W11" s="465">
        <f>'Haver Pivoted'!HH23</f>
        <v>1791.9</v>
      </c>
      <c r="X11" s="465">
        <f>'Haver Pivoted'!HI23</f>
        <v>1820</v>
      </c>
      <c r="Y11" s="465">
        <f>'Haver Pivoted'!HJ23</f>
        <v>1837.4</v>
      </c>
      <c r="Z11" s="455">
        <f>(1+(Z10/100))^(1/4)*Y11</f>
        <v>1825.6946245721695</v>
      </c>
      <c r="AA11" s="455">
        <f t="shared" ref="AA11:AE11" si="0">(1+(AA10/100))^(1/4)*Z11</f>
        <v>1824.7079499083909</v>
      </c>
      <c r="AB11" s="455">
        <f t="shared" si="0"/>
        <v>1842.722974448649</v>
      </c>
      <c r="AC11" s="455">
        <f t="shared" si="0"/>
        <v>1864.4617545065134</v>
      </c>
      <c r="AD11" s="455">
        <f t="shared" si="0"/>
        <v>1887.0641967723745</v>
      </c>
      <c r="AE11" s="455">
        <f t="shared" si="0"/>
        <v>1910.2363352794166</v>
      </c>
      <c r="AF11" s="455">
        <f>(1+(AF10/100))^(1/4)*AE11</f>
        <v>1923.8766679807525</v>
      </c>
      <c r="AG11" s="455">
        <f>(1+(AG10/100))^(1/4)*AF11</f>
        <v>1936.1957022275615</v>
      </c>
    </row>
    <row r="12" spans="2:68">
      <c r="B12" s="474" t="s">
        <v>387</v>
      </c>
      <c r="C12" s="475"/>
      <c r="D12" s="475"/>
      <c r="E12" s="475"/>
      <c r="F12" s="475"/>
      <c r="G12" s="475"/>
      <c r="H12" s="451">
        <f t="shared" ref="H12:AB12" si="1">H11+H50</f>
        <v>1720.9849999999999</v>
      </c>
      <c r="I12" s="451">
        <f t="shared" si="1"/>
        <v>1754.057</v>
      </c>
      <c r="J12" s="451">
        <f t="shared" si="1"/>
        <v>1966.0359999999998</v>
      </c>
      <c r="K12" s="451">
        <f t="shared" si="1"/>
        <v>1905.4850000000001</v>
      </c>
      <c r="L12" s="451">
        <f t="shared" si="1"/>
        <v>1896.345</v>
      </c>
      <c r="M12" s="451">
        <f t="shared" si="1"/>
        <v>2003.2760000000001</v>
      </c>
      <c r="N12" s="451">
        <f t="shared" si="1"/>
        <v>2017.9880000000003</v>
      </c>
      <c r="O12" s="451">
        <f t="shared" si="1"/>
        <v>2022.1680000000001</v>
      </c>
      <c r="P12" s="451">
        <f t="shared" si="1"/>
        <v>2070.8738520000002</v>
      </c>
      <c r="Q12" s="451">
        <f t="shared" si="1"/>
        <v>2110.3372748000002</v>
      </c>
      <c r="R12" s="451">
        <f t="shared" si="1"/>
        <v>2188.4153177142857</v>
      </c>
      <c r="S12" s="451">
        <f t="shared" si="1"/>
        <v>2198.4051537142859</v>
      </c>
      <c r="T12" s="451">
        <f t="shared" si="1"/>
        <v>2213.3022137142857</v>
      </c>
      <c r="U12" s="452">
        <f t="shared" si="1"/>
        <v>2246.2598289142857</v>
      </c>
      <c r="V12" s="452">
        <f t="shared" si="1"/>
        <v>2249.5060057142855</v>
      </c>
      <c r="W12" s="452">
        <f t="shared" si="1"/>
        <v>2283.567229714286</v>
      </c>
      <c r="X12" s="452">
        <f t="shared" si="1"/>
        <v>2325.2442297142857</v>
      </c>
      <c r="Y12" s="476">
        <f t="shared" si="1"/>
        <v>2342.3722297142858</v>
      </c>
      <c r="Z12" s="476">
        <f t="shared" si="1"/>
        <v>2321.4319275697035</v>
      </c>
      <c r="AA12" s="476">
        <f t="shared" si="1"/>
        <v>2324.9254582051176</v>
      </c>
      <c r="AB12" s="476">
        <f t="shared" si="1"/>
        <v>2349.3057858446928</v>
      </c>
      <c r="AC12" s="454">
        <f>AC11+AC50</f>
        <v>2354.2341172207994</v>
      </c>
      <c r="AD12" s="454"/>
      <c r="AE12" s="454"/>
      <c r="AF12" s="454"/>
      <c r="AG12" s="454"/>
      <c r="AH12" s="240" t="s">
        <v>388</v>
      </c>
    </row>
    <row r="13" spans="2:68" ht="15.75" customHeight="1">
      <c r="B13" s="249"/>
      <c r="C13" s="249"/>
      <c r="D13" s="249"/>
      <c r="E13" s="249"/>
      <c r="F13" s="249"/>
      <c r="G13" s="249"/>
      <c r="H13" s="231"/>
      <c r="I13" s="231"/>
      <c r="J13" s="231"/>
      <c r="K13" s="231"/>
      <c r="L13" s="231"/>
      <c r="M13" s="231"/>
      <c r="N13" s="231"/>
      <c r="O13" s="231"/>
      <c r="AC13" s="56"/>
      <c r="AD13" s="56"/>
      <c r="AH13" s="240"/>
    </row>
    <row r="14" spans="2:68">
      <c r="B14" s="249"/>
      <c r="C14" s="249"/>
      <c r="D14" s="249"/>
      <c r="E14" s="249"/>
      <c r="F14" s="249"/>
      <c r="G14" s="249"/>
      <c r="H14" s="231"/>
      <c r="I14" s="231"/>
      <c r="J14" s="231"/>
      <c r="K14" s="231"/>
      <c r="L14" s="231"/>
      <c r="M14" s="231"/>
      <c r="N14" s="231"/>
      <c r="O14" s="231"/>
      <c r="P14" s="483"/>
      <c r="Q14" s="483"/>
      <c r="R14" s="483"/>
      <c r="S14" s="483"/>
      <c r="T14" s="483"/>
      <c r="U14" s="483"/>
      <c r="V14" s="483"/>
      <c r="W14" s="483"/>
      <c r="X14" s="483"/>
      <c r="Y14" s="483"/>
      <c r="Z14" s="483"/>
      <c r="AA14" s="483"/>
      <c r="AB14" s="483"/>
      <c r="AC14" s="483"/>
      <c r="AD14" s="483"/>
      <c r="AE14" s="483"/>
      <c r="AF14" s="483"/>
      <c r="AG14" s="483"/>
    </row>
    <row r="15" spans="2:68" ht="21.75" customHeight="1">
      <c r="B15" s="1297" t="s">
        <v>165</v>
      </c>
      <c r="C15" s="1297"/>
      <c r="D15" s="1297"/>
      <c r="E15" s="1297"/>
      <c r="F15" s="1297"/>
      <c r="G15" s="1297"/>
      <c r="H15" s="1297"/>
      <c r="I15" s="1297"/>
      <c r="J15" s="1297"/>
      <c r="K15" s="1297"/>
      <c r="L15" s="1297"/>
      <c r="M15" s="1297"/>
      <c r="N15" s="1297"/>
      <c r="O15" s="1297"/>
      <c r="P15" s="1297"/>
      <c r="Q15" s="1297"/>
      <c r="R15" s="1297"/>
      <c r="S15" s="1297"/>
      <c r="T15" s="1297"/>
      <c r="U15" s="1297"/>
      <c r="V15" s="1297"/>
      <c r="W15" s="1297"/>
      <c r="X15" s="1297"/>
      <c r="Y15" s="1297"/>
      <c r="Z15" s="1297"/>
      <c r="AA15" s="1297"/>
      <c r="AB15" s="1297"/>
      <c r="AC15" s="1297"/>
      <c r="AD15" s="212"/>
      <c r="AE15" s="212"/>
      <c r="AF15" s="212"/>
      <c r="AG15" s="212"/>
      <c r="AI15" s="491"/>
    </row>
    <row r="16" spans="2:68" ht="14.25" customHeight="1">
      <c r="B16" s="1298" t="s">
        <v>389</v>
      </c>
      <c r="C16" s="1298"/>
      <c r="D16" s="1298"/>
      <c r="E16" s="1298"/>
      <c r="F16" s="1298"/>
      <c r="G16" s="1298"/>
      <c r="H16" s="1298"/>
      <c r="I16" s="1298"/>
      <c r="J16" s="1298"/>
      <c r="K16" s="1298"/>
      <c r="L16" s="1298"/>
      <c r="M16" s="1298"/>
      <c r="N16" s="1298"/>
      <c r="O16" s="1298"/>
      <c r="P16" s="1298"/>
      <c r="Q16" s="1298"/>
      <c r="R16" s="1298"/>
      <c r="S16" s="1298"/>
      <c r="T16" s="1298"/>
      <c r="U16" s="1298"/>
      <c r="V16" s="1298"/>
      <c r="W16" s="1298"/>
      <c r="X16" s="1298"/>
      <c r="Y16" s="1298"/>
      <c r="Z16" s="1298"/>
      <c r="AA16" s="1298"/>
      <c r="AB16" s="1298"/>
      <c r="AC16" s="1298"/>
      <c r="AD16" s="213"/>
      <c r="AE16" s="213"/>
      <c r="AF16" s="213"/>
      <c r="AG16" s="213"/>
      <c r="AI16" s="491"/>
    </row>
    <row r="17" spans="2:68">
      <c r="B17" s="1298"/>
      <c r="C17" s="1298"/>
      <c r="D17" s="1298"/>
      <c r="E17" s="1298"/>
      <c r="F17" s="1298"/>
      <c r="G17" s="1298"/>
      <c r="H17" s="1298"/>
      <c r="I17" s="1298"/>
      <c r="J17" s="1298"/>
      <c r="K17" s="1298"/>
      <c r="L17" s="1298"/>
      <c r="M17" s="1298"/>
      <c r="N17" s="1298"/>
      <c r="O17" s="1298"/>
      <c r="P17" s="1298"/>
      <c r="Q17" s="1298"/>
      <c r="R17" s="1298"/>
      <c r="S17" s="1298"/>
      <c r="T17" s="1298"/>
      <c r="U17" s="1298"/>
      <c r="V17" s="1298"/>
      <c r="W17" s="1298"/>
      <c r="X17" s="1298"/>
      <c r="Y17" s="1298"/>
      <c r="Z17" s="1298"/>
      <c r="AA17" s="1298"/>
      <c r="AB17" s="1298"/>
      <c r="AC17" s="1298"/>
      <c r="AD17" s="213"/>
      <c r="AE17" s="213"/>
      <c r="AF17" s="213"/>
      <c r="AG17" s="213"/>
    </row>
    <row r="18" spans="2:68">
      <c r="B18" s="1298"/>
      <c r="C18" s="1298"/>
      <c r="D18" s="1298"/>
      <c r="E18" s="1298"/>
      <c r="F18" s="1298"/>
      <c r="G18" s="1298"/>
      <c r="H18" s="1298"/>
      <c r="I18" s="1298"/>
      <c r="J18" s="1298"/>
      <c r="K18" s="1298"/>
      <c r="L18" s="1298"/>
      <c r="M18" s="1298"/>
      <c r="N18" s="1298"/>
      <c r="O18" s="1298"/>
      <c r="P18" s="1298"/>
      <c r="Q18" s="1298"/>
      <c r="R18" s="1298"/>
      <c r="S18" s="1298"/>
      <c r="T18" s="1298"/>
      <c r="U18" s="1298"/>
      <c r="V18" s="1298"/>
      <c r="W18" s="1298"/>
      <c r="X18" s="1298"/>
      <c r="Y18" s="1298"/>
      <c r="Z18" s="1298"/>
      <c r="AA18" s="1298"/>
      <c r="AB18" s="1298"/>
      <c r="AC18" s="1298"/>
      <c r="AD18" s="213"/>
      <c r="AE18" s="213"/>
      <c r="AF18" s="213"/>
      <c r="AG18" s="213"/>
    </row>
    <row r="20" spans="2:68">
      <c r="B20" s="1302" t="s">
        <v>279</v>
      </c>
      <c r="C20" s="1303"/>
      <c r="D20" s="1304" t="s">
        <v>280</v>
      </c>
      <c r="E20" s="1320"/>
      <c r="F20" s="1320"/>
      <c r="G20" s="1320"/>
      <c r="H20" s="1320"/>
      <c r="I20" s="1320"/>
      <c r="J20" s="1320"/>
      <c r="K20" s="1320"/>
      <c r="L20" s="1320"/>
      <c r="M20" s="1320"/>
      <c r="N20" s="1320"/>
      <c r="O20" s="1320"/>
      <c r="P20" s="1320"/>
      <c r="Q20" s="1320"/>
      <c r="R20" s="1320"/>
      <c r="S20" s="1320"/>
      <c r="T20" s="1320"/>
      <c r="U20" s="1320"/>
      <c r="V20" s="1320"/>
      <c r="W20" s="1341" t="s">
        <v>281</v>
      </c>
      <c r="X20" s="1341"/>
      <c r="Y20" s="1341"/>
      <c r="Z20" s="1341"/>
      <c r="AA20" s="1341"/>
      <c r="AB20" s="1341"/>
      <c r="AC20" s="1341"/>
      <c r="AD20" s="1341"/>
      <c r="AE20" s="1341"/>
      <c r="AF20" s="1341"/>
      <c r="AG20" s="1341"/>
    </row>
    <row r="21" spans="2:68">
      <c r="B21" s="1304"/>
      <c r="C21" s="1305"/>
      <c r="D21" s="219">
        <v>2018</v>
      </c>
      <c r="E21" s="1311">
        <v>2019</v>
      </c>
      <c r="F21" s="1333"/>
      <c r="G21" s="1333"/>
      <c r="H21" s="1313"/>
      <c r="I21" s="1311">
        <v>2020</v>
      </c>
      <c r="J21" s="1333"/>
      <c r="K21" s="1333"/>
      <c r="L21" s="1333"/>
      <c r="M21" s="1311">
        <v>2021</v>
      </c>
      <c r="N21" s="1333"/>
      <c r="O21" s="1333"/>
      <c r="P21" s="1333"/>
      <c r="Q21" s="1311">
        <v>2022</v>
      </c>
      <c r="R21" s="1333"/>
      <c r="S21" s="1333"/>
      <c r="T21" s="1313"/>
      <c r="U21" s="239"/>
      <c r="V21" s="288">
        <v>2023</v>
      </c>
      <c r="W21" s="289"/>
      <c r="X21" s="260"/>
      <c r="Y21" s="1308">
        <v>2024</v>
      </c>
      <c r="Z21" s="1309"/>
      <c r="AA21" s="1309"/>
      <c r="AB21" s="1310"/>
      <c r="AC21" s="1308">
        <v>2025</v>
      </c>
      <c r="AD21" s="1309"/>
      <c r="AE21" s="1309"/>
      <c r="AF21" s="1310"/>
      <c r="AG21" s="251">
        <v>2026</v>
      </c>
    </row>
    <row r="22" spans="2:68">
      <c r="B22" s="1304"/>
      <c r="C22" s="1305"/>
      <c r="D22" s="214" t="s">
        <v>282</v>
      </c>
      <c r="E22" s="214" t="s">
        <v>283</v>
      </c>
      <c r="F22" s="215" t="s">
        <v>284</v>
      </c>
      <c r="G22" s="215" t="s">
        <v>238</v>
      </c>
      <c r="H22" s="216" t="s">
        <v>282</v>
      </c>
      <c r="I22" s="215" t="s">
        <v>283</v>
      </c>
      <c r="J22" s="215" t="s">
        <v>284</v>
      </c>
      <c r="K22" s="215" t="s">
        <v>238</v>
      </c>
      <c r="L22" s="215" t="s">
        <v>282</v>
      </c>
      <c r="M22" s="214" t="s">
        <v>283</v>
      </c>
      <c r="N22" s="215" t="s">
        <v>284</v>
      </c>
      <c r="O22" s="215" t="s">
        <v>238</v>
      </c>
      <c r="P22" s="215" t="s">
        <v>282</v>
      </c>
      <c r="Q22" s="214" t="s">
        <v>283</v>
      </c>
      <c r="R22" s="215" t="s">
        <v>284</v>
      </c>
      <c r="S22" s="215" t="s">
        <v>238</v>
      </c>
      <c r="T22" s="216" t="s">
        <v>282</v>
      </c>
      <c r="U22" s="285" t="s">
        <v>283</v>
      </c>
      <c r="V22" s="286" t="s">
        <v>284</v>
      </c>
      <c r="W22" s="270" t="s">
        <v>238</v>
      </c>
      <c r="X22" s="271" t="s">
        <v>282</v>
      </c>
      <c r="Y22" s="269" t="s">
        <v>283</v>
      </c>
      <c r="Z22" s="267" t="s">
        <v>284</v>
      </c>
      <c r="AA22" s="270" t="s">
        <v>238</v>
      </c>
      <c r="AB22" s="271" t="s">
        <v>282</v>
      </c>
      <c r="AC22" s="269" t="s">
        <v>283</v>
      </c>
      <c r="AD22" s="267" t="s">
        <v>284</v>
      </c>
      <c r="AE22" s="270" t="s">
        <v>238</v>
      </c>
      <c r="AF22" s="271" t="s">
        <v>282</v>
      </c>
      <c r="AG22" s="272" t="s">
        <v>283</v>
      </c>
    </row>
    <row r="23" spans="2:68">
      <c r="B23" s="487" t="s">
        <v>111</v>
      </c>
      <c r="C23" s="481" t="s">
        <v>390</v>
      </c>
      <c r="D23" s="481"/>
      <c r="E23" s="481"/>
      <c r="F23" s="481"/>
      <c r="G23" s="481"/>
      <c r="H23" s="460">
        <f>'Haver Pivoted'!GS24</f>
        <v>2423.4</v>
      </c>
      <c r="I23" s="460">
        <f>'Haver Pivoted'!GT24</f>
        <v>2478.9</v>
      </c>
      <c r="J23" s="460">
        <f>'Haver Pivoted'!GU24</f>
        <v>2451.3000000000002</v>
      </c>
      <c r="K23" s="460">
        <f>'Haver Pivoted'!GV24</f>
        <v>2468.3000000000002</v>
      </c>
      <c r="L23" s="460">
        <f>'Haver Pivoted'!GW24</f>
        <v>2486.9</v>
      </c>
      <c r="M23" s="460">
        <f>'Haver Pivoted'!GX24</f>
        <v>2533.9</v>
      </c>
      <c r="N23" s="460">
        <f>'Haver Pivoted'!GY24</f>
        <v>2571.6999999999998</v>
      </c>
      <c r="O23" s="460">
        <f>'Haver Pivoted'!GZ24</f>
        <v>2625.1</v>
      </c>
      <c r="P23" s="460">
        <f>'Haver Pivoted'!HA24</f>
        <v>2664.2</v>
      </c>
      <c r="Q23" s="460">
        <f>'Haver Pivoted'!HB24</f>
        <v>2719.7</v>
      </c>
      <c r="R23" s="460">
        <f>'Haver Pivoted'!HC24</f>
        <v>2803.4</v>
      </c>
      <c r="S23" s="470">
        <f>'Haver Pivoted'!HD24</f>
        <v>2841.5</v>
      </c>
      <c r="T23" s="470">
        <f>'Haver Pivoted'!HE24</f>
        <v>2880.6</v>
      </c>
      <c r="U23" s="293">
        <f>'Haver Pivoted'!HF24</f>
        <v>2913.2</v>
      </c>
      <c r="V23" s="293">
        <f>'Haver Pivoted'!HG24</f>
        <v>2925.5</v>
      </c>
      <c r="W23" s="293">
        <f>'Haver Pivoted'!HH24</f>
        <v>3002.9</v>
      </c>
      <c r="X23" s="293">
        <f>'Haver Pivoted'!HI24</f>
        <v>3051.8</v>
      </c>
      <c r="Y23" s="293">
        <f>'Haver Pivoted'!HJ24</f>
        <v>3103.6</v>
      </c>
      <c r="Z23" s="236"/>
      <c r="AA23" s="236"/>
      <c r="AB23" s="236"/>
      <c r="AC23" s="236"/>
      <c r="AD23" s="236"/>
      <c r="AE23" s="236"/>
      <c r="AF23" s="236"/>
      <c r="AG23" s="236"/>
    </row>
    <row r="24" spans="2:68" ht="29.25" customHeight="1">
      <c r="B24" s="490" t="s">
        <v>1955</v>
      </c>
      <c r="C24" s="469"/>
      <c r="D24" s="469"/>
      <c r="E24" s="469"/>
      <c r="F24" s="469"/>
      <c r="G24" s="469"/>
      <c r="H24" s="231"/>
      <c r="I24" s="231"/>
      <c r="J24" s="231"/>
      <c r="K24" s="231"/>
      <c r="L24" s="231"/>
      <c r="M24" s="1217">
        <v>2533.9</v>
      </c>
      <c r="N24" s="1217">
        <v>2571.6999999999998</v>
      </c>
      <c r="O24" s="1217">
        <v>2625.1</v>
      </c>
      <c r="P24" s="1217">
        <v>2664.2</v>
      </c>
      <c r="Q24" s="1217">
        <v>2719.7</v>
      </c>
      <c r="R24" s="1217">
        <v>2803.4</v>
      </c>
      <c r="S24" s="1217">
        <v>2841.5</v>
      </c>
      <c r="T24" s="1217">
        <v>2880.6</v>
      </c>
      <c r="U24" s="1217">
        <v>2913.2</v>
      </c>
      <c r="V24" s="1217">
        <v>2925.5</v>
      </c>
      <c r="W24" s="1217">
        <v>3002.9</v>
      </c>
      <c r="X24" s="1217">
        <v>3051.8</v>
      </c>
      <c r="Y24" s="1217">
        <v>3094.7</v>
      </c>
      <c r="Z24" s="1218">
        <v>3131</v>
      </c>
      <c r="AA24" s="1218">
        <v>3158.7</v>
      </c>
      <c r="AB24" s="1218">
        <v>3185.3</v>
      </c>
      <c r="AC24" s="1218">
        <v>3213.1</v>
      </c>
      <c r="AD24" s="1218">
        <v>3241</v>
      </c>
      <c r="AE24" s="1218">
        <v>3268</v>
      </c>
      <c r="AF24" s="1218">
        <v>3294.9</v>
      </c>
      <c r="AG24" s="1218">
        <v>3323</v>
      </c>
      <c r="AH24" s="1218">
        <v>3350.6</v>
      </c>
      <c r="AI24" s="1218">
        <v>3378.6</v>
      </c>
      <c r="AJ24" s="1218">
        <v>3406.2</v>
      </c>
      <c r="AK24" s="1218">
        <v>3432.7</v>
      </c>
      <c r="AL24" s="1218">
        <v>3459.9</v>
      </c>
      <c r="AM24" s="1218">
        <v>3486.6</v>
      </c>
      <c r="AN24" s="1218">
        <v>3513.5</v>
      </c>
      <c r="AO24" s="1218">
        <v>3540.6</v>
      </c>
      <c r="AP24" s="1218">
        <v>3567.5</v>
      </c>
      <c r="AQ24" s="1218">
        <v>3594.6</v>
      </c>
      <c r="AR24" s="1218">
        <v>3622.1</v>
      </c>
      <c r="AS24" s="1218">
        <v>3649.4</v>
      </c>
      <c r="AT24" s="1218">
        <v>3677.5</v>
      </c>
      <c r="AU24" s="1218">
        <v>3705.3</v>
      </c>
      <c r="AV24" s="1218">
        <v>3733.6</v>
      </c>
      <c r="AW24" s="1218">
        <v>3762.8</v>
      </c>
      <c r="AX24" s="1218">
        <v>3792.4</v>
      </c>
      <c r="AY24" s="1218">
        <v>3822.3</v>
      </c>
      <c r="AZ24" s="1218">
        <v>3852.7</v>
      </c>
      <c r="BA24" s="1218">
        <v>3883.6</v>
      </c>
      <c r="BB24" s="1218">
        <v>3915</v>
      </c>
      <c r="BC24" s="1218">
        <v>3946.7</v>
      </c>
      <c r="BD24" s="1218">
        <v>3978.2</v>
      </c>
      <c r="BE24" s="1218">
        <v>4010.4</v>
      </c>
      <c r="BF24" s="1218">
        <v>4043.1</v>
      </c>
      <c r="BG24" s="1218">
        <v>4076.2</v>
      </c>
      <c r="BH24" s="1218">
        <v>4109.7</v>
      </c>
      <c r="BI24" s="1218">
        <v>4143.3999999999996</v>
      </c>
      <c r="BJ24" s="1218">
        <v>4177.3999999999996</v>
      </c>
      <c r="BK24" s="1218">
        <v>4211.7</v>
      </c>
      <c r="BL24" s="1218">
        <v>4246.3</v>
      </c>
      <c r="BM24" s="1218">
        <v>4281.3</v>
      </c>
      <c r="BN24" s="1218">
        <v>4316.6000000000004</v>
      </c>
      <c r="BO24" s="1218">
        <v>4352.2</v>
      </c>
      <c r="BP24" s="1218">
        <v>4388.3</v>
      </c>
    </row>
    <row r="25" spans="2:68" ht="29.25" customHeight="1">
      <c r="B25" s="490" t="s">
        <v>1956</v>
      </c>
      <c r="C25" s="469"/>
      <c r="D25" s="469"/>
      <c r="E25" s="469"/>
      <c r="F25" s="469"/>
      <c r="G25" s="469"/>
      <c r="H25" s="231"/>
      <c r="I25" s="223"/>
      <c r="J25" s="223"/>
      <c r="K25" s="223"/>
      <c r="L25" s="223"/>
      <c r="M25" s="1215">
        <v>7.7759999999999998</v>
      </c>
      <c r="N25" s="1215">
        <v>6.1050000000000004</v>
      </c>
      <c r="O25" s="1215">
        <v>8.5640000000000001</v>
      </c>
      <c r="P25" s="1215">
        <v>6.0890000000000004</v>
      </c>
      <c r="Q25" s="1215">
        <v>8.6</v>
      </c>
      <c r="R25" s="1215">
        <v>12.888999999999999</v>
      </c>
      <c r="S25" s="1215">
        <v>5.55</v>
      </c>
      <c r="T25" s="1215">
        <v>5.62</v>
      </c>
      <c r="U25" s="1215">
        <v>4.6040000000000001</v>
      </c>
      <c r="V25" s="1215">
        <v>1.69</v>
      </c>
      <c r="W25" s="1215">
        <v>11.012</v>
      </c>
      <c r="X25" s="1215">
        <v>6.6790000000000003</v>
      </c>
      <c r="Y25" s="1215">
        <v>5.74</v>
      </c>
      <c r="Z25" s="1216">
        <v>4.7670000000000003</v>
      </c>
      <c r="AA25" s="1216">
        <v>3.59</v>
      </c>
      <c r="AB25" s="1216">
        <v>3.4060000000000001</v>
      </c>
      <c r="AC25" s="1216">
        <v>3.54</v>
      </c>
      <c r="AD25" s="1216">
        <v>3.5259999999999998</v>
      </c>
      <c r="AE25" s="1216">
        <v>3.367</v>
      </c>
      <c r="AF25" s="1216">
        <v>3.3359999999999999</v>
      </c>
      <c r="AG25" s="1216">
        <v>3.448</v>
      </c>
      <c r="AH25" s="1216">
        <v>3.371</v>
      </c>
      <c r="AI25" s="1216">
        <v>3.3809999999999998</v>
      </c>
      <c r="AJ25" s="1216">
        <v>3.3090000000000002</v>
      </c>
      <c r="AK25" s="1216">
        <v>3.1520000000000001</v>
      </c>
      <c r="AL25" s="1216">
        <v>3.202</v>
      </c>
      <c r="AM25" s="1216">
        <v>3.1219999999999999</v>
      </c>
      <c r="AN25" s="1216">
        <v>3.117</v>
      </c>
      <c r="AO25" s="1216">
        <v>3.1269999999999998</v>
      </c>
      <c r="AP25" s="1216">
        <v>3.069</v>
      </c>
      <c r="AQ25" s="1216">
        <v>3.081</v>
      </c>
      <c r="AR25" s="1216">
        <v>3.0859999999999999</v>
      </c>
      <c r="AS25" s="1216">
        <v>3.0489999999999999</v>
      </c>
      <c r="AT25" s="1216">
        <v>3.1139999999999999</v>
      </c>
      <c r="AU25" s="1216">
        <v>3.0670000000000002</v>
      </c>
      <c r="AV25" s="1216">
        <v>3.0880000000000001</v>
      </c>
      <c r="AW25" s="1216">
        <v>3.1659999999999999</v>
      </c>
      <c r="AX25" s="1216">
        <v>3.1749999999999998</v>
      </c>
      <c r="AY25" s="1216">
        <v>3.1960000000000002</v>
      </c>
      <c r="AZ25" s="1216">
        <v>3.2229999999999999</v>
      </c>
      <c r="BA25" s="1216">
        <v>3.246</v>
      </c>
      <c r="BB25" s="1216">
        <v>3.2730000000000001</v>
      </c>
      <c r="BC25" s="1216">
        <v>3.2709999999999999</v>
      </c>
      <c r="BD25" s="1216">
        <v>3.23</v>
      </c>
      <c r="BE25" s="1216">
        <v>3.2839999999999998</v>
      </c>
      <c r="BF25" s="1216">
        <v>3.298</v>
      </c>
      <c r="BG25" s="1216">
        <v>3.3170000000000002</v>
      </c>
      <c r="BH25" s="1216">
        <v>3.3290000000000002</v>
      </c>
      <c r="BI25" s="1216">
        <v>3.32</v>
      </c>
      <c r="BJ25" s="1216">
        <v>3.3220000000000001</v>
      </c>
      <c r="BK25" s="1216">
        <v>3.323</v>
      </c>
      <c r="BL25" s="1216">
        <v>3.3290000000000002</v>
      </c>
      <c r="BM25" s="1216">
        <v>3.3290000000000002</v>
      </c>
      <c r="BN25" s="1216">
        <v>3.3380000000000001</v>
      </c>
      <c r="BO25" s="1216">
        <v>3.347</v>
      </c>
      <c r="BP25" s="1216">
        <v>3.3559999999999999</v>
      </c>
    </row>
    <row r="26" spans="2:68" ht="21" customHeight="1">
      <c r="B26" s="478" t="s">
        <v>1957</v>
      </c>
      <c r="C26" s="249"/>
      <c r="D26" s="249"/>
      <c r="E26" s="249"/>
      <c r="F26" s="249"/>
      <c r="G26" s="249"/>
      <c r="H26" s="226"/>
      <c r="I26" s="226"/>
      <c r="J26" s="226"/>
      <c r="K26" s="226"/>
      <c r="L26" s="226"/>
      <c r="M26" s="226">
        <f t="shared" ref="M26:V26" si="2">((M23/L23)^4-1)*100</f>
        <v>7.7766292401933779</v>
      </c>
      <c r="N26" s="226">
        <f t="shared" si="2"/>
        <v>6.101942113226988</v>
      </c>
      <c r="O26" s="226">
        <f t="shared" si="2"/>
        <v>8.5680877371025801</v>
      </c>
      <c r="P26" s="226">
        <f t="shared" si="2"/>
        <v>6.0923056825790356</v>
      </c>
      <c r="Q26" s="226">
        <f t="shared" si="2"/>
        <v>8.5967202401499456</v>
      </c>
      <c r="R26" s="226">
        <f t="shared" si="2"/>
        <v>12.890207409855471</v>
      </c>
      <c r="S26" s="226">
        <f t="shared" si="2"/>
        <v>5.5480867891862351</v>
      </c>
      <c r="T26" s="226">
        <f t="shared" si="2"/>
        <v>5.618789054672324</v>
      </c>
      <c r="U26" s="226">
        <f t="shared" si="2"/>
        <v>4.6042619795704454</v>
      </c>
      <c r="V26" s="226">
        <f t="shared" si="2"/>
        <v>1.6995906045958797</v>
      </c>
      <c r="W26" s="440">
        <f>((W23/V23)^4-1)*100</f>
        <v>11.010247254253724</v>
      </c>
      <c r="X26" s="440">
        <f>((X23/W23)^4-1)*100</f>
        <v>6.6745439826610298</v>
      </c>
      <c r="Y26" s="440">
        <f>((Y23/X23)^4-1)*100</f>
        <v>6.9642617395680562</v>
      </c>
      <c r="Z26" s="236">
        <f>Z25+0.5</f>
        <v>5.2670000000000003</v>
      </c>
      <c r="AA26" s="236">
        <f>AA25+0.2</f>
        <v>3.79</v>
      </c>
      <c r="AB26" s="236">
        <f>AB25+0.3</f>
        <v>3.706</v>
      </c>
      <c r="AC26" s="236">
        <f t="shared" ref="AC26:AD26" si="3">AC25</f>
        <v>3.54</v>
      </c>
      <c r="AD26" s="236">
        <f t="shared" si="3"/>
        <v>3.5259999999999998</v>
      </c>
      <c r="AE26" s="236">
        <f>AE25</f>
        <v>3.367</v>
      </c>
      <c r="AF26" s="236">
        <f>AF25</f>
        <v>3.3359999999999999</v>
      </c>
      <c r="AG26" s="236">
        <f t="shared" ref="AG26" si="4">AG25</f>
        <v>3.448</v>
      </c>
      <c r="AH26" s="486" t="s">
        <v>391</v>
      </c>
    </row>
    <row r="27" spans="2:68" ht="17.899999999999999" customHeight="1">
      <c r="B27" s="489" t="s">
        <v>392</v>
      </c>
      <c r="C27" s="255"/>
      <c r="D27" s="255"/>
      <c r="E27" s="255"/>
      <c r="F27" s="255"/>
      <c r="G27" s="255"/>
      <c r="H27" s="229">
        <f t="shared" ref="H27:T27" si="5">H23</f>
        <v>2423.4</v>
      </c>
      <c r="I27" s="229">
        <f t="shared" si="5"/>
        <v>2478.9</v>
      </c>
      <c r="J27" s="229">
        <f t="shared" si="5"/>
        <v>2451.3000000000002</v>
      </c>
      <c r="K27" s="229">
        <f t="shared" si="5"/>
        <v>2468.3000000000002</v>
      </c>
      <c r="L27" s="229">
        <f t="shared" si="5"/>
        <v>2486.9</v>
      </c>
      <c r="M27" s="229">
        <f t="shared" si="5"/>
        <v>2533.9</v>
      </c>
      <c r="N27" s="229">
        <f t="shared" si="5"/>
        <v>2571.6999999999998</v>
      </c>
      <c r="O27" s="229">
        <f t="shared" si="5"/>
        <v>2625.1</v>
      </c>
      <c r="P27" s="229">
        <f t="shared" si="5"/>
        <v>2664.2</v>
      </c>
      <c r="Q27" s="229">
        <f t="shared" si="5"/>
        <v>2719.7</v>
      </c>
      <c r="R27" s="229">
        <f t="shared" si="5"/>
        <v>2803.4</v>
      </c>
      <c r="S27" s="294">
        <f t="shared" si="5"/>
        <v>2841.5</v>
      </c>
      <c r="T27" s="294">
        <f t="shared" si="5"/>
        <v>2880.6</v>
      </c>
      <c r="U27" s="294">
        <f>U23</f>
        <v>2913.2</v>
      </c>
      <c r="V27" s="294">
        <f>V23</f>
        <v>2925.5</v>
      </c>
      <c r="W27" s="294">
        <f>W23</f>
        <v>3002.9</v>
      </c>
      <c r="X27" s="294">
        <f>X23</f>
        <v>3051.8</v>
      </c>
      <c r="Y27" s="294">
        <f>Y23</f>
        <v>3103.6</v>
      </c>
      <c r="Z27" s="458">
        <f t="shared" ref="Z27:AA27" si="6">Y27*((1+Z26/100)^0.25)</f>
        <v>3143.6834211166383</v>
      </c>
      <c r="AA27" s="458">
        <f t="shared" si="6"/>
        <v>3173.0556045016788</v>
      </c>
      <c r="AB27" s="458">
        <f>AA27*((1+AB26/100)^0.25)</f>
        <v>3202.0540144700153</v>
      </c>
      <c r="AC27" s="458">
        <f>AB27*((1+AC26/100)^0.25)</f>
        <v>3230.0235873157189</v>
      </c>
      <c r="AD27" s="458">
        <f>AC27*((1+AD26/100)^0.25)</f>
        <v>3258.1273261947244</v>
      </c>
      <c r="AE27" s="458">
        <f t="shared" ref="AE27:AF27" si="7">AD27*((1+AE26/100)^0.25)</f>
        <v>3285.2129820722521</v>
      </c>
      <c r="AF27" s="458">
        <f t="shared" si="7"/>
        <v>3312.2754217136699</v>
      </c>
      <c r="AG27" s="458">
        <f>AF27*((1+AG26/100)^0.25)</f>
        <v>3340.4653146443643</v>
      </c>
    </row>
    <row r="28" spans="2:68">
      <c r="B28" s="479" t="s">
        <v>393</v>
      </c>
      <c r="C28" s="480"/>
      <c r="D28" s="480"/>
      <c r="E28" s="480"/>
      <c r="F28" s="480"/>
      <c r="G28" s="480"/>
      <c r="H28" s="485">
        <f t="shared" ref="H28:P28" si="8">H23-H50</f>
        <v>2144.415</v>
      </c>
      <c r="I28" s="485">
        <f t="shared" si="8"/>
        <v>2189.5430000000001</v>
      </c>
      <c r="J28" s="485">
        <f t="shared" si="8"/>
        <v>2055.0640000000003</v>
      </c>
      <c r="K28" s="485">
        <f t="shared" si="8"/>
        <v>2090.5150000000003</v>
      </c>
      <c r="L28" s="485">
        <f t="shared" si="8"/>
        <v>2121.9549999999999</v>
      </c>
      <c r="M28" s="485">
        <f t="shared" si="8"/>
        <v>2140.5240000000003</v>
      </c>
      <c r="N28" s="485">
        <f t="shared" si="8"/>
        <v>2142.2119999999995</v>
      </c>
      <c r="O28" s="485">
        <f t="shared" si="8"/>
        <v>2179.3319999999999</v>
      </c>
      <c r="P28" s="485">
        <f t="shared" si="8"/>
        <v>2195.8261479999996</v>
      </c>
      <c r="Q28" s="485">
        <f t="shared" ref="Q28:AC28" si="9">Q27-Q50</f>
        <v>2211.0627251999999</v>
      </c>
      <c r="R28" s="485">
        <f t="shared" si="9"/>
        <v>2227.2846822857146</v>
      </c>
      <c r="S28" s="485">
        <f t="shared" si="9"/>
        <v>2279.3948462857143</v>
      </c>
      <c r="T28" s="485">
        <f t="shared" si="9"/>
        <v>2359.0977862857144</v>
      </c>
      <c r="U28" s="485">
        <f t="shared" si="9"/>
        <v>2397.5401710857141</v>
      </c>
      <c r="V28" s="231">
        <f t="shared" si="9"/>
        <v>2420.2939942857142</v>
      </c>
      <c r="W28" s="231">
        <f t="shared" si="9"/>
        <v>2511.2327702857142</v>
      </c>
      <c r="X28" s="231">
        <f t="shared" si="9"/>
        <v>2546.5557702857145</v>
      </c>
      <c r="Y28" s="333">
        <f t="shared" si="9"/>
        <v>2598.6277702857142</v>
      </c>
      <c r="Z28" s="333">
        <f t="shared" si="9"/>
        <v>2647.9461181191045</v>
      </c>
      <c r="AA28" s="333">
        <f t="shared" si="9"/>
        <v>2672.8380962049523</v>
      </c>
      <c r="AB28" s="333">
        <f t="shared" si="9"/>
        <v>2695.4712030739715</v>
      </c>
      <c r="AC28" s="333">
        <f t="shared" si="9"/>
        <v>2740.251224601433</v>
      </c>
      <c r="AD28" s="333"/>
      <c r="AE28" s="333"/>
      <c r="AF28" s="333"/>
      <c r="AG28" s="333"/>
      <c r="AH28" s="240" t="s">
        <v>394</v>
      </c>
    </row>
    <row r="29" spans="2:68">
      <c r="B29" s="56"/>
      <c r="C29" s="56"/>
      <c r="D29" s="56"/>
      <c r="E29" s="56"/>
      <c r="F29" s="56"/>
      <c r="G29" s="56"/>
      <c r="H29" s="56"/>
      <c r="I29" s="56"/>
      <c r="J29" s="56"/>
      <c r="K29" s="56"/>
      <c r="L29" s="56"/>
      <c r="M29" s="491"/>
      <c r="N29" s="491"/>
      <c r="O29" s="491"/>
      <c r="P29" s="491"/>
      <c r="Q29" s="491"/>
      <c r="R29" s="491"/>
      <c r="S29" s="180"/>
      <c r="T29" s="180"/>
      <c r="U29" s="180"/>
      <c r="V29" s="180"/>
      <c r="Y29" s="180"/>
      <c r="Z29" s="180"/>
      <c r="AA29" s="180"/>
      <c r="AB29" s="180"/>
      <c r="AC29" s="180"/>
      <c r="AD29" s="180"/>
      <c r="AE29" s="180"/>
      <c r="AF29" s="180"/>
      <c r="AG29" s="180"/>
    </row>
    <row r="30" spans="2:68">
      <c r="B30" s="56"/>
      <c r="C30" s="56"/>
      <c r="D30" s="56"/>
      <c r="E30" s="56"/>
      <c r="F30" s="56"/>
      <c r="G30" s="56"/>
      <c r="H30" s="56"/>
      <c r="I30" s="56"/>
      <c r="J30" s="56"/>
      <c r="K30" s="56"/>
      <c r="L30" s="56"/>
      <c r="M30" s="491"/>
      <c r="N30" s="491"/>
      <c r="O30" s="491"/>
      <c r="P30" s="491"/>
      <c r="Q30" s="491"/>
      <c r="R30" s="491"/>
      <c r="S30" s="180"/>
      <c r="T30" s="180"/>
      <c r="U30" s="180"/>
      <c r="V30" s="180"/>
      <c r="Y30" s="180"/>
      <c r="Z30" s="180"/>
      <c r="AA30" s="180"/>
      <c r="AB30" s="180"/>
      <c r="AC30" s="180"/>
      <c r="AD30" s="180"/>
      <c r="AE30" s="180"/>
      <c r="AF30" s="180"/>
      <c r="AG30" s="180"/>
    </row>
    <row r="31" spans="2:68">
      <c r="B31" s="249"/>
      <c r="C31" s="249"/>
      <c r="D31" s="249"/>
      <c r="E31" s="249"/>
      <c r="F31" s="249"/>
      <c r="G31" s="249"/>
      <c r="H31" s="231"/>
      <c r="I31" s="231"/>
      <c r="J31" s="231"/>
      <c r="K31" s="231"/>
      <c r="L31" s="231"/>
      <c r="M31" s="231"/>
      <c r="N31" s="231"/>
      <c r="O31" s="231"/>
      <c r="P31" s="231"/>
      <c r="Q31" s="484"/>
      <c r="R31" s="231"/>
      <c r="S31" s="231"/>
      <c r="T31" s="231"/>
      <c r="U31" s="231"/>
      <c r="V31" s="231"/>
      <c r="W31" s="231"/>
      <c r="X31" s="231"/>
      <c r="Y31" s="231"/>
      <c r="Z31" s="231"/>
    </row>
    <row r="32" spans="2:68" ht="85.4" customHeight="1">
      <c r="B32" s="443" t="s">
        <v>882</v>
      </c>
      <c r="C32" s="446" t="s">
        <v>881</v>
      </c>
      <c r="D32" s="444">
        <v>44197</v>
      </c>
      <c r="E32" s="445">
        <v>44228</v>
      </c>
      <c r="F32" s="445">
        <v>44256</v>
      </c>
      <c r="G32" s="445">
        <v>44287</v>
      </c>
      <c r="H32" s="445">
        <v>44317</v>
      </c>
      <c r="I32" s="445">
        <v>44348</v>
      </c>
      <c r="J32" s="445">
        <v>44378</v>
      </c>
      <c r="K32" s="445">
        <v>44409</v>
      </c>
      <c r="L32" s="445">
        <v>44440</v>
      </c>
      <c r="M32" s="445">
        <v>44470</v>
      </c>
      <c r="N32" s="445">
        <v>44501</v>
      </c>
      <c r="O32" s="445">
        <v>44531</v>
      </c>
      <c r="P32" s="182">
        <v>44562</v>
      </c>
      <c r="Q32" s="442">
        <v>44593</v>
      </c>
      <c r="R32" s="182">
        <v>44621</v>
      </c>
      <c r="S32" s="182">
        <v>44652</v>
      </c>
      <c r="T32" s="182">
        <v>44682</v>
      </c>
      <c r="U32" s="182">
        <v>44713</v>
      </c>
      <c r="V32" s="182">
        <v>44743</v>
      </c>
      <c r="W32" s="182">
        <v>44774</v>
      </c>
      <c r="X32" s="182">
        <v>44805</v>
      </c>
      <c r="Y32" s="182">
        <v>44835</v>
      </c>
      <c r="Z32" s="182">
        <v>44866</v>
      </c>
      <c r="AA32" s="182">
        <v>44896</v>
      </c>
      <c r="AB32" s="182">
        <v>44927</v>
      </c>
      <c r="AC32" s="182">
        <v>44958</v>
      </c>
      <c r="AD32" s="182">
        <v>44986</v>
      </c>
      <c r="AE32" s="182">
        <v>45017</v>
      </c>
      <c r="AF32" s="182">
        <v>45047</v>
      </c>
      <c r="AG32" s="182">
        <v>45078</v>
      </c>
      <c r="AH32" s="182">
        <v>45108</v>
      </c>
      <c r="AI32" s="182">
        <v>45139</v>
      </c>
      <c r="AJ32" s="182">
        <v>45170</v>
      </c>
      <c r="AK32" s="182">
        <v>45200</v>
      </c>
      <c r="AL32" s="182">
        <v>45231</v>
      </c>
      <c r="AM32" s="182">
        <v>45261</v>
      </c>
      <c r="AN32" s="182">
        <v>45292</v>
      </c>
      <c r="AO32" s="182">
        <v>45323</v>
      </c>
      <c r="AP32" s="182">
        <v>45352</v>
      </c>
      <c r="AQ32" s="182">
        <v>45383</v>
      </c>
    </row>
    <row r="33" spans="2:43" ht="19.5" customHeight="1">
      <c r="B33" s="351" t="s">
        <v>395</v>
      </c>
      <c r="C33" s="441" t="s">
        <v>396</v>
      </c>
      <c r="D33" s="56">
        <v>5159</v>
      </c>
      <c r="E33" s="56">
        <v>5166</v>
      </c>
      <c r="F33" s="56">
        <v>5196</v>
      </c>
      <c r="G33" s="56">
        <v>5189</v>
      </c>
      <c r="H33" s="56">
        <v>5174</v>
      </c>
      <c r="I33" s="56">
        <v>5188</v>
      </c>
      <c r="J33" s="56">
        <v>5164</v>
      </c>
      <c r="K33" s="56">
        <v>5150</v>
      </c>
      <c r="L33" s="56">
        <v>5141</v>
      </c>
      <c r="M33" s="56">
        <v>5136</v>
      </c>
      <c r="N33" s="56">
        <v>5123</v>
      </c>
      <c r="O33" s="56">
        <v>5121</v>
      </c>
      <c r="P33" s="56">
        <v>5094</v>
      </c>
      <c r="Q33" s="56">
        <v>5083</v>
      </c>
      <c r="R33" s="56">
        <v>5065</v>
      </c>
      <c r="S33" s="56">
        <v>5080</v>
      </c>
      <c r="T33" s="56">
        <v>5096</v>
      </c>
      <c r="U33" s="56">
        <v>5103</v>
      </c>
      <c r="V33" s="56">
        <v>5129</v>
      </c>
      <c r="W33" s="56">
        <v>5139</v>
      </c>
      <c r="X33" s="56">
        <v>5148</v>
      </c>
      <c r="Y33" s="448">
        <v>5143</v>
      </c>
      <c r="Z33" s="449">
        <v>5161</v>
      </c>
      <c r="AA33" s="448">
        <v>5131</v>
      </c>
      <c r="AB33" s="448">
        <v>5206</v>
      </c>
      <c r="AC33" s="448">
        <v>5229</v>
      </c>
      <c r="AD33" s="448">
        <v>5249</v>
      </c>
      <c r="AE33" s="448">
        <v>5263</v>
      </c>
      <c r="AF33" s="448">
        <v>5280</v>
      </c>
      <c r="AG33" s="448">
        <v>5301</v>
      </c>
      <c r="AH33" s="447">
        <v>5301</v>
      </c>
      <c r="AI33">
        <v>5329</v>
      </c>
      <c r="AJ33">
        <v>5346</v>
      </c>
      <c r="AK33">
        <v>5375</v>
      </c>
      <c r="AL33">
        <v>5383</v>
      </c>
      <c r="AM33">
        <v>5404</v>
      </c>
      <c r="AN33">
        <v>5420</v>
      </c>
      <c r="AO33">
        <v>5434</v>
      </c>
      <c r="AP33">
        <v>5445</v>
      </c>
      <c r="AQ33">
        <v>5451</v>
      </c>
    </row>
    <row r="34" spans="2:43" ht="18" customHeight="1">
      <c r="B34" s="248" t="s">
        <v>397</v>
      </c>
      <c r="C34" s="240" t="s">
        <v>398</v>
      </c>
      <c r="D34" s="56">
        <v>13746</v>
      </c>
      <c r="E34" s="56">
        <v>13733</v>
      </c>
      <c r="F34" s="56">
        <v>13781</v>
      </c>
      <c r="G34" s="56">
        <v>13830</v>
      </c>
      <c r="H34" s="56">
        <v>13854</v>
      </c>
      <c r="I34" s="56">
        <v>13941</v>
      </c>
      <c r="J34" s="56">
        <v>14023</v>
      </c>
      <c r="K34" s="56">
        <v>14053</v>
      </c>
      <c r="L34" s="56">
        <v>14047</v>
      </c>
      <c r="M34" s="56">
        <v>14022</v>
      </c>
      <c r="N34" s="56">
        <v>14028</v>
      </c>
      <c r="O34" s="56">
        <v>14063</v>
      </c>
      <c r="P34" s="56">
        <v>14084</v>
      </c>
      <c r="Q34" s="56">
        <v>14099</v>
      </c>
      <c r="R34" s="450">
        <v>14118</v>
      </c>
      <c r="S34" s="450">
        <v>14140</v>
      </c>
      <c r="T34" s="450">
        <v>14153</v>
      </c>
      <c r="U34" s="450">
        <v>14161</v>
      </c>
      <c r="V34" s="450">
        <v>14272</v>
      </c>
      <c r="W34" s="450">
        <v>14266</v>
      </c>
      <c r="X34" s="450">
        <v>14260</v>
      </c>
      <c r="Y34" s="450">
        <v>14287</v>
      </c>
      <c r="Z34" s="450">
        <v>14328</v>
      </c>
      <c r="AA34" s="450">
        <v>14360</v>
      </c>
      <c r="AB34" s="450">
        <v>14402</v>
      </c>
      <c r="AC34" s="450">
        <v>14430</v>
      </c>
      <c r="AD34" s="450">
        <v>14457</v>
      </c>
      <c r="AE34" s="450">
        <v>14482</v>
      </c>
      <c r="AF34" s="450">
        <v>14508</v>
      </c>
      <c r="AG34" s="450">
        <v>14536</v>
      </c>
      <c r="AH34" s="450">
        <v>14564</v>
      </c>
      <c r="AI34" s="450">
        <v>14585</v>
      </c>
      <c r="AJ34" s="450">
        <v>14612</v>
      </c>
      <c r="AK34" s="450">
        <v>14642</v>
      </c>
      <c r="AL34" s="450">
        <v>14665</v>
      </c>
      <c r="AM34" s="450">
        <v>14711</v>
      </c>
      <c r="AN34" s="450">
        <v>14742</v>
      </c>
      <c r="AO34" s="450">
        <v>14776</v>
      </c>
      <c r="AP34">
        <v>14827</v>
      </c>
      <c r="AQ34" s="450">
        <v>14827</v>
      </c>
    </row>
    <row r="35" spans="2:43" ht="18" customHeight="1">
      <c r="B35" s="248" t="s">
        <v>1923</v>
      </c>
      <c r="C35" s="240"/>
      <c r="D35" s="56"/>
      <c r="E35" s="56"/>
      <c r="F35" s="56"/>
      <c r="G35" s="56"/>
      <c r="H35" s="56"/>
      <c r="I35" s="56"/>
      <c r="J35" s="56"/>
      <c r="K35" s="56"/>
      <c r="L35" s="56"/>
      <c r="M35" s="56"/>
      <c r="N35" s="56"/>
      <c r="O35" s="56"/>
      <c r="P35" s="56"/>
      <c r="Q35" s="56"/>
      <c r="R35" s="450"/>
      <c r="S35" s="450"/>
      <c r="T35" s="450"/>
      <c r="U35" s="450"/>
      <c r="V35" s="450">
        <f>V33+V34</f>
        <v>19401</v>
      </c>
      <c r="W35" s="450">
        <f t="shared" ref="W35:AQ35" si="10">W33+W34</f>
        <v>19405</v>
      </c>
      <c r="X35" s="450">
        <f t="shared" si="10"/>
        <v>19408</v>
      </c>
      <c r="Y35" s="450">
        <f t="shared" si="10"/>
        <v>19430</v>
      </c>
      <c r="Z35" s="450">
        <f t="shared" si="10"/>
        <v>19489</v>
      </c>
      <c r="AA35" s="450">
        <f t="shared" si="10"/>
        <v>19491</v>
      </c>
      <c r="AB35" s="450">
        <f t="shared" si="10"/>
        <v>19608</v>
      </c>
      <c r="AC35" s="450">
        <f t="shared" si="10"/>
        <v>19659</v>
      </c>
      <c r="AD35" s="450">
        <f t="shared" si="10"/>
        <v>19706</v>
      </c>
      <c r="AE35" s="450">
        <f t="shared" si="10"/>
        <v>19745</v>
      </c>
      <c r="AF35" s="450">
        <f t="shared" si="10"/>
        <v>19788</v>
      </c>
      <c r="AG35" s="450">
        <f t="shared" si="10"/>
        <v>19837</v>
      </c>
      <c r="AH35" s="450">
        <f t="shared" si="10"/>
        <v>19865</v>
      </c>
      <c r="AI35" s="450">
        <f t="shared" si="10"/>
        <v>19914</v>
      </c>
      <c r="AJ35" s="450">
        <f t="shared" si="10"/>
        <v>19958</v>
      </c>
      <c r="AK35" s="450">
        <f t="shared" si="10"/>
        <v>20017</v>
      </c>
      <c r="AL35" s="450">
        <f t="shared" si="10"/>
        <v>20048</v>
      </c>
      <c r="AM35" s="450">
        <f t="shared" si="10"/>
        <v>20115</v>
      </c>
      <c r="AN35" s="450">
        <f t="shared" si="10"/>
        <v>20162</v>
      </c>
      <c r="AO35" s="450">
        <f t="shared" si="10"/>
        <v>20210</v>
      </c>
      <c r="AP35" s="450">
        <f t="shared" si="10"/>
        <v>20272</v>
      </c>
      <c r="AQ35" s="450">
        <f t="shared" si="10"/>
        <v>20278</v>
      </c>
    </row>
    <row r="36" spans="2:43" ht="19.5" customHeight="1">
      <c r="B36" s="479" t="s">
        <v>399</v>
      </c>
      <c r="C36" s="358" t="s">
        <v>400</v>
      </c>
      <c r="D36" s="56">
        <v>345102</v>
      </c>
      <c r="E36" s="450">
        <v>335151</v>
      </c>
      <c r="F36" s="450">
        <v>336955</v>
      </c>
      <c r="G36" s="450">
        <v>335574</v>
      </c>
      <c r="H36" s="450">
        <v>338521</v>
      </c>
      <c r="I36" s="450">
        <v>329746</v>
      </c>
      <c r="J36" s="450">
        <v>328919</v>
      </c>
      <c r="K36" s="450">
        <v>333989</v>
      </c>
      <c r="L36" s="450">
        <v>326840</v>
      </c>
      <c r="M36" s="450">
        <v>327373</v>
      </c>
      <c r="N36" s="450">
        <v>331380</v>
      </c>
      <c r="O36" s="450">
        <v>331492</v>
      </c>
      <c r="P36" s="450">
        <v>334244</v>
      </c>
      <c r="Q36" s="450">
        <v>338416</v>
      </c>
      <c r="R36" s="450">
        <v>339417</v>
      </c>
      <c r="S36" s="450">
        <v>345062</v>
      </c>
      <c r="T36" s="450">
        <v>339178</v>
      </c>
      <c r="U36" s="450">
        <v>342484</v>
      </c>
      <c r="V36" s="450">
        <v>350972</v>
      </c>
      <c r="W36" s="450">
        <v>350286</v>
      </c>
      <c r="X36" s="450">
        <v>355116</v>
      </c>
      <c r="Y36" s="450">
        <v>354474</v>
      </c>
      <c r="Z36" s="450">
        <v>359543</v>
      </c>
      <c r="AA36" s="450">
        <v>361033</v>
      </c>
      <c r="AB36" s="450">
        <v>364867</v>
      </c>
      <c r="AC36" s="450">
        <v>371673</v>
      </c>
      <c r="AD36" s="450">
        <v>374555</v>
      </c>
      <c r="AE36" s="450">
        <v>382073</v>
      </c>
      <c r="AF36" s="450">
        <v>388978</v>
      </c>
      <c r="AG36" s="450">
        <v>396538</v>
      </c>
      <c r="AH36" s="450">
        <v>404059</v>
      </c>
      <c r="AI36" s="450">
        <v>407847</v>
      </c>
      <c r="AJ36" s="450">
        <v>418897</v>
      </c>
      <c r="AK36" s="240">
        <v>432334</v>
      </c>
      <c r="AL36" s="450">
        <v>440095</v>
      </c>
      <c r="AM36" s="450">
        <v>446894</v>
      </c>
      <c r="AN36" s="450">
        <v>445408</v>
      </c>
      <c r="AO36">
        <v>448458</v>
      </c>
      <c r="AP36" s="450">
        <v>453062</v>
      </c>
      <c r="AQ36">
        <v>451154</v>
      </c>
    </row>
    <row r="37" spans="2:43" ht="15.65" customHeight="1">
      <c r="B37" s="255"/>
      <c r="C37" s="24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40">
        <f>(AK35/AJ35)^12</f>
        <v>1.0360570030341696</v>
      </c>
      <c r="AL37" s="240">
        <f t="shared" ref="AL37:AM37" si="12">(AL35/AK35)^12</f>
        <v>1.01874331923136</v>
      </c>
      <c r="AM37" s="240">
        <f t="shared" si="12"/>
        <v>1.0408491672630216</v>
      </c>
      <c r="AN37" s="240">
        <f>(AN35/AM35)^12</f>
        <v>1.0284019275837375</v>
      </c>
      <c r="AO37" s="240">
        <f>(AO35/AN35)^12</f>
        <v>1.0289456543406541</v>
      </c>
    </row>
    <row r="38" spans="2:43" ht="12.75" customHeight="1">
      <c r="AE38">
        <f>AVERAGE(AE35:AG35)</f>
        <v>19790</v>
      </c>
      <c r="AH38">
        <f>AVERAGE(AH35:AJ35)</f>
        <v>19912.333333333332</v>
      </c>
      <c r="AK38" s="240">
        <f>(AK34/AJ34)^3</f>
        <v>1.0061719755057918</v>
      </c>
    </row>
    <row r="39" spans="2:43">
      <c r="B39" s="1351" t="s">
        <v>401</v>
      </c>
      <c r="C39" s="1351"/>
      <c r="D39" s="1351"/>
      <c r="E39" s="1351"/>
      <c r="F39" s="1351"/>
      <c r="G39" s="1351"/>
      <c r="H39" s="1351"/>
      <c r="I39" s="1351"/>
      <c r="J39" s="1351"/>
      <c r="K39" s="1351"/>
      <c r="L39" s="1351"/>
      <c r="M39" s="1351"/>
      <c r="N39" s="1351"/>
      <c r="O39" s="1351"/>
      <c r="P39" s="1351"/>
      <c r="Q39" s="1351"/>
      <c r="R39" s="1351"/>
      <c r="S39" s="1351"/>
      <c r="T39" s="1351"/>
      <c r="U39" s="1351"/>
      <c r="V39" s="1351"/>
      <c r="W39" s="1351"/>
      <c r="X39" s="1351"/>
      <c r="Y39" s="1351"/>
      <c r="Z39" s="1351"/>
      <c r="AA39" s="1351"/>
      <c r="AB39" s="1351"/>
      <c r="AC39" s="1351"/>
      <c r="AD39" s="212"/>
      <c r="AE39">
        <f>AVERAGE(AE36:AG36)</f>
        <v>389196.33333333331</v>
      </c>
      <c r="AF39" s="212"/>
      <c r="AG39" s="212"/>
      <c r="AH39">
        <f>AVERAGE(AH36:AJ36)</f>
        <v>410267.66666666669</v>
      </c>
      <c r="AK39" s="240"/>
    </row>
    <row r="40" spans="2:43" ht="20.25" customHeight="1">
      <c r="B40" s="1351"/>
      <c r="C40" s="1351"/>
      <c r="D40" s="1351"/>
      <c r="E40" s="1351"/>
      <c r="F40" s="1351"/>
      <c r="G40" s="1351"/>
      <c r="H40" s="1351"/>
      <c r="I40" s="1351"/>
      <c r="J40" s="1351"/>
      <c r="K40" s="1351"/>
      <c r="L40" s="1351"/>
      <c r="M40" s="1351"/>
      <c r="N40" s="1351"/>
      <c r="O40" s="1351"/>
      <c r="P40" s="1351"/>
      <c r="Q40" s="1351"/>
      <c r="R40" s="1351"/>
      <c r="S40" s="1351"/>
      <c r="T40" s="1351"/>
      <c r="U40" s="1351"/>
      <c r="V40" s="1351"/>
      <c r="W40" s="1351"/>
      <c r="X40" s="1351"/>
      <c r="Y40" s="1351"/>
      <c r="Z40" s="1351"/>
      <c r="AA40" s="1351"/>
      <c r="AB40" s="1351"/>
      <c r="AC40" s="1351"/>
      <c r="AD40" s="212"/>
      <c r="AE40" s="212"/>
      <c r="AF40" s="212"/>
      <c r="AG40" s="212"/>
      <c r="AH40">
        <f>AH38/AE38</f>
        <v>1.0061815731851103</v>
      </c>
      <c r="AK40" s="240"/>
    </row>
    <row r="41" spans="2:43" ht="14.25" customHeight="1">
      <c r="B41" s="1350" t="s">
        <v>402</v>
      </c>
      <c r="C41" s="1350"/>
      <c r="D41" s="1350"/>
      <c r="E41" s="1350"/>
      <c r="F41" s="1350"/>
      <c r="G41" s="1350"/>
      <c r="H41" s="1350"/>
      <c r="I41" s="1350"/>
      <c r="J41" s="1350"/>
      <c r="K41" s="1350"/>
      <c r="L41" s="1350"/>
      <c r="M41" s="1350"/>
      <c r="N41" s="1350"/>
      <c r="O41" s="1350"/>
      <c r="P41" s="1350"/>
      <c r="Q41" s="1350"/>
      <c r="R41" s="1350"/>
      <c r="S41" s="1350"/>
      <c r="T41" s="1350"/>
      <c r="U41" s="1350"/>
      <c r="V41" s="1350"/>
      <c r="W41" s="1350"/>
      <c r="X41" s="1350"/>
      <c r="Y41" s="1350"/>
      <c r="Z41" s="1350"/>
      <c r="AA41" s="1350"/>
      <c r="AB41" s="1350"/>
      <c r="AC41" s="1350"/>
      <c r="AD41" s="379"/>
      <c r="AE41" s="379"/>
      <c r="AF41" s="379"/>
      <c r="AG41" s="379"/>
      <c r="AH41">
        <f>AH39/AE39</f>
        <v>1.0541406265389621</v>
      </c>
      <c r="AK41" s="240"/>
    </row>
    <row r="42" spans="2:43">
      <c r="B42" s="1350"/>
      <c r="C42" s="1350"/>
      <c r="D42" s="1350"/>
      <c r="E42" s="1350"/>
      <c r="F42" s="1350"/>
      <c r="G42" s="1350"/>
      <c r="H42" s="1350"/>
      <c r="I42" s="1350"/>
      <c r="J42" s="1350"/>
      <c r="K42" s="1350"/>
      <c r="L42" s="1350"/>
      <c r="M42" s="1350"/>
      <c r="N42" s="1350"/>
      <c r="O42" s="1350"/>
      <c r="P42" s="1350"/>
      <c r="Q42" s="1350"/>
      <c r="R42" s="1350"/>
      <c r="S42" s="1350"/>
      <c r="T42" s="1350"/>
      <c r="U42" s="1350"/>
      <c r="V42" s="1350"/>
      <c r="W42" s="1350"/>
      <c r="X42" s="1350"/>
      <c r="Y42" s="1350"/>
      <c r="Z42" s="1350"/>
      <c r="AA42" s="1350"/>
      <c r="AB42" s="1350"/>
      <c r="AC42" s="1350"/>
      <c r="AD42" s="379"/>
      <c r="AE42" s="379"/>
      <c r="AF42" s="379"/>
      <c r="AG42" s="379"/>
      <c r="AK42" s="240"/>
    </row>
    <row r="43" spans="2:43" ht="8.9" customHeight="1">
      <c r="B43" s="1350"/>
      <c r="C43" s="1350"/>
      <c r="D43" s="1350"/>
      <c r="E43" s="1350"/>
      <c r="F43" s="1350"/>
      <c r="G43" s="1350"/>
      <c r="H43" s="1350"/>
      <c r="I43" s="1350"/>
      <c r="J43" s="1350"/>
      <c r="K43" s="1350"/>
      <c r="L43" s="1350"/>
      <c r="M43" s="1350"/>
      <c r="N43" s="1350"/>
      <c r="O43" s="1350"/>
      <c r="P43" s="1350"/>
      <c r="Q43" s="1350"/>
      <c r="R43" s="1350"/>
      <c r="S43" s="1350"/>
      <c r="T43" s="1350"/>
      <c r="U43" s="1350"/>
      <c r="V43" s="1350"/>
      <c r="W43" s="1350"/>
      <c r="X43" s="1350"/>
      <c r="Y43" s="1350"/>
      <c r="Z43" s="1350"/>
      <c r="AA43" s="1350"/>
      <c r="AB43" s="1350"/>
      <c r="AC43" s="1350"/>
      <c r="AD43" s="379"/>
      <c r="AE43" s="379"/>
      <c r="AF43" s="379"/>
      <c r="AG43" s="379"/>
      <c r="AK43" s="240"/>
    </row>
    <row r="44" spans="2:43" ht="12.75" customHeight="1">
      <c r="AK44" s="240"/>
    </row>
    <row r="45" spans="2:43" ht="30.75" customHeight="1">
      <c r="B45" s="1302" t="s">
        <v>279</v>
      </c>
      <c r="C45" s="1352"/>
      <c r="D45" s="1306" t="s">
        <v>280</v>
      </c>
      <c r="E45" s="1319"/>
      <c r="F45" s="1319"/>
      <c r="G45" s="1319"/>
      <c r="H45" s="1319"/>
      <c r="I45" s="1319"/>
      <c r="J45" s="1319"/>
      <c r="K45" s="1319"/>
      <c r="L45" s="1319"/>
      <c r="M45" s="1319"/>
      <c r="N45" s="1319"/>
      <c r="O45" s="1319"/>
      <c r="P45" s="1319"/>
      <c r="Q45" s="1319"/>
      <c r="R45" s="1319"/>
      <c r="S45" s="1319"/>
      <c r="T45" s="1319"/>
      <c r="U45" s="1320"/>
      <c r="V45" s="1305"/>
      <c r="W45" s="1340" t="s">
        <v>281</v>
      </c>
      <c r="X45" s="1341"/>
      <c r="Y45" s="1341"/>
      <c r="Z45" s="1341"/>
      <c r="AA45" s="1341"/>
      <c r="AB45" s="1341"/>
      <c r="AC45" s="1341"/>
      <c r="AD45" s="1341"/>
      <c r="AE45" s="1341"/>
      <c r="AF45" s="1341"/>
      <c r="AG45" s="1341"/>
      <c r="AK45" s="240"/>
    </row>
    <row r="46" spans="2:43">
      <c r="B46" s="1304"/>
      <c r="C46" s="1320"/>
      <c r="D46" s="219">
        <v>2018</v>
      </c>
      <c r="E46" s="1311">
        <v>2019</v>
      </c>
      <c r="F46" s="1312"/>
      <c r="G46" s="1312"/>
      <c r="H46" s="1313"/>
      <c r="I46" s="1311">
        <v>2020</v>
      </c>
      <c r="J46" s="1312"/>
      <c r="K46" s="1312"/>
      <c r="L46" s="1312"/>
      <c r="M46" s="1311">
        <v>2021</v>
      </c>
      <c r="N46" s="1312"/>
      <c r="O46" s="1312"/>
      <c r="P46" s="1312"/>
      <c r="Q46" s="1311">
        <v>2022</v>
      </c>
      <c r="R46" s="1333"/>
      <c r="S46" s="1333"/>
      <c r="T46" s="1333"/>
      <c r="U46" s="239"/>
      <c r="V46" s="288">
        <v>2023</v>
      </c>
      <c r="W46" s="289"/>
      <c r="X46" s="260"/>
      <c r="Y46" s="1308">
        <v>2024</v>
      </c>
      <c r="Z46" s="1309"/>
      <c r="AA46" s="1309"/>
      <c r="AB46" s="1310"/>
      <c r="AC46" s="1308">
        <v>2025</v>
      </c>
      <c r="AD46" s="1309"/>
      <c r="AE46" s="1309"/>
      <c r="AF46" s="1310"/>
      <c r="AG46" s="251">
        <v>2026</v>
      </c>
      <c r="AK46" s="240"/>
    </row>
    <row r="47" spans="2:43">
      <c r="B47" s="1306"/>
      <c r="C47" s="1319"/>
      <c r="D47" s="214" t="s">
        <v>282</v>
      </c>
      <c r="E47" s="214" t="s">
        <v>283</v>
      </c>
      <c r="F47" s="215" t="s">
        <v>284</v>
      </c>
      <c r="G47" s="215" t="s">
        <v>238</v>
      </c>
      <c r="H47" s="216" t="s">
        <v>282</v>
      </c>
      <c r="I47" s="215" t="s">
        <v>283</v>
      </c>
      <c r="J47" s="215" t="s">
        <v>284</v>
      </c>
      <c r="K47" s="215" t="s">
        <v>238</v>
      </c>
      <c r="L47" s="215" t="s">
        <v>282</v>
      </c>
      <c r="M47" s="214" t="s">
        <v>283</v>
      </c>
      <c r="N47" s="215" t="s">
        <v>284</v>
      </c>
      <c r="O47" s="215" t="s">
        <v>238</v>
      </c>
      <c r="P47" s="215" t="s">
        <v>282</v>
      </c>
      <c r="Q47" s="214" t="s">
        <v>283</v>
      </c>
      <c r="R47" s="215" t="s">
        <v>284</v>
      </c>
      <c r="S47" s="215" t="s">
        <v>238</v>
      </c>
      <c r="T47" s="215" t="s">
        <v>282</v>
      </c>
      <c r="U47" s="285" t="s">
        <v>283</v>
      </c>
      <c r="V47" s="286" t="s">
        <v>284</v>
      </c>
      <c r="W47" s="270" t="s">
        <v>238</v>
      </c>
      <c r="X47" s="271" t="s">
        <v>282</v>
      </c>
      <c r="Y47" s="269" t="s">
        <v>283</v>
      </c>
      <c r="Z47" s="267" t="s">
        <v>284</v>
      </c>
      <c r="AA47" s="270" t="s">
        <v>238</v>
      </c>
      <c r="AB47" s="271" t="s">
        <v>282</v>
      </c>
      <c r="AC47" s="269" t="s">
        <v>283</v>
      </c>
      <c r="AD47" s="267" t="s">
        <v>284</v>
      </c>
      <c r="AE47" s="270" t="s">
        <v>238</v>
      </c>
      <c r="AF47" s="271" t="s">
        <v>282</v>
      </c>
      <c r="AG47" s="272" t="s">
        <v>283</v>
      </c>
      <c r="AK47" s="240"/>
    </row>
    <row r="48" spans="2:43">
      <c r="B48" s="487" t="s">
        <v>134</v>
      </c>
      <c r="C48" s="273"/>
      <c r="D48" s="250"/>
      <c r="E48" s="481"/>
      <c r="F48" s="481"/>
      <c r="G48" s="481"/>
      <c r="H48" s="434">
        <f>Grants!H96</f>
        <v>72.156000000000006</v>
      </c>
      <c r="I48" s="434">
        <f>Grants!I96</f>
        <v>75.245999999999995</v>
      </c>
      <c r="J48" s="434">
        <f>Grants!J96</f>
        <v>75.986000000000004</v>
      </c>
      <c r="K48" s="434">
        <f>Grants!K96</f>
        <v>79.650999999999996</v>
      </c>
      <c r="L48" s="434">
        <f>Grants!L96</f>
        <v>75.400999999999996</v>
      </c>
      <c r="M48" s="434">
        <f>Grants!M96</f>
        <v>73.034999999999997</v>
      </c>
      <c r="N48" s="434">
        <f>Grants!N96</f>
        <v>75.13</v>
      </c>
      <c r="O48" s="434">
        <f>Grants!O96</f>
        <v>70.191999999999993</v>
      </c>
      <c r="P48" s="434">
        <f>Grants!P96</f>
        <v>72.266999999999996</v>
      </c>
      <c r="Q48" s="434">
        <f>Grants!Q96</f>
        <v>74.974000000000004</v>
      </c>
      <c r="R48" s="434">
        <f>Grants!R96</f>
        <v>75.229285714285723</v>
      </c>
      <c r="S48" s="482">
        <f>Grants!S96</f>
        <v>75.229285714285723</v>
      </c>
      <c r="T48" s="461">
        <f>Grants!T96</f>
        <v>76.048285714285726</v>
      </c>
      <c r="U48" s="226">
        <f>Grants!U96</f>
        <v>76.048285714285726</v>
      </c>
      <c r="V48" s="226">
        <f>Grants!V96</f>
        <v>76.048285714285726</v>
      </c>
      <c r="W48" s="226">
        <f>Grants!W96</f>
        <v>76.048285714285726</v>
      </c>
      <c r="X48" s="236">
        <f>Grants!X96</f>
        <v>77.707285714285717</v>
      </c>
      <c r="Y48" s="236">
        <f>Grants!Y96</f>
        <v>77.707285714285717</v>
      </c>
      <c r="Z48" s="236">
        <f>Grants!Z96</f>
        <v>77.707285714285717</v>
      </c>
      <c r="AA48" s="236">
        <f>Grants!AA96</f>
        <v>77.707285714285717</v>
      </c>
      <c r="AB48" s="236">
        <f>Grants!AB96</f>
        <v>79.301285714285726</v>
      </c>
      <c r="AC48" s="236">
        <f>Grants!AC96</f>
        <v>79.301285714285726</v>
      </c>
      <c r="AD48" s="236">
        <f>Grants!AD96</f>
        <v>75.229285714285723</v>
      </c>
      <c r="AE48" s="236">
        <f>Grants!AE96</f>
        <v>75.229285714285723</v>
      </c>
      <c r="AF48" s="236">
        <f>Grants!AF96</f>
        <v>75.229285714285723</v>
      </c>
      <c r="AG48" s="236">
        <f>Grants!AG96</f>
        <v>75.229285714285723</v>
      </c>
    </row>
    <row r="49" spans="2:62">
      <c r="B49" s="478" t="s">
        <v>192</v>
      </c>
      <c r="C49" s="469"/>
      <c r="D49" s="459"/>
      <c r="E49" s="469"/>
      <c r="F49" s="469"/>
      <c r="G49" s="469"/>
      <c r="H49" s="226">
        <f>Grants!H75</f>
        <v>206.82899999999995</v>
      </c>
      <c r="I49" s="226">
        <f>Grants!I75</f>
        <v>214.11100000000005</v>
      </c>
      <c r="J49" s="226">
        <f>Grants!J75</f>
        <v>320.24999999999989</v>
      </c>
      <c r="K49" s="226">
        <f>Grants!K75</f>
        <v>298.13400000000001</v>
      </c>
      <c r="L49" s="226">
        <f>Grants!L75</f>
        <v>289.54399999999998</v>
      </c>
      <c r="M49" s="226">
        <f>Grants!M75</f>
        <v>320.34099999999995</v>
      </c>
      <c r="N49" s="226">
        <f>Grants!N75</f>
        <v>354.35800000000017</v>
      </c>
      <c r="O49" s="226">
        <f>Grants!O75</f>
        <v>375.57600000000008</v>
      </c>
      <c r="P49" s="226">
        <f>Grants!P75</f>
        <v>396.106852</v>
      </c>
      <c r="Q49" s="226">
        <f>Grants!Q75</f>
        <v>433.66327480000001</v>
      </c>
      <c r="R49" s="226">
        <f>Grants!R75</f>
        <v>500.88603199999994</v>
      </c>
      <c r="S49" s="226">
        <f>Grants!S75</f>
        <v>486.87586800000008</v>
      </c>
      <c r="T49" s="226">
        <f>Grants!T75</f>
        <v>445.45392800000008</v>
      </c>
      <c r="U49" s="456">
        <f>Grants!U75</f>
        <v>439.61154320000009</v>
      </c>
      <c r="V49" s="456">
        <f>Grants!V75</f>
        <v>429.15772000000004</v>
      </c>
      <c r="W49" s="456">
        <f>Grants!W75</f>
        <v>415.61894400000006</v>
      </c>
      <c r="X49" s="456">
        <f>Grants!X75</f>
        <v>427.53694400000006</v>
      </c>
      <c r="Y49" s="456">
        <f>Grants!Y75</f>
        <v>427.26494400000001</v>
      </c>
      <c r="Z49" s="456">
        <f>Grants!Z75</f>
        <v>418.03001728324807</v>
      </c>
      <c r="AA49" s="456">
        <f>Grants!AA75</f>
        <v>422.5102225824408</v>
      </c>
      <c r="AB49" s="456">
        <f>Grants!AB75</f>
        <v>427.2815256817579</v>
      </c>
      <c r="AC49" s="456">
        <f>Grants!AC75</f>
        <v>410.47107700000004</v>
      </c>
      <c r="AD49" s="456">
        <f>Grants!AD75</f>
        <v>405.8184041145779</v>
      </c>
      <c r="AE49" s="456">
        <f>Grants!AE75</f>
        <v>408.36749628573835</v>
      </c>
      <c r="AF49" s="456">
        <f>Grants!AF75</f>
        <v>407.0560067810282</v>
      </c>
      <c r="AG49" s="456">
        <f>Grants!AG75</f>
        <v>409.781722</v>
      </c>
    </row>
    <row r="50" spans="2:62">
      <c r="B50" s="488" t="s">
        <v>403</v>
      </c>
      <c r="C50" s="480"/>
      <c r="D50" s="479"/>
      <c r="E50" s="480"/>
      <c r="F50" s="480"/>
      <c r="G50" s="480"/>
      <c r="H50" s="462">
        <f>H48+H49</f>
        <v>278.98499999999996</v>
      </c>
      <c r="I50" s="462">
        <f t="shared" ref="I50:AG50" si="13">I48+I49</f>
        <v>289.35700000000003</v>
      </c>
      <c r="J50" s="462">
        <f t="shared" si="13"/>
        <v>396.23599999999988</v>
      </c>
      <c r="K50" s="462">
        <f t="shared" si="13"/>
        <v>377.78500000000003</v>
      </c>
      <c r="L50" s="462">
        <f t="shared" si="13"/>
        <v>364.94499999999999</v>
      </c>
      <c r="M50" s="462">
        <f t="shared" si="13"/>
        <v>393.37599999999998</v>
      </c>
      <c r="N50" s="462">
        <f t="shared" si="13"/>
        <v>429.48800000000017</v>
      </c>
      <c r="O50" s="462">
        <f t="shared" si="13"/>
        <v>445.76800000000009</v>
      </c>
      <c r="P50" s="462">
        <f t="shared" si="13"/>
        <v>468.373852</v>
      </c>
      <c r="Q50" s="462">
        <f t="shared" si="13"/>
        <v>508.6372748</v>
      </c>
      <c r="R50" s="462">
        <f t="shared" si="13"/>
        <v>576.11531771428565</v>
      </c>
      <c r="S50" s="462">
        <f t="shared" si="13"/>
        <v>562.10515371428585</v>
      </c>
      <c r="T50" s="462">
        <f t="shared" si="13"/>
        <v>521.50221371428574</v>
      </c>
      <c r="U50" s="462">
        <f t="shared" si="13"/>
        <v>515.65982891428575</v>
      </c>
      <c r="V50" s="226">
        <f t="shared" si="13"/>
        <v>505.20600571428577</v>
      </c>
      <c r="W50" s="226">
        <f t="shared" si="13"/>
        <v>491.66722971428578</v>
      </c>
      <c r="X50" s="236">
        <f t="shared" si="13"/>
        <v>505.24422971428578</v>
      </c>
      <c r="Y50" s="236">
        <f t="shared" si="13"/>
        <v>504.97222971428573</v>
      </c>
      <c r="Z50" s="236">
        <f t="shared" si="13"/>
        <v>495.73730299753379</v>
      </c>
      <c r="AA50" s="236">
        <f t="shared" si="13"/>
        <v>500.21750829672652</v>
      </c>
      <c r="AB50" s="236">
        <f t="shared" si="13"/>
        <v>506.58281139604361</v>
      </c>
      <c r="AC50" s="236">
        <f t="shared" si="13"/>
        <v>489.77236271428575</v>
      </c>
      <c r="AD50" s="236">
        <f t="shared" si="13"/>
        <v>481.04768982886361</v>
      </c>
      <c r="AE50" s="236">
        <f t="shared" si="13"/>
        <v>483.59678200002406</v>
      </c>
      <c r="AF50" s="236">
        <f t="shared" si="13"/>
        <v>482.28529249531391</v>
      </c>
      <c r="AG50" s="236">
        <f t="shared" si="13"/>
        <v>485.01100771428571</v>
      </c>
    </row>
    <row r="52" spans="2:62">
      <c r="S52" s="94"/>
      <c r="T52" s="94"/>
      <c r="U52" s="94"/>
      <c r="V52" s="94"/>
      <c r="W52" s="94"/>
      <c r="X52" s="94"/>
      <c r="Y52" s="94"/>
      <c r="Z52" s="94"/>
      <c r="AA52" s="94"/>
      <c r="AB52" s="94"/>
      <c r="AC52" s="94"/>
      <c r="AD52" s="94"/>
      <c r="AE52" s="94"/>
      <c r="AF52" s="94"/>
      <c r="AG52" s="94"/>
    </row>
    <row r="53" spans="2:62">
      <c r="S53" s="94"/>
      <c r="T53" s="94"/>
      <c r="U53" s="94"/>
      <c r="V53" s="94"/>
      <c r="W53" s="94"/>
      <c r="X53" s="94"/>
      <c r="Y53" s="94"/>
      <c r="Z53" s="94"/>
      <c r="AA53" s="94"/>
      <c r="AB53" s="94"/>
      <c r="AC53" s="94"/>
      <c r="AD53" s="94"/>
      <c r="AE53" s="94"/>
      <c r="AF53" s="94"/>
      <c r="AG53" s="94"/>
    </row>
    <row r="54" spans="2:62" ht="27.65" customHeight="1">
      <c r="S54" s="94"/>
      <c r="T54" s="94"/>
      <c r="U54" s="94"/>
      <c r="V54" s="94"/>
      <c r="W54" s="94"/>
      <c r="X54" s="94"/>
      <c r="Y54" s="94"/>
      <c r="Z54" s="94"/>
      <c r="AA54" s="94"/>
      <c r="AB54" s="94"/>
      <c r="AC54" s="94"/>
      <c r="AD54" s="94"/>
      <c r="AE54" s="94"/>
      <c r="AF54" s="94"/>
      <c r="AG54" s="94"/>
    </row>
    <row r="55" spans="2:62" ht="27.65" customHeight="1"/>
    <row r="56" spans="2:62" ht="27.65" customHeight="1">
      <c r="BH56" s="439"/>
      <c r="BI56" s="439"/>
      <c r="BJ56" s="439"/>
    </row>
    <row r="58" spans="2:62" ht="27.65" customHeight="1"/>
    <row r="59" spans="2:62" ht="27.65" customHeight="1"/>
    <row r="60" spans="2:62" ht="27.65" customHeight="1"/>
  </sheetData>
  <mergeCells count="33">
    <mergeCell ref="B1:AC1"/>
    <mergeCell ref="B6:C8"/>
    <mergeCell ref="E7:H7"/>
    <mergeCell ref="I7:L7"/>
    <mergeCell ref="Y7:AB7"/>
    <mergeCell ref="B2:AC4"/>
    <mergeCell ref="Q7:T7"/>
    <mergeCell ref="AC7:AF7"/>
    <mergeCell ref="W6:AG6"/>
    <mergeCell ref="D6:V6"/>
    <mergeCell ref="M7:P7"/>
    <mergeCell ref="W20:AG20"/>
    <mergeCell ref="AC21:AF21"/>
    <mergeCell ref="D20:V20"/>
    <mergeCell ref="I21:L21"/>
    <mergeCell ref="B15:AC15"/>
    <mergeCell ref="B16:AC18"/>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74" activePane="bottomRight" state="frozen"/>
      <selection pane="topRight" activeCell="D1" sqref="D1"/>
      <selection pane="bottomLeft" activeCell="A11" sqref="A11"/>
      <selection pane="bottomRight" activeCell="B26" sqref="B26"/>
    </sheetView>
  </sheetViews>
  <sheetFormatPr defaultColWidth="10.81640625" defaultRowHeight="14.5"/>
  <cols>
    <col min="2" max="2" width="49.453125" customWidth="1"/>
    <col min="6" max="25" width="6.453125" customWidth="1"/>
    <col min="27" max="27" width="10.1796875" customWidth="1"/>
  </cols>
  <sheetData>
    <row r="1" spans="2:36">
      <c r="B1" s="1297" t="s">
        <v>52</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6" ht="14.9" customHeight="1">
      <c r="B2" s="1298" t="s">
        <v>858</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row>
    <row r="3" spans="2:36" ht="14.9" customHeight="1">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row>
    <row r="4" spans="2:36" ht="5.9" customHeight="1">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row>
    <row r="5" spans="2:36" ht="1.5" customHeight="1">
      <c r="B5" s="1298"/>
      <c r="C5" s="1298"/>
      <c r="D5" s="1298"/>
      <c r="E5" s="1298"/>
      <c r="F5" s="1298"/>
      <c r="G5" s="1298"/>
      <c r="H5" s="1298"/>
      <c r="I5" s="1298"/>
      <c r="J5" s="1298"/>
      <c r="K5" s="1298"/>
      <c r="L5" s="1298"/>
      <c r="M5" s="1298"/>
      <c r="N5" s="1298"/>
      <c r="O5" s="1298"/>
      <c r="P5" s="1298"/>
      <c r="Q5" s="1298"/>
      <c r="R5" s="1298"/>
      <c r="S5" s="1298"/>
      <c r="T5" s="1298"/>
      <c r="U5" s="1298"/>
      <c r="V5" s="1298"/>
      <c r="W5" s="1298"/>
      <c r="X5" s="1298"/>
      <c r="Y5" s="1298"/>
      <c r="Z5" s="1298"/>
      <c r="AA5" s="1298"/>
      <c r="AB5" s="1298"/>
      <c r="AC5" s="1298"/>
    </row>
    <row r="6" spans="2:36" ht="14.9" customHeight="1">
      <c r="B6" s="1298"/>
      <c r="C6" s="1298"/>
      <c r="D6" s="1298"/>
      <c r="E6" s="1298"/>
      <c r="F6" s="1298"/>
      <c r="G6" s="1298"/>
      <c r="H6" s="1298"/>
      <c r="I6" s="1298"/>
      <c r="J6" s="1298"/>
      <c r="K6" s="1298"/>
      <c r="L6" s="1298"/>
      <c r="M6" s="1298"/>
      <c r="N6" s="1298"/>
      <c r="O6" s="1298"/>
      <c r="P6" s="1298"/>
      <c r="Q6" s="1298"/>
      <c r="R6" s="1298"/>
      <c r="S6" s="1298"/>
      <c r="T6" s="1298"/>
      <c r="U6" s="1298"/>
      <c r="V6" s="1298"/>
      <c r="W6" s="1298"/>
      <c r="X6" s="1298"/>
      <c r="Y6" s="1298"/>
      <c r="Z6" s="1298"/>
      <c r="AA6" s="1298"/>
      <c r="AB6" s="1298"/>
      <c r="AC6" s="1298"/>
    </row>
    <row r="7" spans="2:36" ht="33.75" customHeight="1">
      <c r="B7" s="55"/>
      <c r="C7" s="55"/>
      <c r="D7" s="55"/>
      <c r="E7" s="55"/>
      <c r="F7" s="55"/>
      <c r="G7" s="55"/>
      <c r="H7" s="55"/>
      <c r="I7" s="55"/>
      <c r="J7" s="55"/>
      <c r="K7" s="55"/>
      <c r="L7" s="55"/>
      <c r="M7" s="55"/>
      <c r="N7" s="55"/>
      <c r="O7" s="55"/>
      <c r="P7" s="55"/>
      <c r="Q7" s="55"/>
      <c r="R7" s="55"/>
      <c r="S7" s="55"/>
      <c r="T7" s="55"/>
      <c r="U7" s="55"/>
      <c r="V7" s="55"/>
      <c r="W7" s="55"/>
      <c r="X7" s="55"/>
      <c r="Y7" s="55"/>
    </row>
    <row r="8" spans="2:36" ht="14.9" customHeight="1">
      <c r="B8" s="1302" t="s">
        <v>404</v>
      </c>
      <c r="C8" s="1303"/>
      <c r="D8" s="1368" t="s">
        <v>280</v>
      </c>
      <c r="E8" s="1369"/>
      <c r="F8" s="1369"/>
      <c r="G8" s="1369"/>
      <c r="H8" s="1369"/>
      <c r="I8" s="1369"/>
      <c r="J8" s="1369"/>
      <c r="K8" s="1369"/>
      <c r="L8" s="1369"/>
      <c r="M8" s="1369"/>
      <c r="N8" s="1369"/>
      <c r="O8" s="1369"/>
      <c r="P8" s="1369"/>
      <c r="Q8" s="1369"/>
      <c r="R8" s="1369"/>
      <c r="S8" s="1369"/>
      <c r="T8" s="1369"/>
      <c r="U8" s="1370"/>
      <c r="V8" s="1303"/>
      <c r="W8" s="1331" t="s">
        <v>281</v>
      </c>
      <c r="X8" s="1332"/>
      <c r="Y8" s="1332"/>
      <c r="Z8" s="1332"/>
      <c r="AA8" s="1332"/>
      <c r="AB8" s="1332"/>
      <c r="AC8" s="1332"/>
      <c r="AD8" s="1332"/>
      <c r="AE8" s="1332"/>
      <c r="AF8" s="1332"/>
      <c r="AG8" s="1332"/>
    </row>
    <row r="9" spans="2:36">
      <c r="B9" s="1304"/>
      <c r="C9" s="1305"/>
      <c r="D9" s="214">
        <v>2018</v>
      </c>
      <c r="E9" s="1299">
        <v>2019</v>
      </c>
      <c r="F9" s="1300"/>
      <c r="G9" s="1300"/>
      <c r="H9" s="1301"/>
      <c r="I9" s="1299">
        <v>2020</v>
      </c>
      <c r="J9" s="1300"/>
      <c r="K9" s="1300"/>
      <c r="L9" s="1300"/>
      <c r="M9" s="1299">
        <v>2021</v>
      </c>
      <c r="N9" s="1300"/>
      <c r="O9" s="1300"/>
      <c r="P9" s="1300"/>
      <c r="Q9" s="1311">
        <v>2022</v>
      </c>
      <c r="R9" s="1333"/>
      <c r="S9" s="1333"/>
      <c r="T9" s="1333"/>
      <c r="U9" s="239"/>
      <c r="V9" s="288">
        <v>2023</v>
      </c>
      <c r="W9" s="289"/>
      <c r="X9" s="260"/>
      <c r="Y9" s="1308">
        <v>2024</v>
      </c>
      <c r="Z9" s="1321"/>
      <c r="AA9" s="1321"/>
      <c r="AB9" s="1310"/>
      <c r="AC9" s="1308">
        <v>2025</v>
      </c>
      <c r="AD9" s="1321"/>
      <c r="AE9" s="1321"/>
      <c r="AF9" s="1310"/>
      <c r="AG9" s="503">
        <v>2026</v>
      </c>
      <c r="AH9" s="240"/>
      <c r="AI9" s="240"/>
      <c r="AJ9" s="240"/>
    </row>
    <row r="10" spans="2:36">
      <c r="B10" s="1306"/>
      <c r="C10" s="1307"/>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5" t="s">
        <v>282</v>
      </c>
      <c r="U10" s="28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269" t="s">
        <v>283</v>
      </c>
    </row>
    <row r="11" spans="2:36">
      <c r="B11" s="525" t="s">
        <v>864</v>
      </c>
      <c r="C11" s="55" t="s">
        <v>519</v>
      </c>
      <c r="D11" s="492"/>
      <c r="E11" s="531"/>
      <c r="F11" s="535">
        <v>60.5</v>
      </c>
      <c r="G11" s="535">
        <v>81.400000000000006</v>
      </c>
      <c r="H11" s="535">
        <f>'Haver Pivoted'!GS42</f>
        <v>82.1</v>
      </c>
      <c r="I11" s="535">
        <f>'Haver Pivoted'!GT42</f>
        <v>80</v>
      </c>
      <c r="J11" s="535">
        <f>'Haver Pivoted'!GU42</f>
        <v>975.8</v>
      </c>
      <c r="K11" s="535">
        <f>'Haver Pivoted'!GV42</f>
        <v>1108.4000000000001</v>
      </c>
      <c r="L11" s="535">
        <f>'Haver Pivoted'!GW42</f>
        <v>460.7</v>
      </c>
      <c r="M11" s="535">
        <f>'Haver Pivoted'!GX42</f>
        <v>385.5</v>
      </c>
      <c r="N11" s="535">
        <f>'Haver Pivoted'!GY42</f>
        <v>692.7</v>
      </c>
      <c r="O11" s="535">
        <f>'Haver Pivoted'!GZ42</f>
        <v>547.1</v>
      </c>
      <c r="P11" s="535">
        <f>'Haver Pivoted'!HA42</f>
        <v>293.2</v>
      </c>
      <c r="Q11" s="535">
        <f>'Haver Pivoted'!HB42</f>
        <v>151.4</v>
      </c>
      <c r="R11" s="535">
        <f>'Haver Pivoted'!HC42</f>
        <v>129.5</v>
      </c>
      <c r="S11" s="536">
        <f>'Haver Pivoted'!HD42</f>
        <v>117.7</v>
      </c>
      <c r="T11" s="536">
        <f>'Haver Pivoted'!HE42</f>
        <v>108.6</v>
      </c>
      <c r="U11" s="330">
        <f>'Haver Pivoted'!HF42</f>
        <v>100.7</v>
      </c>
      <c r="V11" s="330">
        <f>'Haver Pivoted'!HG42</f>
        <v>99.2</v>
      </c>
      <c r="W11" s="330">
        <f>'Haver Pivoted'!HH42</f>
        <v>102.4</v>
      </c>
      <c r="X11" s="330">
        <f>'Haver Pivoted'!HI42</f>
        <v>99.3</v>
      </c>
      <c r="Y11" s="330">
        <f>'Haver Pivoted'!HJ42</f>
        <v>96.5</v>
      </c>
      <c r="Z11" s="543">
        <f t="shared" ref="Z11:AC11" si="0">Z12+Z13</f>
        <v>96.5</v>
      </c>
      <c r="AA11" s="543">
        <f t="shared" si="0"/>
        <v>96.5</v>
      </c>
      <c r="AB11" s="543">
        <f t="shared" si="0"/>
        <v>101.333</v>
      </c>
      <c r="AC11" s="510">
        <f t="shared" si="0"/>
        <v>101.333</v>
      </c>
      <c r="AD11" s="510">
        <f t="shared" ref="AD11:AE11" si="1">AD12+AD13</f>
        <v>94.311000000000007</v>
      </c>
      <c r="AE11" s="510">
        <f t="shared" si="1"/>
        <v>95.311000000000007</v>
      </c>
      <c r="AF11" s="510">
        <f t="shared" ref="AF11:AG11" si="2">AF12+AF13</f>
        <v>99.400999999999996</v>
      </c>
      <c r="AG11" s="510">
        <f t="shared" si="2"/>
        <v>100.401</v>
      </c>
    </row>
    <row r="12" spans="2:36" ht="16.5" customHeight="1">
      <c r="B12" s="425" t="s">
        <v>405</v>
      </c>
      <c r="C12" s="55"/>
      <c r="D12" s="525"/>
      <c r="E12" s="55"/>
      <c r="F12" s="54">
        <f>F11</f>
        <v>60.5</v>
      </c>
      <c r="G12" s="54">
        <f>G11</f>
        <v>81.400000000000006</v>
      </c>
      <c r="H12" s="54">
        <f t="shared" ref="H12:M12" si="3">H11-H13</f>
        <v>82.1</v>
      </c>
      <c r="I12" s="54">
        <f t="shared" si="3"/>
        <v>80</v>
      </c>
      <c r="J12" s="54">
        <f>J11-J13</f>
        <v>-13.700000000000045</v>
      </c>
      <c r="K12" s="54">
        <f t="shared" si="3"/>
        <v>-18.199999999999818</v>
      </c>
      <c r="L12" s="54">
        <f>L11-L13</f>
        <v>-77.700000000000102</v>
      </c>
      <c r="M12" s="54">
        <f t="shared" si="3"/>
        <v>77.699999999999989</v>
      </c>
      <c r="N12" s="54">
        <f t="shared" ref="N12:T12" si="4">N11-N13</f>
        <v>89.100000000000023</v>
      </c>
      <c r="O12" s="54">
        <f t="shared" si="4"/>
        <v>91.083520000000021</v>
      </c>
      <c r="P12" s="54">
        <f t="shared" si="4"/>
        <v>88.299999999999983</v>
      </c>
      <c r="Q12" s="54">
        <f t="shared" si="4"/>
        <v>90.7</v>
      </c>
      <c r="R12" s="54">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4">
        <f>Y12</f>
        <v>86.869</v>
      </c>
      <c r="AA12" s="334">
        <f t="shared" ref="AA12:AG12" si="6">Z12</f>
        <v>86.869</v>
      </c>
      <c r="AB12" s="334">
        <f t="shared" si="6"/>
        <v>86.869</v>
      </c>
      <c r="AC12" s="334">
        <f t="shared" si="6"/>
        <v>86.869</v>
      </c>
      <c r="AD12" s="334">
        <f t="shared" si="6"/>
        <v>86.869</v>
      </c>
      <c r="AE12" s="334">
        <f t="shared" si="6"/>
        <v>86.869</v>
      </c>
      <c r="AF12" s="334">
        <f t="shared" si="6"/>
        <v>86.869</v>
      </c>
      <c r="AG12" s="334">
        <f t="shared" si="6"/>
        <v>86.869</v>
      </c>
    </row>
    <row r="13" spans="2:36">
      <c r="B13" s="424" t="s">
        <v>406</v>
      </c>
      <c r="C13" s="55"/>
      <c r="D13" s="525"/>
      <c r="E13" s="55"/>
      <c r="F13" s="533"/>
      <c r="G13" s="533"/>
      <c r="H13" s="54">
        <f>SUM(H16:H25)</f>
        <v>0</v>
      </c>
      <c r="I13" s="54">
        <f>SUM(I16:I25)</f>
        <v>0</v>
      </c>
      <c r="J13" s="54">
        <f t="shared" ref="J13:S13" si="7">SUM(J16:J25)+J14</f>
        <v>989.5</v>
      </c>
      <c r="K13" s="54">
        <f t="shared" si="7"/>
        <v>1126.5999999999999</v>
      </c>
      <c r="L13" s="54">
        <f t="shared" si="7"/>
        <v>538.40000000000009</v>
      </c>
      <c r="M13" s="54">
        <f t="shared" si="7"/>
        <v>307.8</v>
      </c>
      <c r="N13" s="36">
        <f t="shared" si="7"/>
        <v>603.6</v>
      </c>
      <c r="O13" s="36">
        <f>SUM(O16:O25)+O14</f>
        <v>456.01648</v>
      </c>
      <c r="P13" s="36">
        <f>SUM(P16:P25)+P14</f>
        <v>204.9</v>
      </c>
      <c r="Q13" s="36">
        <f t="shared" si="7"/>
        <v>60.7</v>
      </c>
      <c r="R13" s="36">
        <f t="shared" si="7"/>
        <v>53.5</v>
      </c>
      <c r="S13" s="36">
        <f t="shared" si="7"/>
        <v>42.7</v>
      </c>
      <c r="T13" s="36">
        <f t="shared" ref="T13:AC13" si="8">SUM(T16:T27)+T14</f>
        <v>31.822000000000003</v>
      </c>
      <c r="U13" s="36">
        <f t="shared" si="8"/>
        <v>12.508000000000003</v>
      </c>
      <c r="V13" s="36">
        <f t="shared" si="8"/>
        <v>12.508000000000003</v>
      </c>
      <c r="W13" s="36">
        <f>SUM(W16:W27)+W14</f>
        <v>12.508000000000003</v>
      </c>
      <c r="X13" s="36">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7.4420000000000002</v>
      </c>
      <c r="AE13" s="334">
        <f t="shared" si="9"/>
        <v>8.4420000000000002</v>
      </c>
      <c r="AF13" s="334">
        <f t="shared" ref="AF13:AG13" si="10">SUM(AF16:AF27)+AF14</f>
        <v>12.532</v>
      </c>
      <c r="AG13" s="334">
        <f t="shared" si="10"/>
        <v>13.532</v>
      </c>
    </row>
    <row r="14" spans="2:36">
      <c r="B14" s="363" t="s">
        <v>50</v>
      </c>
      <c r="C14" s="35" t="s">
        <v>329</v>
      </c>
      <c r="D14" s="359"/>
      <c r="E14" s="35"/>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0">
        <f>'Haver Pivoted'!HD49</f>
        <v>0</v>
      </c>
      <c r="T14" s="330">
        <f>'Haver Pivoted'!HE49</f>
        <v>0</v>
      </c>
      <c r="U14" s="330">
        <f>'Haver Pivoted'!HF49</f>
        <v>0</v>
      </c>
      <c r="V14" s="330">
        <f>'Haver Pivoted'!HG49</f>
        <v>0</v>
      </c>
      <c r="W14" s="544">
        <f>'Haver Pivoted'!HH49</f>
        <v>0</v>
      </c>
      <c r="X14" s="544">
        <f>'Haver Pivoted'!HI49</f>
        <v>0</v>
      </c>
      <c r="Y14" s="544">
        <f>'Haver Pivoted'!HJ49</f>
        <v>0</v>
      </c>
      <c r="Z14" s="505"/>
      <c r="AA14" s="505"/>
      <c r="AB14" s="505"/>
      <c r="AC14" s="505"/>
      <c r="AD14" s="505"/>
      <c r="AE14" s="505"/>
      <c r="AF14" s="505"/>
      <c r="AG14" s="505"/>
    </row>
    <row r="15" spans="2:36">
      <c r="B15" s="424" t="s">
        <v>407</v>
      </c>
      <c r="C15" s="55"/>
      <c r="D15" s="525"/>
      <c r="E15" s="55"/>
      <c r="F15" s="533"/>
      <c r="G15" s="533"/>
      <c r="H15" s="54">
        <f t="shared" ref="H15:AC15" si="11">SUM(H16:H25)</f>
        <v>0</v>
      </c>
      <c r="I15" s="54">
        <f t="shared" si="11"/>
        <v>0</v>
      </c>
      <c r="J15" s="54">
        <f t="shared" si="11"/>
        <v>412.6</v>
      </c>
      <c r="K15" s="54">
        <f t="shared" si="11"/>
        <v>307.10000000000002</v>
      </c>
      <c r="L15" s="54">
        <f t="shared" si="11"/>
        <v>292.10000000000002</v>
      </c>
      <c r="M15" s="54">
        <f t="shared" si="11"/>
        <v>110.8</v>
      </c>
      <c r="N15" s="54">
        <f t="shared" si="11"/>
        <v>162.4</v>
      </c>
      <c r="O15" s="54">
        <f t="shared" si="11"/>
        <v>179.31648000000001</v>
      </c>
      <c r="P15" s="54">
        <f>SUM(P16:P25)</f>
        <v>176.70000000000002</v>
      </c>
      <c r="Q15" s="54">
        <f t="shared" si="11"/>
        <v>60.7</v>
      </c>
      <c r="R15" s="54">
        <f t="shared" si="11"/>
        <v>53.5</v>
      </c>
      <c r="S15" s="54">
        <f t="shared" si="11"/>
        <v>42.7</v>
      </c>
      <c r="T15" s="54">
        <f t="shared" si="11"/>
        <v>28.200000000000003</v>
      </c>
      <c r="U15" s="54">
        <f t="shared" si="11"/>
        <v>8.886000000000001</v>
      </c>
      <c r="V15" s="54">
        <f t="shared" si="11"/>
        <v>8.886000000000001</v>
      </c>
      <c r="W15" s="401">
        <f t="shared" si="11"/>
        <v>8.886000000000001</v>
      </c>
      <c r="X15" s="54">
        <f t="shared" si="11"/>
        <v>0.2</v>
      </c>
      <c r="Y15" s="511">
        <f t="shared" si="11"/>
        <v>0.2</v>
      </c>
      <c r="Z15" s="511">
        <f t="shared" si="11"/>
        <v>0.2</v>
      </c>
      <c r="AA15" s="511">
        <f t="shared" si="11"/>
        <v>0.2</v>
      </c>
      <c r="AB15" s="511">
        <f t="shared" si="11"/>
        <v>0</v>
      </c>
      <c r="AC15" s="511">
        <f t="shared" si="11"/>
        <v>0</v>
      </c>
      <c r="AD15" s="511">
        <f t="shared" ref="AD15:AE15" si="12">SUM(AD16:AD25)</f>
        <v>1</v>
      </c>
      <c r="AE15" s="511">
        <f t="shared" si="12"/>
        <v>2</v>
      </c>
      <c r="AF15" s="511">
        <f t="shared" ref="AF15:AG15" si="13">SUM(AF16:AF25)</f>
        <v>3</v>
      </c>
      <c r="AG15" s="511">
        <f t="shared" si="13"/>
        <v>4</v>
      </c>
    </row>
    <row r="16" spans="2:36">
      <c r="B16" s="521" t="s">
        <v>145</v>
      </c>
      <c r="C16" s="38" t="s">
        <v>408</v>
      </c>
      <c r="D16" s="430"/>
      <c r="E16" s="38"/>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0">
        <f>'Haver Pivoted'!HD53</f>
        <v>0</v>
      </c>
      <c r="T16" s="330">
        <f>'Haver Pivoted'!HE53</f>
        <v>0</v>
      </c>
      <c r="U16" s="330">
        <f>'Haver Pivoted'!HF53</f>
        <v>0</v>
      </c>
      <c r="V16" s="330">
        <f>'Haver Pivoted'!HG53</f>
        <v>0</v>
      </c>
      <c r="W16" s="544">
        <f>'Haver Pivoted'!HH53</f>
        <v>0</v>
      </c>
      <c r="X16" s="544">
        <f>'Haver Pivoted'!HI53</f>
        <v>0</v>
      </c>
      <c r="Y16" s="544">
        <f>'Haver Pivoted'!HJ53</f>
        <v>0</v>
      </c>
      <c r="Z16" s="505"/>
      <c r="AA16" s="505"/>
      <c r="AB16" s="505"/>
      <c r="AC16" s="505"/>
      <c r="AD16" s="505"/>
      <c r="AE16" s="505"/>
      <c r="AF16" s="505"/>
      <c r="AG16" s="505"/>
    </row>
    <row r="17" spans="2:34">
      <c r="B17" s="521" t="s">
        <v>143</v>
      </c>
      <c r="C17" s="38" t="s">
        <v>409</v>
      </c>
      <c r="D17" s="430"/>
      <c r="E17" s="38"/>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0">
        <f>'Haver Pivoted'!HD51</f>
        <v>0</v>
      </c>
      <c r="T17" s="330">
        <f>'Haver Pivoted'!HE51</f>
        <v>0</v>
      </c>
      <c r="U17" s="330">
        <f>'Haver Pivoted'!HF51</f>
        <v>0</v>
      </c>
      <c r="V17" s="330">
        <f>'Haver Pivoted'!HG51</f>
        <v>0</v>
      </c>
      <c r="W17" s="544">
        <f>'Haver Pivoted'!HH51</f>
        <v>0</v>
      </c>
      <c r="X17" s="544">
        <f>'Haver Pivoted'!HI51</f>
        <v>0</v>
      </c>
      <c r="Y17" s="544">
        <f>'Haver Pivoted'!HJ51</f>
        <v>0</v>
      </c>
      <c r="Z17" s="334">
        <f t="shared" ref="Z17:AD17" si="14">Y17</f>
        <v>0</v>
      </c>
      <c r="AA17" s="334">
        <f t="shared" si="14"/>
        <v>0</v>
      </c>
      <c r="AB17" s="334">
        <f t="shared" si="14"/>
        <v>0</v>
      </c>
      <c r="AC17" s="334">
        <f t="shared" si="14"/>
        <v>0</v>
      </c>
      <c r="AD17" s="334">
        <f t="shared" si="14"/>
        <v>0</v>
      </c>
      <c r="AE17" s="334">
        <f t="shared" ref="AE17" si="15">AD17</f>
        <v>0</v>
      </c>
      <c r="AF17" s="334">
        <f t="shared" ref="AF17" si="16">AE17</f>
        <v>0</v>
      </c>
      <c r="AG17" s="334">
        <f t="shared" ref="AG17" si="17">AF17</f>
        <v>0</v>
      </c>
    </row>
    <row r="18" spans="2:34">
      <c r="B18" s="521" t="s">
        <v>142</v>
      </c>
      <c r="C18" s="35" t="s">
        <v>410</v>
      </c>
      <c r="D18" s="359"/>
      <c r="E18" s="35"/>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0">
        <f>'Haver Pivoted'!HD50</f>
        <v>0.3</v>
      </c>
      <c r="T18" s="330">
        <f>'Haver Pivoted'!HE50</f>
        <v>0.4</v>
      </c>
      <c r="U18" s="330">
        <f>'Haver Pivoted'!HF50</f>
        <v>0</v>
      </c>
      <c r="V18" s="330">
        <f>'Haver Pivoted'!HG50</f>
        <v>0</v>
      </c>
      <c r="W18" s="544">
        <f>'Haver Pivoted'!HH50</f>
        <v>0</v>
      </c>
      <c r="X18" s="544">
        <f>'Haver Pivoted'!HI50</f>
        <v>0</v>
      </c>
      <c r="Y18" s="544">
        <f>'Haver Pivoted'!HJ50</f>
        <v>0</v>
      </c>
      <c r="Z18" s="334">
        <f t="shared" ref="Z18:AC18" si="18">Z30</f>
        <v>0</v>
      </c>
      <c r="AA18" s="334">
        <f t="shared" si="18"/>
        <v>0</v>
      </c>
      <c r="AB18" s="334">
        <f t="shared" si="18"/>
        <v>0</v>
      </c>
      <c r="AC18" s="334">
        <f t="shared" si="18"/>
        <v>0</v>
      </c>
      <c r="AD18" s="334">
        <f t="shared" ref="AD18:AE18" si="19">AD30</f>
        <v>0</v>
      </c>
      <c r="AE18" s="334">
        <f t="shared" si="19"/>
        <v>0</v>
      </c>
      <c r="AF18" s="334">
        <f t="shared" ref="AF18:AG18" si="20">AF30</f>
        <v>0</v>
      </c>
      <c r="AG18" s="334">
        <f t="shared" si="20"/>
        <v>0</v>
      </c>
    </row>
    <row r="19" spans="2:34">
      <c r="B19" s="521" t="s">
        <v>411</v>
      </c>
      <c r="C19" s="35" t="s">
        <v>309</v>
      </c>
      <c r="D19" s="359"/>
      <c r="E19" s="35"/>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0">
        <f>'Haver Pivoted'!HD54</f>
        <v>5.9</v>
      </c>
      <c r="T19" s="330">
        <f>'Haver Pivoted'!HE54</f>
        <v>3.6</v>
      </c>
      <c r="U19" s="330">
        <f>'Haver Pivoted'!HF54</f>
        <v>0</v>
      </c>
      <c r="V19" s="330">
        <f>'Haver Pivoted'!HG54</f>
        <v>0</v>
      </c>
      <c r="W19" s="544">
        <f>'Haver Pivoted'!HH54</f>
        <v>0</v>
      </c>
      <c r="X19" s="544">
        <f>'Haver Pivoted'!HI54</f>
        <v>0</v>
      </c>
      <c r="Y19" s="544">
        <f>'Haver Pivoted'!HJ54</f>
        <v>0</v>
      </c>
      <c r="Z19" s="505"/>
      <c r="AA19" s="505"/>
      <c r="AB19" s="505"/>
      <c r="AC19" s="505"/>
      <c r="AD19" s="505"/>
      <c r="AE19" s="505"/>
      <c r="AF19" s="505"/>
      <c r="AG19" s="505"/>
    </row>
    <row r="20" spans="2:34">
      <c r="B20" s="521" t="s">
        <v>144</v>
      </c>
      <c r="C20" s="35" t="s">
        <v>412</v>
      </c>
      <c r="D20" s="359"/>
      <c r="E20" s="35"/>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0">
        <f>'Haver Pivoted'!HD52</f>
        <v>20.2</v>
      </c>
      <c r="T20" s="330">
        <f>'Haver Pivoted'!HE52</f>
        <v>15.8</v>
      </c>
      <c r="U20" s="36">
        <f t="shared" ref="U20:AC20" si="21">U37</f>
        <v>0.48599999999999993</v>
      </c>
      <c r="V20" s="36">
        <f t="shared" si="21"/>
        <v>0.48599999999999993</v>
      </c>
      <c r="W20" s="401">
        <f t="shared" si="21"/>
        <v>0.48599999999999993</v>
      </c>
      <c r="X20" s="36">
        <f t="shared" si="21"/>
        <v>0</v>
      </c>
      <c r="Y20" s="334">
        <f t="shared" si="21"/>
        <v>0</v>
      </c>
      <c r="Z20" s="334">
        <f t="shared" si="21"/>
        <v>0</v>
      </c>
      <c r="AA20" s="334">
        <f t="shared" si="21"/>
        <v>0</v>
      </c>
      <c r="AB20" s="334">
        <f t="shared" si="21"/>
        <v>0</v>
      </c>
      <c r="AC20" s="334">
        <f t="shared" si="21"/>
        <v>0</v>
      </c>
      <c r="AD20" s="334">
        <f t="shared" ref="AD20:AE20" si="22">AD37</f>
        <v>0</v>
      </c>
      <c r="AE20" s="334">
        <f t="shared" si="22"/>
        <v>0</v>
      </c>
      <c r="AF20" s="334">
        <f t="shared" ref="AF20:AG20" si="23">AF37</f>
        <v>0</v>
      </c>
      <c r="AG20" s="334">
        <f t="shared" si="23"/>
        <v>0</v>
      </c>
      <c r="AH20" s="73"/>
    </row>
    <row r="21" spans="2:34">
      <c r="B21" s="521" t="s">
        <v>148</v>
      </c>
      <c r="C21" s="35" t="s">
        <v>413</v>
      </c>
      <c r="D21" s="359"/>
      <c r="E21" s="35"/>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0">
        <f>'Haver Pivoted'!HD55</f>
        <v>0</v>
      </c>
      <c r="T21" s="330">
        <f>'Haver Pivoted'!HE55</f>
        <v>0</v>
      </c>
      <c r="U21" s="330">
        <f>'Haver Pivoted'!HF55</f>
        <v>0</v>
      </c>
      <c r="V21" s="330">
        <f>'Haver Pivoted'!HG55</f>
        <v>0</v>
      </c>
      <c r="W21" s="544">
        <f>'Haver Pivoted'!HH55</f>
        <v>0</v>
      </c>
      <c r="X21" s="544">
        <f>'Haver Pivoted'!HI55</f>
        <v>0</v>
      </c>
      <c r="Y21" s="544">
        <f>'Haver Pivoted'!HJ55</f>
        <v>0</v>
      </c>
      <c r="Z21" s="334">
        <f t="shared" ref="Z21:AD21" si="24">Y21</f>
        <v>0</v>
      </c>
      <c r="AA21" s="334">
        <f t="shared" si="24"/>
        <v>0</v>
      </c>
      <c r="AB21" s="334">
        <f t="shared" si="24"/>
        <v>0</v>
      </c>
      <c r="AC21" s="334">
        <f t="shared" si="24"/>
        <v>0</v>
      </c>
      <c r="AD21" s="334">
        <f t="shared" si="24"/>
        <v>0</v>
      </c>
      <c r="AE21" s="334">
        <f t="shared" ref="AE21" si="25">AD21</f>
        <v>0</v>
      </c>
      <c r="AF21" s="334">
        <f t="shared" ref="AF21" si="26">AE21</f>
        <v>0</v>
      </c>
      <c r="AG21" s="334">
        <f t="shared" ref="AG21" si="27">AF21</f>
        <v>0</v>
      </c>
    </row>
    <row r="22" spans="2:34">
      <c r="B22" s="521" t="s">
        <v>414</v>
      </c>
      <c r="C22" s="35" t="s">
        <v>787</v>
      </c>
      <c r="D22" s="372"/>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0">
        <f>'Haver Pivoted'!HD87</f>
        <v>0</v>
      </c>
      <c r="T22" s="330">
        <f>'Haver Pivoted'!HE87</f>
        <v>0</v>
      </c>
      <c r="U22" s="330">
        <f>'Haver Pivoted'!HF87</f>
        <v>0</v>
      </c>
      <c r="V22" s="330">
        <f>'Haver Pivoted'!HG87</f>
        <v>0</v>
      </c>
      <c r="W22" s="544">
        <f>'Haver Pivoted'!HH87</f>
        <v>0</v>
      </c>
      <c r="X22" s="544">
        <f>'Haver Pivoted'!HI87</f>
        <v>0</v>
      </c>
      <c r="Y22" s="544">
        <f>'Haver Pivoted'!HJ87</f>
        <v>0</v>
      </c>
      <c r="Z22" s="334">
        <v>0</v>
      </c>
      <c r="AA22" s="334">
        <v>0</v>
      </c>
      <c r="AB22" s="334">
        <v>0</v>
      </c>
      <c r="AC22" s="334">
        <v>0</v>
      </c>
      <c r="AD22" s="334">
        <v>1</v>
      </c>
      <c r="AE22" s="334">
        <v>2</v>
      </c>
      <c r="AF22" s="334">
        <v>3</v>
      </c>
      <c r="AG22" s="334">
        <v>4</v>
      </c>
    </row>
    <row r="23" spans="2:34">
      <c r="B23" s="521" t="s">
        <v>415</v>
      </c>
      <c r="C23" s="35" t="s">
        <v>786</v>
      </c>
      <c r="D23" s="359"/>
      <c r="E23" s="35"/>
      <c r="F23" s="54"/>
      <c r="G23" s="534"/>
      <c r="H23" s="54"/>
      <c r="I23" s="54"/>
      <c r="J23" s="54"/>
      <c r="K23" s="54"/>
      <c r="L23" s="54"/>
      <c r="M23" s="54"/>
      <c r="N23" s="54">
        <f>'Haver Pivoted'!GY86</f>
        <v>21.4</v>
      </c>
      <c r="O23" s="54">
        <f>'Haver Pivoted'!GZ86</f>
        <v>57</v>
      </c>
      <c r="P23" s="54">
        <f>'Haver Pivoted'!HA86</f>
        <v>35.5</v>
      </c>
      <c r="Q23" s="54">
        <f>'Haver Pivoted'!HB86</f>
        <v>0</v>
      </c>
      <c r="R23" s="54">
        <f>'Haver Pivoted'!HC86</f>
        <v>0</v>
      </c>
      <c r="S23" s="330">
        <f>'Haver Pivoted'!HD86</f>
        <v>0</v>
      </c>
      <c r="T23" s="330">
        <f>'Haver Pivoted'!HE86</f>
        <v>0</v>
      </c>
      <c r="U23" s="330">
        <f>'Haver Pivoted'!HF86</f>
        <v>0</v>
      </c>
      <c r="V23" s="330">
        <f>'Haver Pivoted'!HG86</f>
        <v>0</v>
      </c>
      <c r="W23" s="544">
        <f>'Haver Pivoted'!HH86</f>
        <v>0</v>
      </c>
      <c r="X23" s="544">
        <f>'Haver Pivoted'!HI86</f>
        <v>0</v>
      </c>
      <c r="Y23" s="544">
        <f>'Haver Pivoted'!HJ86</f>
        <v>0</v>
      </c>
      <c r="Z23" s="334">
        <f t="shared" ref="Z23:AD23" si="28">Y23</f>
        <v>0</v>
      </c>
      <c r="AA23" s="334">
        <f t="shared" si="28"/>
        <v>0</v>
      </c>
      <c r="AB23" s="334">
        <f t="shared" si="28"/>
        <v>0</v>
      </c>
      <c r="AC23" s="334">
        <f t="shared" si="28"/>
        <v>0</v>
      </c>
      <c r="AD23" s="334">
        <f t="shared" si="28"/>
        <v>0</v>
      </c>
      <c r="AE23" s="334">
        <f t="shared" ref="AE23" si="29">AD23</f>
        <v>0</v>
      </c>
      <c r="AF23" s="334">
        <f t="shared" ref="AF23" si="30">AE23</f>
        <v>0</v>
      </c>
      <c r="AG23" s="334">
        <f t="shared" ref="AG23" si="31">AF23</f>
        <v>0</v>
      </c>
    </row>
    <row r="24" spans="2:34">
      <c r="B24" s="521" t="s">
        <v>416</v>
      </c>
      <c r="C24" s="35"/>
      <c r="D24" s="359"/>
      <c r="E24" s="35"/>
      <c r="F24" s="54"/>
      <c r="G24" s="54"/>
      <c r="H24" s="54"/>
      <c r="I24" s="54"/>
      <c r="J24" s="54"/>
      <c r="K24" s="54"/>
      <c r="L24" s="54"/>
      <c r="M24" s="54"/>
      <c r="N24" s="54"/>
      <c r="O24" s="36">
        <f>O41+O42</f>
        <v>12.51648</v>
      </c>
      <c r="P24" s="36">
        <f>P41+P42</f>
        <v>11.3</v>
      </c>
      <c r="Q24" s="36">
        <f t="shared" ref="Q24:AC24" si="32">Q41+Q42</f>
        <v>11.3</v>
      </c>
      <c r="R24" s="36">
        <f t="shared" si="32"/>
        <v>11.3</v>
      </c>
      <c r="S24" s="36">
        <f t="shared" si="32"/>
        <v>11.3</v>
      </c>
      <c r="T24" s="36">
        <f t="shared" si="32"/>
        <v>8.4</v>
      </c>
      <c r="U24" s="36">
        <f t="shared" si="32"/>
        <v>8.4</v>
      </c>
      <c r="V24" s="36">
        <f t="shared" si="32"/>
        <v>8.4</v>
      </c>
      <c r="W24" s="401">
        <f t="shared" si="32"/>
        <v>8.4</v>
      </c>
      <c r="X24" s="36">
        <f t="shared" si="32"/>
        <v>0.2</v>
      </c>
      <c r="Y24" s="334">
        <f t="shared" si="32"/>
        <v>0.2</v>
      </c>
      <c r="Z24" s="334">
        <f t="shared" si="32"/>
        <v>0.2</v>
      </c>
      <c r="AA24" s="334">
        <f t="shared" si="32"/>
        <v>0.2</v>
      </c>
      <c r="AB24" s="334">
        <f t="shared" si="32"/>
        <v>0</v>
      </c>
      <c r="AC24" s="334">
        <f t="shared" si="32"/>
        <v>0</v>
      </c>
      <c r="AD24" s="334">
        <f t="shared" ref="AD24:AE24" si="33">AD41+AD42</f>
        <v>0</v>
      </c>
      <c r="AE24" s="334">
        <f t="shared" si="33"/>
        <v>0</v>
      </c>
      <c r="AF24" s="334">
        <f t="shared" ref="AF24:AG24" si="34">AF41+AF42</f>
        <v>0</v>
      </c>
      <c r="AG24" s="334">
        <f t="shared" si="34"/>
        <v>0</v>
      </c>
    </row>
    <row r="25" spans="2:34">
      <c r="B25" s="521" t="s">
        <v>417</v>
      </c>
      <c r="C25" s="35"/>
      <c r="D25" s="359"/>
      <c r="E25" s="35"/>
      <c r="F25" s="36"/>
      <c r="G25" s="36"/>
      <c r="H25" s="230"/>
      <c r="I25" s="230"/>
      <c r="J25" s="230"/>
      <c r="K25" s="230"/>
      <c r="L25" s="230"/>
      <c r="M25" s="230"/>
      <c r="N25" s="36"/>
      <c r="O25" s="36">
        <f>O34</f>
        <v>12</v>
      </c>
      <c r="P25" s="36">
        <v>25</v>
      </c>
      <c r="Q25" s="36">
        <v>5</v>
      </c>
      <c r="R25" s="36">
        <v>5</v>
      </c>
      <c r="S25" s="36">
        <v>5</v>
      </c>
      <c r="T25" s="36">
        <f t="shared" ref="T25:AC25" si="35">T34</f>
        <v>0</v>
      </c>
      <c r="U25" s="36">
        <f t="shared" si="35"/>
        <v>0</v>
      </c>
      <c r="V25" s="36">
        <f t="shared" si="35"/>
        <v>0</v>
      </c>
      <c r="W25" s="401">
        <f t="shared" si="35"/>
        <v>0</v>
      </c>
      <c r="X25" s="36">
        <f t="shared" si="35"/>
        <v>0</v>
      </c>
      <c r="Y25" s="334">
        <f t="shared" si="35"/>
        <v>0</v>
      </c>
      <c r="Z25" s="334">
        <f t="shared" si="35"/>
        <v>0</v>
      </c>
      <c r="AA25" s="334">
        <f t="shared" si="35"/>
        <v>0</v>
      </c>
      <c r="AB25" s="334">
        <f t="shared" si="35"/>
        <v>0</v>
      </c>
      <c r="AC25" s="334">
        <f t="shared" si="35"/>
        <v>0</v>
      </c>
      <c r="AD25" s="334">
        <f t="shared" ref="AD25:AE25" si="36">AD34</f>
        <v>0</v>
      </c>
      <c r="AE25" s="334">
        <f t="shared" si="36"/>
        <v>0</v>
      </c>
      <c r="AF25" s="334">
        <f t="shared" ref="AF25:AG25" si="37">AF34</f>
        <v>0</v>
      </c>
      <c r="AG25" s="334">
        <f t="shared" si="37"/>
        <v>0</v>
      </c>
    </row>
    <row r="26" spans="2:34">
      <c r="B26" s="521" t="s">
        <v>1377</v>
      </c>
      <c r="C26" s="35"/>
      <c r="D26" s="359"/>
      <c r="E26" s="35"/>
      <c r="F26" s="36"/>
      <c r="G26" s="36"/>
      <c r="H26" s="230"/>
      <c r="I26" s="230"/>
      <c r="J26" s="230"/>
      <c r="K26" s="230"/>
      <c r="L26" s="230"/>
      <c r="M26" s="230"/>
      <c r="N26" s="36"/>
      <c r="O26" s="36"/>
      <c r="P26" s="36"/>
      <c r="Q26" s="36"/>
      <c r="R26" s="36"/>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2">
        <f>'IRA and CHIPS'!K198</f>
        <v>5.5830000000000002</v>
      </c>
      <c r="Z26" s="512">
        <f>'IRA and CHIPS'!L198</f>
        <v>5.5830000000000002</v>
      </c>
      <c r="AA26" s="512">
        <f>'IRA and CHIPS'!M198</f>
        <v>5.5830000000000002</v>
      </c>
      <c r="AB26" s="512">
        <f>'IRA and CHIPS'!N198</f>
        <v>8.0220000000000002</v>
      </c>
      <c r="AC26" s="512">
        <f>'IRA and CHIPS'!O198</f>
        <v>8.0220000000000002</v>
      </c>
      <c r="AD26" s="512">
        <f>'IRA and CHIPS'!P198</f>
        <v>0</v>
      </c>
      <c r="AE26" s="512">
        <f>'IRA and CHIPS'!Q198</f>
        <v>0</v>
      </c>
      <c r="AF26" s="512">
        <f>'IRA and CHIPS'!R198</f>
        <v>0</v>
      </c>
      <c r="AG26" s="512">
        <f>'IRA and CHIPS'!S198</f>
        <v>0</v>
      </c>
    </row>
    <row r="27" spans="2:34">
      <c r="B27" s="521" t="s">
        <v>1185</v>
      </c>
      <c r="C27" s="389"/>
      <c r="D27" s="387"/>
      <c r="E27" s="389"/>
      <c r="F27" s="394"/>
      <c r="G27" s="394"/>
      <c r="H27" s="522"/>
      <c r="I27" s="522"/>
      <c r="J27" s="522"/>
      <c r="K27" s="522"/>
      <c r="L27" s="522"/>
      <c r="M27" s="522"/>
      <c r="N27" s="394"/>
      <c r="O27" s="394"/>
      <c r="P27" s="394"/>
      <c r="Q27" s="394"/>
      <c r="R27" s="394"/>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row>
    <row r="28" spans="2:34" ht="15" customHeight="1">
      <c r="B28" s="1366" t="s">
        <v>418</v>
      </c>
      <c r="C28" s="1367"/>
      <c r="D28" s="524"/>
      <c r="E28" s="493"/>
      <c r="F28" s="493"/>
      <c r="G28" s="493"/>
      <c r="H28" s="36"/>
      <c r="I28" s="36"/>
      <c r="J28" s="36"/>
      <c r="K28" s="36"/>
      <c r="L28" s="36"/>
      <c r="M28" s="36"/>
      <c r="N28" s="36"/>
      <c r="O28" s="36"/>
      <c r="P28" s="435"/>
      <c r="Q28" s="36"/>
      <c r="R28" s="36"/>
      <c r="S28" s="36"/>
      <c r="T28" s="36"/>
      <c r="U28" s="36"/>
      <c r="V28" s="499"/>
      <c r="W28" s="499"/>
      <c r="X28" s="499"/>
      <c r="Y28" s="504"/>
      <c r="Z28" s="504"/>
      <c r="AA28" s="504"/>
      <c r="AB28" s="504"/>
      <c r="AC28" s="504"/>
      <c r="AD28" s="505"/>
      <c r="AE28" s="513"/>
      <c r="AF28" s="513"/>
      <c r="AG28" s="505"/>
    </row>
    <row r="29" spans="2:34">
      <c r="B29" s="424" t="s">
        <v>419</v>
      </c>
      <c r="C29" s="283"/>
      <c r="D29" s="478"/>
      <c r="E29" s="283"/>
      <c r="F29" s="230"/>
      <c r="G29" s="230"/>
      <c r="H29" s="36"/>
      <c r="I29" s="36"/>
      <c r="J29" s="36"/>
      <c r="K29" s="36"/>
      <c r="L29" s="36"/>
      <c r="M29" s="36"/>
      <c r="N29" s="36">
        <f>SUM(N30:N34)</f>
        <v>23</v>
      </c>
      <c r="O29" s="36">
        <f>SUM(O30:O34)</f>
        <v>162</v>
      </c>
      <c r="P29" s="36"/>
      <c r="Q29" s="36"/>
      <c r="R29" s="36"/>
      <c r="S29" s="36"/>
      <c r="T29" s="36"/>
      <c r="U29" s="36"/>
      <c r="V29" s="56"/>
      <c r="W29" s="56"/>
      <c r="X29" s="56"/>
      <c r="Y29" s="505"/>
      <c r="Z29" s="505"/>
      <c r="AA29" s="505"/>
      <c r="AB29" s="505"/>
      <c r="AC29" s="505"/>
      <c r="AD29" s="505"/>
      <c r="AE29" s="513"/>
      <c r="AF29" s="513"/>
      <c r="AG29" s="505"/>
    </row>
    <row r="30" spans="2:34">
      <c r="B30" s="363" t="s">
        <v>420</v>
      </c>
      <c r="C30" s="283"/>
      <c r="D30" s="478"/>
      <c r="E30" s="283"/>
      <c r="F30" s="230"/>
      <c r="G30" s="230"/>
      <c r="H30" s="36"/>
      <c r="I30" s="36"/>
      <c r="J30" s="36"/>
      <c r="K30" s="36"/>
      <c r="L30" s="528"/>
      <c r="M30" s="36"/>
      <c r="N30" s="36">
        <f>(4*'Response and Relief Act Score'!$F$15-$M$18)/2</f>
        <v>11</v>
      </c>
      <c r="O30" s="36">
        <f>(4*'Response and Relief Act Score'!$F$15-$M$18)/2</f>
        <v>11</v>
      </c>
      <c r="P30" s="36"/>
      <c r="Q30" s="36"/>
      <c r="R30" s="36"/>
      <c r="S30" s="36"/>
      <c r="T30" s="36"/>
      <c r="U30" s="36"/>
      <c r="V30" s="56"/>
      <c r="W30" s="56"/>
      <c r="X30" s="56"/>
      <c r="Y30" s="505"/>
      <c r="Z30" s="505"/>
      <c r="AA30" s="505"/>
      <c r="AB30" s="505"/>
      <c r="AC30" s="505"/>
      <c r="AD30" s="505"/>
      <c r="AE30" s="513"/>
      <c r="AF30" s="513"/>
      <c r="AG30" s="505"/>
    </row>
    <row r="31" spans="2:34">
      <c r="B31" s="363" t="s">
        <v>417</v>
      </c>
      <c r="C31" s="283"/>
      <c r="D31" s="478"/>
      <c r="E31" s="283"/>
      <c r="F31" s="230"/>
      <c r="G31" s="230"/>
      <c r="H31" s="36"/>
      <c r="I31" s="36"/>
      <c r="J31" s="36"/>
      <c r="K31" s="36"/>
      <c r="L31" s="528"/>
      <c r="M31" s="36"/>
      <c r="N31" s="36"/>
      <c r="O31" s="36"/>
      <c r="P31" s="36"/>
      <c r="Q31" s="36"/>
      <c r="R31" s="36"/>
      <c r="S31" s="36"/>
      <c r="T31" s="36"/>
      <c r="U31" s="36"/>
      <c r="V31" s="56"/>
      <c r="W31" s="56"/>
      <c r="X31" s="56"/>
      <c r="Y31" s="505"/>
      <c r="Z31" s="505"/>
      <c r="AA31" s="505"/>
      <c r="AB31" s="505"/>
      <c r="AC31" s="505"/>
      <c r="AD31" s="505"/>
      <c r="AE31" s="513"/>
      <c r="AF31" s="513"/>
      <c r="AG31" s="505"/>
    </row>
    <row r="32" spans="2:34">
      <c r="B32" s="541" t="s">
        <v>414</v>
      </c>
      <c r="C32" s="283"/>
      <c r="D32" s="478"/>
      <c r="E32" s="283"/>
      <c r="F32" s="230"/>
      <c r="G32" s="230"/>
      <c r="H32" s="36"/>
      <c r="I32" s="36"/>
      <c r="J32" s="36"/>
      <c r="K32" s="36"/>
      <c r="L32" s="36"/>
      <c r="M32" s="36"/>
      <c r="N32" s="36"/>
      <c r="O32" s="36">
        <v>79</v>
      </c>
      <c r="P32" s="36"/>
      <c r="Q32" s="401"/>
      <c r="R32" s="401"/>
      <c r="S32" s="401"/>
      <c r="T32" s="401"/>
      <c r="U32" s="401"/>
      <c r="V32" s="56"/>
      <c r="W32" s="56"/>
      <c r="X32" s="56"/>
      <c r="Y32" s="505"/>
      <c r="Z32" s="505"/>
      <c r="AA32" s="505"/>
      <c r="AB32" s="505"/>
      <c r="AC32" s="505"/>
      <c r="AD32" s="505"/>
      <c r="AE32" s="513"/>
      <c r="AF32" s="513"/>
      <c r="AG32" s="505"/>
    </row>
    <row r="33" spans="1:78">
      <c r="B33" s="542" t="s">
        <v>421</v>
      </c>
      <c r="C33" s="283"/>
      <c r="D33" s="478"/>
      <c r="E33" s="283"/>
      <c r="F33" s="230"/>
      <c r="G33" s="230"/>
      <c r="H33" s="36"/>
      <c r="I33" s="36"/>
      <c r="J33" s="36"/>
      <c r="K33" s="36"/>
      <c r="L33" s="36"/>
      <c r="M33" s="36"/>
      <c r="N33" s="36"/>
      <c r="O33" s="36">
        <f>'Response and Relief Act Score'!F13*4</f>
        <v>60</v>
      </c>
      <c r="P33" s="36"/>
      <c r="Q33" s="401"/>
      <c r="R33" s="401"/>
      <c r="S33" s="401"/>
      <c r="T33" s="401"/>
      <c r="U33" s="401"/>
      <c r="V33" s="56"/>
      <c r="W33" s="56"/>
      <c r="X33" s="56"/>
      <c r="Y33" s="505"/>
      <c r="Z33" s="505"/>
      <c r="AA33" s="505"/>
      <c r="AB33" s="505"/>
      <c r="AC33" s="505"/>
      <c r="AD33" s="505"/>
      <c r="AE33" s="513"/>
      <c r="AF33" s="513"/>
      <c r="AG33" s="505"/>
    </row>
    <row r="34" spans="1:78" ht="27.65" customHeight="1">
      <c r="B34" s="542" t="s">
        <v>422</v>
      </c>
      <c r="C34" s="283"/>
      <c r="D34" s="526"/>
      <c r="E34" s="527"/>
      <c r="F34" s="522"/>
      <c r="G34" s="522"/>
      <c r="H34" s="394"/>
      <c r="I34" s="394"/>
      <c r="J34" s="394"/>
      <c r="K34" s="394"/>
      <c r="L34" s="532"/>
      <c r="M34" s="394"/>
      <c r="N34" s="394">
        <f>'Response and Relief Act Score'!F14*4/2</f>
        <v>12</v>
      </c>
      <c r="O34" s="394">
        <f>'Response and Relief Act Score'!F14*4/2</f>
        <v>12</v>
      </c>
      <c r="P34" s="394"/>
      <c r="Q34" s="394"/>
      <c r="R34" s="394"/>
      <c r="S34" s="394"/>
      <c r="T34" s="394"/>
      <c r="U34" s="36"/>
      <c r="V34" s="56"/>
      <c r="W34" s="56"/>
      <c r="X34" s="56"/>
      <c r="Y34" s="505"/>
      <c r="Z34" s="505"/>
      <c r="AA34" s="505"/>
      <c r="AB34" s="505"/>
      <c r="AC34" s="505"/>
      <c r="AD34" s="505"/>
      <c r="AE34" s="513"/>
      <c r="AF34" s="513"/>
      <c r="AG34" s="505"/>
    </row>
    <row r="35" spans="1:78" ht="15" customHeight="1">
      <c r="B35" s="1364" t="s">
        <v>423</v>
      </c>
      <c r="C35" s="1365"/>
      <c r="D35" s="478"/>
      <c r="E35" s="283"/>
      <c r="F35" s="230"/>
      <c r="G35" s="230"/>
      <c r="H35" s="36"/>
      <c r="I35" s="36"/>
      <c r="J35" s="36"/>
      <c r="K35" s="36"/>
      <c r="L35" s="528"/>
      <c r="M35" s="36"/>
      <c r="N35" s="36"/>
      <c r="O35" s="36"/>
      <c r="P35" s="36"/>
      <c r="Q35" s="36"/>
      <c r="R35" s="36"/>
      <c r="S35" s="36"/>
      <c r="T35" s="414"/>
      <c r="U35" s="507"/>
      <c r="V35" s="499"/>
      <c r="W35" s="499"/>
      <c r="X35" s="499"/>
      <c r="Y35" s="504"/>
      <c r="Z35" s="504"/>
      <c r="AA35" s="504"/>
      <c r="AB35" s="504"/>
      <c r="AC35" s="504"/>
      <c r="AD35" s="505"/>
      <c r="AE35" s="513"/>
      <c r="AF35" s="513"/>
      <c r="AG35" s="505"/>
    </row>
    <row r="36" spans="1:78" ht="13.5" customHeight="1">
      <c r="B36" s="542" t="s">
        <v>143</v>
      </c>
      <c r="C36" s="283"/>
      <c r="D36" s="478"/>
      <c r="E36" s="283"/>
      <c r="F36" s="230"/>
      <c r="G36" s="230"/>
      <c r="H36" s="36"/>
      <c r="I36" s="36"/>
      <c r="J36" s="36"/>
      <c r="K36" s="36"/>
      <c r="L36" s="528"/>
      <c r="M36" s="36">
        <f>'ARP Quarterly'!C18</f>
        <v>0</v>
      </c>
      <c r="N36" s="36">
        <f>'ARP Quarterly'!D18</f>
        <v>2.2132800000000001</v>
      </c>
      <c r="O36" s="36">
        <f>'ARP Quarterly'!E18</f>
        <v>10.082720000000002</v>
      </c>
      <c r="P36" s="36">
        <f>'ARP Quarterly'!F18</f>
        <v>7.1439999999999992</v>
      </c>
      <c r="Q36" s="36">
        <f>'ARP Quarterly'!G18</f>
        <v>7.1439999999999992</v>
      </c>
      <c r="R36" s="36">
        <f>'ARP Quarterly'!H18</f>
        <v>7.1439999999999992</v>
      </c>
      <c r="S36" s="36">
        <f>'ARP Quarterly'!I18</f>
        <v>7.1439999999999992</v>
      </c>
      <c r="T36" s="36">
        <f>'ARP Quarterly'!J18</f>
        <v>0</v>
      </c>
      <c r="U36" s="36">
        <f>'ARP Quarterly'!K18</f>
        <v>0</v>
      </c>
      <c r="V36" s="36">
        <f>'ARP Quarterly'!L18</f>
        <v>0</v>
      </c>
      <c r="W36" s="36">
        <f>'ARP Quarterly'!M18</f>
        <v>0</v>
      </c>
      <c r="X36" s="36">
        <f>'ARP Quarterly'!N18</f>
        <v>0</v>
      </c>
      <c r="Y36" s="334">
        <f>'ARP Quarterly'!O18</f>
        <v>0</v>
      </c>
      <c r="Z36" s="334">
        <f>'ARP Quarterly'!P18</f>
        <v>0</v>
      </c>
      <c r="AA36" s="334">
        <f>'ARP Quarterly'!Q18</f>
        <v>0</v>
      </c>
      <c r="AB36" s="334">
        <f>'ARP Quarterly'!R18</f>
        <v>0</v>
      </c>
      <c r="AC36" s="334">
        <f>'ARP Quarterly'!S18</f>
        <v>0</v>
      </c>
      <c r="AD36" s="505"/>
      <c r="AE36" s="513"/>
      <c r="AF36" s="513"/>
      <c r="AG36" s="505"/>
    </row>
    <row r="37" spans="1:78">
      <c r="B37" s="542" t="s">
        <v>424</v>
      </c>
      <c r="C37" s="283"/>
      <c r="D37" s="478"/>
      <c r="E37" s="283"/>
      <c r="F37" s="230"/>
      <c r="G37" s="230"/>
      <c r="H37" s="36"/>
      <c r="I37" s="36"/>
      <c r="J37" s="36"/>
      <c r="K37" s="36"/>
      <c r="L37" s="528"/>
      <c r="M37" s="36">
        <f>'ARP Quarterly'!C19</f>
        <v>0</v>
      </c>
      <c r="N37" s="36">
        <f>'ARP Quarterly'!D19</f>
        <v>15.128640000000001</v>
      </c>
      <c r="O37" s="36">
        <f>'ARP Quarterly'!E19</f>
        <v>68.919360000000012</v>
      </c>
      <c r="P37" s="36">
        <f>'ARP Quarterly'!F19</f>
        <v>5.6120000000000001</v>
      </c>
      <c r="Q37" s="36">
        <f>'ARP Quarterly'!G19</f>
        <v>5.6120000000000001</v>
      </c>
      <c r="R37" s="36">
        <f>'ARP Quarterly'!H19</f>
        <v>5.6120000000000001</v>
      </c>
      <c r="S37" s="36">
        <f>'ARP Quarterly'!I19</f>
        <v>5.6120000000000001</v>
      </c>
      <c r="T37" s="36">
        <f>'ARP Quarterly'!J19</f>
        <v>0.48599999999999993</v>
      </c>
      <c r="U37" s="36">
        <f>'ARP Quarterly'!K19</f>
        <v>0.48599999999999993</v>
      </c>
      <c r="V37" s="36">
        <f>'ARP Quarterly'!L19</f>
        <v>0.48599999999999993</v>
      </c>
      <c r="W37" s="36">
        <f>'ARP Quarterly'!M19</f>
        <v>0.48599999999999993</v>
      </c>
      <c r="X37" s="36">
        <f>'ARP Quarterly'!N19</f>
        <v>0</v>
      </c>
      <c r="Y37" s="334">
        <f>'ARP Quarterly'!O19</f>
        <v>0</v>
      </c>
      <c r="Z37" s="334">
        <f>'ARP Quarterly'!P19</f>
        <v>0</v>
      </c>
      <c r="AA37" s="334">
        <f>'ARP Quarterly'!Q19</f>
        <v>0</v>
      </c>
      <c r="AB37" s="334">
        <f>'ARP Quarterly'!R19</f>
        <v>0</v>
      </c>
      <c r="AC37" s="334">
        <f>'ARP Quarterly'!S19</f>
        <v>0</v>
      </c>
      <c r="AD37" s="505"/>
      <c r="AE37" s="513"/>
      <c r="AF37" s="513"/>
      <c r="AG37" s="505"/>
    </row>
    <row r="38" spans="1:78">
      <c r="B38" s="542" t="s">
        <v>148</v>
      </c>
      <c r="C38" s="283"/>
      <c r="D38" s="478"/>
      <c r="E38" s="283"/>
      <c r="F38" s="230"/>
      <c r="G38" s="230"/>
      <c r="H38" s="36"/>
      <c r="I38" s="36"/>
      <c r="J38" s="36"/>
      <c r="K38" s="36"/>
      <c r="L38" s="528"/>
      <c r="M38" s="36">
        <f>'ARP Quarterly'!C20</f>
        <v>0</v>
      </c>
      <c r="N38" s="36">
        <f>'ARP Quarterly'!D20</f>
        <v>3.2479199999999997</v>
      </c>
      <c r="O38" s="36">
        <f>'ARP Quarterly'!E20</f>
        <v>14.796080000000002</v>
      </c>
      <c r="P38" s="36">
        <f>'ARP Quarterly'!F20</f>
        <v>1.7329999999999999</v>
      </c>
      <c r="Q38" s="36">
        <f>'ARP Quarterly'!G20</f>
        <v>1.7329999999999999</v>
      </c>
      <c r="R38" s="36">
        <f>'ARP Quarterly'!H20</f>
        <v>1.7329999999999999</v>
      </c>
      <c r="S38" s="36">
        <f>'ARP Quarterly'!I20</f>
        <v>1.7329999999999999</v>
      </c>
      <c r="T38" s="36">
        <f>'ARP Quarterly'!J20</f>
        <v>0</v>
      </c>
      <c r="U38" s="36">
        <f>'ARP Quarterly'!K20</f>
        <v>0</v>
      </c>
      <c r="V38" s="36">
        <f>'ARP Quarterly'!L20</f>
        <v>0</v>
      </c>
      <c r="W38" s="36">
        <f>'ARP Quarterly'!M20</f>
        <v>0</v>
      </c>
      <c r="X38" s="36">
        <f>'ARP Quarterly'!N20</f>
        <v>0</v>
      </c>
      <c r="Y38" s="334">
        <f>'ARP Quarterly'!O20</f>
        <v>0</v>
      </c>
      <c r="Z38" s="334">
        <f>'ARP Quarterly'!P20</f>
        <v>0</v>
      </c>
      <c r="AA38" s="334">
        <f>'ARP Quarterly'!Q20</f>
        <v>0</v>
      </c>
      <c r="AB38" s="334">
        <f>'ARP Quarterly'!R20</f>
        <v>0</v>
      </c>
      <c r="AC38" s="334">
        <f>'ARP Quarterly'!S20</f>
        <v>0</v>
      </c>
      <c r="AD38" s="505"/>
      <c r="AE38" s="513"/>
      <c r="AF38" s="513"/>
      <c r="AG38" s="505"/>
    </row>
    <row r="39" spans="1:78">
      <c r="B39" s="542" t="s">
        <v>414</v>
      </c>
      <c r="C39" s="283"/>
      <c r="D39" s="478"/>
      <c r="E39" s="283"/>
      <c r="F39" s="230"/>
      <c r="G39" s="230"/>
      <c r="H39" s="36"/>
      <c r="I39" s="36"/>
      <c r="J39" s="36"/>
      <c r="K39" s="36"/>
      <c r="L39" s="528"/>
      <c r="M39" s="36">
        <f>'ARP Quarterly'!C21</f>
        <v>0</v>
      </c>
      <c r="N39" s="36">
        <f>'ARP Quarterly'!D21</f>
        <v>13.2921</v>
      </c>
      <c r="O39" s="36">
        <f>'ARP Quarterly'!E21</f>
        <v>60.552900000000008</v>
      </c>
      <c r="P39" s="36">
        <f>'ARP Quarterly'!F21</f>
        <v>1.0687500000000001</v>
      </c>
      <c r="Q39" s="36">
        <f>'ARP Quarterly'!G21</f>
        <v>1.0687500000000001</v>
      </c>
      <c r="R39" s="36">
        <f>'ARP Quarterly'!H21</f>
        <v>1.0687500000000001</v>
      </c>
      <c r="S39" s="36">
        <f>'ARP Quarterly'!I21</f>
        <v>1.0687500000000001</v>
      </c>
      <c r="T39" s="36">
        <f>'ARP Quarterly'!J21</f>
        <v>0.78750000000000009</v>
      </c>
      <c r="U39" s="36">
        <f>'ARP Quarterly'!K21</f>
        <v>0.78750000000000009</v>
      </c>
      <c r="V39" s="36">
        <f>'ARP Quarterly'!L21</f>
        <v>0.78750000000000009</v>
      </c>
      <c r="W39" s="36">
        <f>'ARP Quarterly'!M21</f>
        <v>0.78750000000000009</v>
      </c>
      <c r="X39" s="36">
        <f>'ARP Quarterly'!N21</f>
        <v>0</v>
      </c>
      <c r="Y39" s="334">
        <f>'ARP Quarterly'!O21</f>
        <v>0</v>
      </c>
      <c r="Z39" s="334">
        <f>'ARP Quarterly'!P21</f>
        <v>0</v>
      </c>
      <c r="AA39" s="334">
        <f>'ARP Quarterly'!Q21</f>
        <v>0</v>
      </c>
      <c r="AB39" s="334">
        <f>'ARP Quarterly'!R21</f>
        <v>0</v>
      </c>
      <c r="AC39" s="334">
        <f>'ARP Quarterly'!S21</f>
        <v>0</v>
      </c>
      <c r="AD39" s="505"/>
      <c r="AE39" s="513"/>
      <c r="AF39" s="513"/>
      <c r="AG39" s="505"/>
    </row>
    <row r="40" spans="1:78" ht="30" customHeight="1">
      <c r="B40" s="542" t="s">
        <v>425</v>
      </c>
      <c r="C40" s="283"/>
      <c r="D40" s="478"/>
      <c r="E40" s="283"/>
      <c r="F40" s="230"/>
      <c r="G40" s="230"/>
      <c r="H40" s="36"/>
      <c r="I40" s="36"/>
      <c r="J40" s="36"/>
      <c r="K40" s="36"/>
      <c r="L40" s="528"/>
      <c r="M40" s="36">
        <f>'ARP Quarterly'!C22</f>
        <v>0</v>
      </c>
      <c r="N40" s="36">
        <f>'ARP Quarterly'!D22</f>
        <v>22.153499999999998</v>
      </c>
      <c r="O40" s="36">
        <f>'ARP Quarterly'!E22</f>
        <v>100.92150000000002</v>
      </c>
      <c r="P40" s="36">
        <f>'ARP Quarterly'!F22</f>
        <v>1.7812500000000002</v>
      </c>
      <c r="Q40" s="36">
        <f>'ARP Quarterly'!G22</f>
        <v>1.7812500000000002</v>
      </c>
      <c r="R40" s="36">
        <f>'ARP Quarterly'!H22</f>
        <v>1.7812500000000002</v>
      </c>
      <c r="S40" s="36">
        <f>'ARP Quarterly'!I22</f>
        <v>1.7812500000000002</v>
      </c>
      <c r="T40" s="36">
        <f>'ARP Quarterly'!J22</f>
        <v>1.3125000000000002</v>
      </c>
      <c r="U40" s="36">
        <f>'ARP Quarterly'!K22</f>
        <v>1.3125000000000002</v>
      </c>
      <c r="V40" s="36">
        <f>'ARP Quarterly'!L22</f>
        <v>1.3125000000000002</v>
      </c>
      <c r="W40" s="36">
        <f>'ARP Quarterly'!M22</f>
        <v>1.3125000000000002</v>
      </c>
      <c r="X40" s="36">
        <f>'ARP Quarterly'!N22</f>
        <v>0</v>
      </c>
      <c r="Y40" s="334">
        <f>'ARP Quarterly'!O22</f>
        <v>0</v>
      </c>
      <c r="Z40" s="334">
        <f>'ARP Quarterly'!P22</f>
        <v>0</v>
      </c>
      <c r="AA40" s="334">
        <f>'ARP Quarterly'!Q22</f>
        <v>0</v>
      </c>
      <c r="AB40" s="334">
        <f>'ARP Quarterly'!R22</f>
        <v>0</v>
      </c>
      <c r="AC40" s="334">
        <f>'ARP Quarterly'!S22</f>
        <v>0</v>
      </c>
      <c r="AD40" s="505"/>
      <c r="AE40" s="513"/>
      <c r="AF40" s="513"/>
      <c r="AG40" s="505"/>
    </row>
    <row r="41" spans="1:78">
      <c r="B41" s="542" t="s">
        <v>426</v>
      </c>
      <c r="C41" s="283"/>
      <c r="D41" s="478"/>
      <c r="E41" s="283"/>
      <c r="F41" s="230"/>
      <c r="G41" s="230"/>
      <c r="H41" s="36"/>
      <c r="I41" s="36"/>
      <c r="J41" s="36"/>
      <c r="K41" s="36"/>
      <c r="L41" s="528"/>
      <c r="M41" s="36">
        <f>'ARP Quarterly'!C23</f>
        <v>0</v>
      </c>
      <c r="N41" s="36">
        <f>'ARP Quarterly'!D23</f>
        <v>2.9519999999999995</v>
      </c>
      <c r="O41" s="36">
        <f>'ARP Quarterly'!E23</f>
        <v>13.448</v>
      </c>
      <c r="P41" s="36">
        <f>'ARP Quarterly'!F23</f>
        <v>11.3</v>
      </c>
      <c r="Q41" s="36">
        <f>'ARP Quarterly'!G23</f>
        <v>11.3</v>
      </c>
      <c r="R41" s="36">
        <f>'ARP Quarterly'!H23</f>
        <v>11.3</v>
      </c>
      <c r="S41" s="36">
        <f>'ARP Quarterly'!I23</f>
        <v>11.3</v>
      </c>
      <c r="T41" s="36">
        <f>'ARP Quarterly'!J23</f>
        <v>8.4</v>
      </c>
      <c r="U41" s="36">
        <f>'ARP Quarterly'!K23</f>
        <v>8.4</v>
      </c>
      <c r="V41" s="36">
        <f>'ARP Quarterly'!L23</f>
        <v>8.4</v>
      </c>
      <c r="W41" s="36">
        <f>'ARP Quarterly'!M23</f>
        <v>8.4</v>
      </c>
      <c r="X41" s="36">
        <f>'ARP Quarterly'!N23</f>
        <v>0.2</v>
      </c>
      <c r="Y41" s="334">
        <f>'ARP Quarterly'!O23</f>
        <v>0.2</v>
      </c>
      <c r="Z41" s="334">
        <f>'ARP Quarterly'!P23</f>
        <v>0.2</v>
      </c>
      <c r="AA41" s="334">
        <f>'ARP Quarterly'!Q23</f>
        <v>0.2</v>
      </c>
      <c r="AB41" s="334">
        <f>'ARP Quarterly'!R23</f>
        <v>0</v>
      </c>
      <c r="AC41" s="334">
        <f>'ARP Quarterly'!S23</f>
        <v>0</v>
      </c>
      <c r="AD41" s="505"/>
      <c r="AE41" s="513"/>
      <c r="AF41" s="513"/>
      <c r="AG41" s="505"/>
    </row>
    <row r="42" spans="1:78">
      <c r="B42" s="542" t="s">
        <v>427</v>
      </c>
      <c r="C42" s="283"/>
      <c r="D42" s="478"/>
      <c r="E42" s="283"/>
      <c r="F42" s="230"/>
      <c r="G42" s="230"/>
      <c r="H42" s="36"/>
      <c r="I42" s="36"/>
      <c r="J42" s="36"/>
      <c r="K42" s="36"/>
      <c r="L42" s="528"/>
      <c r="M42" s="36">
        <f>'ARP Quarterly'!C24</f>
        <v>0</v>
      </c>
      <c r="N42" s="36">
        <f>'ARP Quarterly'!D24</f>
        <v>-0.20447999999999997</v>
      </c>
      <c r="O42" s="36">
        <f>'ARP Quarterly'!E24</f>
        <v>-0.93152000000000001</v>
      </c>
      <c r="P42" s="36">
        <v>0</v>
      </c>
      <c r="Q42" s="36">
        <v>0</v>
      </c>
      <c r="R42" s="36">
        <v>0</v>
      </c>
      <c r="S42" s="36">
        <v>0</v>
      </c>
      <c r="T42" s="36">
        <v>0</v>
      </c>
      <c r="U42" s="36">
        <v>0</v>
      </c>
      <c r="V42" s="36">
        <v>0</v>
      </c>
      <c r="W42" s="36">
        <v>0</v>
      </c>
      <c r="X42" s="36">
        <v>0</v>
      </c>
      <c r="Y42" s="334">
        <v>0</v>
      </c>
      <c r="Z42" s="334">
        <v>0</v>
      </c>
      <c r="AA42" s="334">
        <v>0</v>
      </c>
      <c r="AB42" s="334">
        <v>0</v>
      </c>
      <c r="AC42" s="334">
        <v>0</v>
      </c>
      <c r="AD42" s="505"/>
      <c r="AE42" s="513"/>
      <c r="AF42" s="513"/>
      <c r="AG42" s="505"/>
    </row>
    <row r="43" spans="1:78">
      <c r="B43" s="542" t="s">
        <v>312</v>
      </c>
      <c r="C43" s="283"/>
      <c r="D43" s="526"/>
      <c r="E43" s="527"/>
      <c r="F43" s="522"/>
      <c r="G43" s="522"/>
      <c r="H43" s="394"/>
      <c r="I43" s="394"/>
      <c r="J43" s="394"/>
      <c r="K43" s="394"/>
      <c r="L43" s="532"/>
      <c r="M43" s="394">
        <f>'ARP Quarterly'!C25</f>
        <v>0</v>
      </c>
      <c r="N43" s="394">
        <f>'ARP Quarterly'!D25</f>
        <v>58.782959999999996</v>
      </c>
      <c r="O43" s="394">
        <f>'ARP Quarterly'!E25</f>
        <v>267.78904000000006</v>
      </c>
      <c r="P43" s="394">
        <f>'ARP Quarterly'!F25</f>
        <v>110.24799999999999</v>
      </c>
      <c r="Q43" s="394">
        <f>'ARP Quarterly'!G25</f>
        <v>110.24799999999999</v>
      </c>
      <c r="R43" s="394">
        <f>'ARP Quarterly'!H25</f>
        <v>110.24799999999999</v>
      </c>
      <c r="S43" s="394">
        <f>'ARP Quarterly'!I25</f>
        <v>110.24799999999999</v>
      </c>
      <c r="T43" s="394">
        <f>'ARP Quarterly'!J25</f>
        <v>12.362</v>
      </c>
      <c r="U43" s="36">
        <f>'ARP Quarterly'!K25</f>
        <v>12.362</v>
      </c>
      <c r="V43" s="36">
        <f>'ARP Quarterly'!L25</f>
        <v>12.362</v>
      </c>
      <c r="W43" s="36">
        <f>'ARP Quarterly'!M25</f>
        <v>12.362</v>
      </c>
      <c r="X43" s="36">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5"/>
      <c r="AE43" s="513"/>
      <c r="AF43" s="513"/>
      <c r="AG43" s="505"/>
    </row>
    <row r="44" spans="1:78" ht="15" customHeight="1">
      <c r="B44" s="1364" t="s">
        <v>428</v>
      </c>
      <c r="C44" s="1365"/>
      <c r="D44" s="525"/>
      <c r="E44" s="55"/>
      <c r="F44" s="230"/>
      <c r="G44" s="230"/>
      <c r="H44" s="36"/>
      <c r="I44" s="36"/>
      <c r="J44" s="36"/>
      <c r="K44" s="36"/>
      <c r="L44" s="528"/>
      <c r="M44" s="36"/>
      <c r="N44" s="36"/>
      <c r="O44" s="36"/>
      <c r="P44" s="36"/>
      <c r="Q44" s="36"/>
      <c r="R44" s="36"/>
      <c r="S44" s="36"/>
      <c r="T44" s="36"/>
      <c r="U44" s="507"/>
      <c r="V44" s="499"/>
      <c r="W44" s="499"/>
      <c r="X44" s="499"/>
      <c r="Y44" s="504"/>
      <c r="Z44" s="504"/>
      <c r="AA44" s="504"/>
      <c r="AB44" s="504"/>
      <c r="AC44" s="504"/>
      <c r="AD44" s="505"/>
      <c r="AE44" s="513"/>
      <c r="AF44" s="513"/>
      <c r="AG44" s="505"/>
    </row>
    <row r="45" spans="1:78" ht="21" customHeight="1">
      <c r="B45" s="429" t="s">
        <v>429</v>
      </c>
      <c r="C45" s="529"/>
      <c r="D45" s="429"/>
      <c r="E45" s="529"/>
      <c r="F45" s="520"/>
      <c r="G45" s="520"/>
      <c r="H45" s="508"/>
      <c r="I45" s="508"/>
      <c r="J45" s="508"/>
      <c r="K45" s="508"/>
      <c r="L45" s="530"/>
      <c r="M45" s="508">
        <f>'ARP Quarterly'!C6</f>
        <v>0</v>
      </c>
      <c r="N45" s="508">
        <f>'ARP Quarterly'!D6</f>
        <v>58.782959999999989</v>
      </c>
      <c r="O45" s="508">
        <f>'ARP Quarterly'!E6</f>
        <v>267.78904</v>
      </c>
      <c r="P45" s="508">
        <f>'ARP Quarterly'!F6</f>
        <v>110.24799999999999</v>
      </c>
      <c r="Q45" s="508">
        <f>'ARP Quarterly'!G6</f>
        <v>110.24799999999999</v>
      </c>
      <c r="R45" s="508">
        <f>'ARP Quarterly'!H6</f>
        <v>110.24799999999999</v>
      </c>
      <c r="S45" s="508">
        <f>'ARP Quarterly'!I6</f>
        <v>110.24799999999999</v>
      </c>
      <c r="T45" s="508">
        <f>'ARP Quarterly'!J6</f>
        <v>12.726000000000001</v>
      </c>
      <c r="U45" s="508">
        <f>'ARP Quarterly'!K6</f>
        <v>12.726000000000001</v>
      </c>
      <c r="V45" s="508">
        <f>'ARP Quarterly'!L6</f>
        <v>12.726000000000001</v>
      </c>
      <c r="W45" s="508">
        <f>'ARP Quarterly'!M6</f>
        <v>12.726000000000001</v>
      </c>
      <c r="X45" s="508">
        <f>'ARP Quarterly'!N6</f>
        <v>1.365</v>
      </c>
      <c r="Y45" s="506">
        <f>'ARP Quarterly'!O6</f>
        <v>1.365</v>
      </c>
      <c r="Z45" s="506">
        <f>'ARP Quarterly'!P6</f>
        <v>1.365</v>
      </c>
      <c r="AA45" s="506">
        <f>'ARP Quarterly'!Q6</f>
        <v>1.365</v>
      </c>
      <c r="AB45" s="506">
        <f>'ARP Quarterly'!R6</f>
        <v>-0.90100000000000025</v>
      </c>
      <c r="AC45" s="506">
        <f>'ARP Quarterly'!S6</f>
        <v>-0.90100000000000025</v>
      </c>
      <c r="AD45" s="506">
        <f>'ARP Quarterly'!T6</f>
        <v>-0.90100000000000025</v>
      </c>
      <c r="AE45" s="506">
        <f>'ARP Quarterly'!U6</f>
        <v>-0.90100000000000025</v>
      </c>
      <c r="AF45" s="506">
        <f>'ARP Quarterly'!V6</f>
        <v>-2.1500000000000004</v>
      </c>
      <c r="AG45" s="502">
        <v>0</v>
      </c>
    </row>
    <row r="46" spans="1:78" ht="19.5" customHeight="1">
      <c r="A46" s="498"/>
      <c r="B46" s="537" t="s">
        <v>199</v>
      </c>
      <c r="C46" s="538"/>
      <c r="D46" s="537"/>
      <c r="E46" s="538"/>
      <c r="F46" s="509">
        <f>F11-F45</f>
        <v>60.5</v>
      </c>
      <c r="G46" s="509">
        <f>G11-G45</f>
        <v>81.400000000000006</v>
      </c>
      <c r="H46" s="509">
        <f t="shared" ref="H46:AE46" si="38">H11-H45</f>
        <v>82.1</v>
      </c>
      <c r="I46" s="509">
        <f>I11-I45</f>
        <v>80</v>
      </c>
      <c r="J46" s="509">
        <f t="shared" si="38"/>
        <v>975.8</v>
      </c>
      <c r="K46" s="509">
        <f t="shared" si="38"/>
        <v>1108.4000000000001</v>
      </c>
      <c r="L46" s="509">
        <f>L11-L45</f>
        <v>460.7</v>
      </c>
      <c r="M46" s="509">
        <f>M11-M45</f>
        <v>385.5</v>
      </c>
      <c r="N46" s="509">
        <f t="shared" si="38"/>
        <v>633.91704000000004</v>
      </c>
      <c r="O46" s="509">
        <f>O11-O45</f>
        <v>279.31096000000002</v>
      </c>
      <c r="P46" s="509">
        <f>P11-P45</f>
        <v>182.952</v>
      </c>
      <c r="Q46" s="509">
        <f t="shared" si="38"/>
        <v>41.152000000000015</v>
      </c>
      <c r="R46" s="509">
        <f t="shared" si="38"/>
        <v>19.25200000000001</v>
      </c>
      <c r="S46" s="509">
        <f t="shared" si="38"/>
        <v>7.4520000000000124</v>
      </c>
      <c r="T46" s="509">
        <f t="shared" si="38"/>
        <v>95.873999999999995</v>
      </c>
      <c r="U46" s="509">
        <f t="shared" si="38"/>
        <v>87.974000000000004</v>
      </c>
      <c r="V46" s="509">
        <f>V11-V45</f>
        <v>86.474000000000004</v>
      </c>
      <c r="W46" s="509">
        <f t="shared" si="38"/>
        <v>89.674000000000007</v>
      </c>
      <c r="X46" s="509">
        <f>X11-X45</f>
        <v>97.935000000000002</v>
      </c>
      <c r="Y46" s="540">
        <f t="shared" si="38"/>
        <v>95.135000000000005</v>
      </c>
      <c r="Z46" s="540">
        <f t="shared" si="38"/>
        <v>95.135000000000005</v>
      </c>
      <c r="AA46" s="540">
        <f t="shared" si="38"/>
        <v>95.135000000000005</v>
      </c>
      <c r="AB46" s="540">
        <f t="shared" si="38"/>
        <v>102.23399999999999</v>
      </c>
      <c r="AC46" s="540">
        <f>AC11-AC45</f>
        <v>102.23399999999999</v>
      </c>
      <c r="AD46" s="540">
        <f t="shared" si="38"/>
        <v>95.212000000000003</v>
      </c>
      <c r="AE46" s="540">
        <f t="shared" si="38"/>
        <v>96.212000000000003</v>
      </c>
      <c r="AF46" s="540">
        <f>AF11-AF45</f>
        <v>101.551</v>
      </c>
      <c r="AG46" s="540">
        <f>AG11-AG45</f>
        <v>100.401</v>
      </c>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row>
    <row r="47" spans="1:78" ht="19.5" customHeight="1">
      <c r="A47" s="498"/>
      <c r="B47" s="263"/>
      <c r="C47" s="263"/>
      <c r="D47" s="263"/>
      <c r="E47" s="263"/>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row>
    <row r="48" spans="1:78" ht="19.5" customHeight="1">
      <c r="A48" s="498"/>
      <c r="B48" s="263" t="s">
        <v>864</v>
      </c>
      <c r="C48" s="263"/>
      <c r="D48" s="263"/>
      <c r="E48" s="263"/>
      <c r="F48" s="539"/>
      <c r="G48" s="539"/>
      <c r="H48" s="539"/>
      <c r="I48" s="539"/>
      <c r="J48" s="539"/>
      <c r="K48" s="539"/>
      <c r="L48" s="539"/>
      <c r="M48" s="539"/>
      <c r="N48" s="539"/>
      <c r="O48" s="539"/>
      <c r="P48" s="539"/>
      <c r="Q48" s="539"/>
      <c r="R48" s="539"/>
      <c r="S48" s="539"/>
      <c r="T48" s="539">
        <v>110.8</v>
      </c>
      <c r="U48" s="519">
        <v>96.021999999999991</v>
      </c>
      <c r="V48" s="229">
        <v>88.50800000000001</v>
      </c>
      <c r="W48" s="229">
        <v>88.50800000000001</v>
      </c>
      <c r="X48" s="229">
        <v>85.631</v>
      </c>
      <c r="Y48" s="229">
        <v>85.631</v>
      </c>
      <c r="Z48" s="229">
        <v>85.631</v>
      </c>
      <c r="AA48" s="229">
        <v>85.631</v>
      </c>
      <c r="AB48" s="229">
        <v>90.463999999999999</v>
      </c>
      <c r="AC48" s="229">
        <v>90.463999999999999</v>
      </c>
      <c r="AD48" s="518">
        <f>U11-U48</f>
        <v>4.6780000000000115</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row>
    <row r="49" spans="2:30">
      <c r="B49" s="514" t="s">
        <v>405</v>
      </c>
      <c r="C49" s="240"/>
      <c r="D49" s="240"/>
      <c r="E49" s="240"/>
      <c r="F49" s="240"/>
      <c r="G49" s="240"/>
      <c r="H49" s="240"/>
      <c r="I49" s="240"/>
      <c r="J49" s="240"/>
      <c r="K49" s="240"/>
      <c r="L49" s="240"/>
      <c r="M49" s="240"/>
      <c r="N49" s="240"/>
      <c r="O49" s="240"/>
      <c r="P49" s="483"/>
      <c r="Q49" s="483"/>
      <c r="R49" s="483"/>
      <c r="S49" s="483"/>
      <c r="T49" s="515">
        <v>78.977999999999994</v>
      </c>
      <c r="U49" s="516">
        <v>76</v>
      </c>
      <c r="V49" s="516">
        <v>76</v>
      </c>
      <c r="W49" s="516">
        <v>76</v>
      </c>
      <c r="X49" s="516">
        <v>76</v>
      </c>
      <c r="Y49" s="516">
        <v>76</v>
      </c>
      <c r="Z49" s="516">
        <v>76</v>
      </c>
      <c r="AA49" s="516">
        <v>76</v>
      </c>
      <c r="AB49" s="516">
        <v>76</v>
      </c>
      <c r="AC49" s="516">
        <v>76</v>
      </c>
      <c r="AD49" s="518">
        <f t="shared" ref="AD49:AD83" si="39">U12-U49</f>
        <v>12.192000000000007</v>
      </c>
    </row>
    <row r="50" spans="2:30">
      <c r="B50" t="s">
        <v>406</v>
      </c>
      <c r="T50" s="201">
        <v>31.822000000000003</v>
      </c>
      <c r="U50" s="201">
        <v>20.021999999999998</v>
      </c>
      <c r="V50" s="201">
        <v>12.508000000000003</v>
      </c>
      <c r="W50" s="201">
        <v>12.508000000000003</v>
      </c>
      <c r="X50" s="201">
        <v>9.6310000000000002</v>
      </c>
      <c r="Y50" s="201">
        <v>9.6310000000000002</v>
      </c>
      <c r="Z50" s="201">
        <v>9.6310000000000002</v>
      </c>
      <c r="AA50" s="201">
        <v>9.6310000000000002</v>
      </c>
      <c r="AB50" s="201">
        <v>14.464</v>
      </c>
      <c r="AC50" s="201">
        <v>14.464</v>
      </c>
      <c r="AD50" s="518">
        <f t="shared" si="39"/>
        <v>-7.5139999999999958</v>
      </c>
    </row>
    <row r="51" spans="2:30">
      <c r="B51" t="s">
        <v>50</v>
      </c>
      <c r="S51" s="56"/>
      <c r="T51" s="73">
        <v>0</v>
      </c>
      <c r="U51" s="201"/>
      <c r="V51" s="201"/>
      <c r="W51" s="201"/>
      <c r="X51" s="201"/>
      <c r="Y51" s="201"/>
      <c r="AD51" s="518">
        <f t="shared" si="39"/>
        <v>0</v>
      </c>
    </row>
    <row r="52" spans="2:30">
      <c r="B52" t="s">
        <v>407</v>
      </c>
      <c r="T52" s="73">
        <v>28.200000000000003</v>
      </c>
      <c r="U52" s="73">
        <v>16.399999999999999</v>
      </c>
      <c r="V52" s="73">
        <v>8.886000000000001</v>
      </c>
      <c r="W52" s="73">
        <v>8.886000000000001</v>
      </c>
      <c r="X52" s="73">
        <v>0.2</v>
      </c>
      <c r="Y52" s="73">
        <v>0.2</v>
      </c>
      <c r="Z52" s="73">
        <v>0.2</v>
      </c>
      <c r="AA52" s="73">
        <v>0.2</v>
      </c>
      <c r="AB52" s="73">
        <v>0</v>
      </c>
      <c r="AC52" s="73">
        <v>0</v>
      </c>
      <c r="AD52" s="518">
        <f t="shared" si="39"/>
        <v>-7.5139999999999976</v>
      </c>
    </row>
    <row r="53" spans="2:30">
      <c r="B53" t="s">
        <v>145</v>
      </c>
      <c r="T53" s="73">
        <v>0</v>
      </c>
      <c r="U53" s="201"/>
      <c r="V53" s="201"/>
      <c r="W53" s="201"/>
      <c r="X53" s="201"/>
      <c r="Y53" s="201"/>
      <c r="AD53" s="518">
        <f t="shared" si="39"/>
        <v>0</v>
      </c>
    </row>
    <row r="54" spans="2:30">
      <c r="B54" t="s">
        <v>143</v>
      </c>
      <c r="T54" s="73">
        <v>0</v>
      </c>
      <c r="U54" s="201">
        <v>0</v>
      </c>
      <c r="V54" s="201">
        <v>0</v>
      </c>
      <c r="W54" s="201">
        <v>0</v>
      </c>
      <c r="X54" s="201">
        <v>0</v>
      </c>
      <c r="Y54" s="201">
        <v>0</v>
      </c>
      <c r="Z54" s="201">
        <v>0</v>
      </c>
      <c r="AA54" s="201">
        <v>0</v>
      </c>
      <c r="AB54" s="201">
        <v>0</v>
      </c>
      <c r="AC54" s="201">
        <v>0</v>
      </c>
      <c r="AD54" s="518">
        <f t="shared" si="39"/>
        <v>0</v>
      </c>
    </row>
    <row r="55" spans="2:30">
      <c r="B55" t="s">
        <v>142</v>
      </c>
      <c r="T55" s="73">
        <v>0.4</v>
      </c>
      <c r="U55" s="201">
        <v>0</v>
      </c>
      <c r="V55" s="201">
        <v>0</v>
      </c>
      <c r="W55" s="201">
        <v>0</v>
      </c>
      <c r="X55" s="201">
        <v>0</v>
      </c>
      <c r="Y55" s="201">
        <v>0</v>
      </c>
      <c r="Z55" s="201">
        <v>0</v>
      </c>
      <c r="AA55" s="201">
        <v>0</v>
      </c>
      <c r="AB55" s="201">
        <v>0</v>
      </c>
      <c r="AC55" s="201">
        <v>0</v>
      </c>
      <c r="AD55" s="518">
        <f t="shared" si="39"/>
        <v>0</v>
      </c>
    </row>
    <row r="56" spans="2:30">
      <c r="B56" t="s">
        <v>411</v>
      </c>
      <c r="T56" s="73">
        <v>3.6</v>
      </c>
      <c r="U56" s="201"/>
      <c r="V56" s="201"/>
      <c r="W56" s="201"/>
      <c r="X56" s="201"/>
      <c r="Y56" s="201"/>
      <c r="AD56" s="518">
        <f t="shared" si="39"/>
        <v>0</v>
      </c>
    </row>
    <row r="57" spans="2:30">
      <c r="B57" t="s">
        <v>144</v>
      </c>
      <c r="T57" s="73">
        <v>15.8</v>
      </c>
      <c r="U57" s="201">
        <v>8</v>
      </c>
      <c r="V57" s="201">
        <v>0.48599999999999993</v>
      </c>
      <c r="W57" s="201">
        <v>0.48599999999999993</v>
      </c>
      <c r="X57" s="201">
        <v>0</v>
      </c>
      <c r="Y57" s="201">
        <v>0</v>
      </c>
      <c r="Z57" s="201">
        <v>0</v>
      </c>
      <c r="AA57" s="201">
        <v>0</v>
      </c>
      <c r="AB57" s="201">
        <v>0</v>
      </c>
      <c r="AC57" s="201">
        <v>0</v>
      </c>
      <c r="AD57" s="518">
        <f t="shared" si="39"/>
        <v>-7.5140000000000002</v>
      </c>
    </row>
    <row r="58" spans="2:30">
      <c r="B58" t="s">
        <v>148</v>
      </c>
      <c r="T58" s="73">
        <v>0</v>
      </c>
      <c r="U58" s="201">
        <v>0</v>
      </c>
      <c r="V58" s="201">
        <v>0</v>
      </c>
      <c r="W58" s="201">
        <v>0</v>
      </c>
      <c r="X58" s="201">
        <v>0</v>
      </c>
      <c r="Y58" s="201">
        <v>0</v>
      </c>
      <c r="Z58" s="201">
        <v>0</v>
      </c>
      <c r="AA58" s="201">
        <v>0</v>
      </c>
      <c r="AB58" s="201">
        <v>0</v>
      </c>
      <c r="AC58" s="201">
        <v>0</v>
      </c>
      <c r="AD58" s="518">
        <f t="shared" si="39"/>
        <v>0</v>
      </c>
    </row>
    <row r="59" spans="2:30">
      <c r="B59" t="s">
        <v>414</v>
      </c>
      <c r="T59" s="73">
        <v>0</v>
      </c>
      <c r="U59" s="201">
        <v>0</v>
      </c>
      <c r="V59" s="201">
        <v>0</v>
      </c>
      <c r="W59" s="201">
        <v>0</v>
      </c>
      <c r="X59" s="201">
        <v>0</v>
      </c>
      <c r="Y59" s="201">
        <v>0</v>
      </c>
      <c r="Z59" s="201">
        <v>0</v>
      </c>
      <c r="AA59" s="201">
        <v>0</v>
      </c>
      <c r="AB59" s="201">
        <v>0</v>
      </c>
      <c r="AC59" s="201">
        <v>0</v>
      </c>
      <c r="AD59" s="518">
        <f t="shared" si="39"/>
        <v>0</v>
      </c>
    </row>
    <row r="60" spans="2:30">
      <c r="B60" t="s">
        <v>415</v>
      </c>
      <c r="T60" s="73">
        <v>0</v>
      </c>
      <c r="U60" s="201">
        <v>0</v>
      </c>
      <c r="V60" s="201">
        <v>0</v>
      </c>
      <c r="W60" s="201">
        <v>0</v>
      </c>
      <c r="X60" s="201">
        <v>0</v>
      </c>
      <c r="Y60" s="201">
        <v>0</v>
      </c>
      <c r="Z60" s="201">
        <v>0</v>
      </c>
      <c r="AA60" s="201">
        <v>0</v>
      </c>
      <c r="AB60" s="201">
        <v>0</v>
      </c>
      <c r="AC60" s="201">
        <v>0</v>
      </c>
      <c r="AD60" s="518">
        <f t="shared" si="39"/>
        <v>0</v>
      </c>
    </row>
    <row r="61" spans="2:30">
      <c r="B61" t="s">
        <v>416</v>
      </c>
      <c r="T61" s="201">
        <v>8.4</v>
      </c>
      <c r="U61" s="201">
        <v>8.4</v>
      </c>
      <c r="V61" s="201">
        <v>8.4</v>
      </c>
      <c r="W61" s="201">
        <v>8.4</v>
      </c>
      <c r="X61" s="201">
        <v>0.2</v>
      </c>
      <c r="Y61" s="201">
        <v>0.2</v>
      </c>
      <c r="Z61" s="201">
        <v>0.2</v>
      </c>
      <c r="AA61" s="201">
        <v>0.2</v>
      </c>
      <c r="AB61" s="201">
        <v>0</v>
      </c>
      <c r="AC61" s="201">
        <v>0</v>
      </c>
      <c r="AD61" s="518">
        <f t="shared" si="39"/>
        <v>0</v>
      </c>
    </row>
    <row r="62" spans="2:30">
      <c r="B62" t="s">
        <v>417</v>
      </c>
      <c r="T62" s="201">
        <v>0</v>
      </c>
      <c r="U62" s="201">
        <v>0</v>
      </c>
      <c r="V62" s="201">
        <v>0</v>
      </c>
      <c r="W62" s="201">
        <v>0</v>
      </c>
      <c r="X62" s="201">
        <v>0</v>
      </c>
      <c r="Y62" s="201">
        <v>0</v>
      </c>
      <c r="Z62" s="201">
        <v>0</v>
      </c>
      <c r="AA62" s="201">
        <v>0</v>
      </c>
      <c r="AB62" s="201">
        <v>0</v>
      </c>
      <c r="AC62" s="201">
        <v>0</v>
      </c>
      <c r="AD62" s="518">
        <f t="shared" si="39"/>
        <v>0</v>
      </c>
    </row>
    <row r="63" spans="2:30">
      <c r="B63" t="s">
        <v>1377</v>
      </c>
      <c r="T63" s="201">
        <v>2.3250000000000002</v>
      </c>
      <c r="U63" s="201">
        <v>2.3250000000000002</v>
      </c>
      <c r="V63" s="201">
        <v>2.3250000000000002</v>
      </c>
      <c r="W63" s="201">
        <v>2.3250000000000002</v>
      </c>
      <c r="X63" s="201">
        <v>5.5830000000000002</v>
      </c>
      <c r="Y63" s="201">
        <v>5.5830000000000002</v>
      </c>
      <c r="Z63" s="201">
        <v>5.5830000000000002</v>
      </c>
      <c r="AA63" s="201">
        <v>5.5830000000000002</v>
      </c>
      <c r="AB63" s="201">
        <v>8.0220000000000002</v>
      </c>
      <c r="AC63" s="201">
        <v>8.0220000000000002</v>
      </c>
      <c r="AD63" s="518">
        <f t="shared" si="39"/>
        <v>0</v>
      </c>
    </row>
    <row r="64" spans="2:30">
      <c r="B64" t="s">
        <v>1185</v>
      </c>
      <c r="T64" s="201">
        <v>1.2969999999999999</v>
      </c>
      <c r="U64" s="201">
        <v>1.2969999999999999</v>
      </c>
      <c r="V64" s="201">
        <v>1.2969999999999999</v>
      </c>
      <c r="W64" s="201">
        <v>1.2969999999999999</v>
      </c>
      <c r="X64" s="201">
        <v>3.8479999999999999</v>
      </c>
      <c r="Y64" s="201">
        <v>3.8479999999999999</v>
      </c>
      <c r="Z64" s="201">
        <v>3.8479999999999999</v>
      </c>
      <c r="AA64" s="201">
        <v>3.8479999999999999</v>
      </c>
      <c r="AB64" s="201">
        <v>6.4420000000000002</v>
      </c>
      <c r="AC64" s="201">
        <v>6.4420000000000002</v>
      </c>
      <c r="AD64" s="518">
        <f t="shared" si="39"/>
        <v>0</v>
      </c>
    </row>
    <row r="65" spans="2:30">
      <c r="B65" t="s">
        <v>418</v>
      </c>
      <c r="T65" s="201"/>
      <c r="U65" s="201"/>
      <c r="AD65" s="518">
        <f t="shared" si="39"/>
        <v>0</v>
      </c>
    </row>
    <row r="66" spans="2:30">
      <c r="B66" t="s">
        <v>419</v>
      </c>
      <c r="T66" s="201"/>
      <c r="U66" s="201"/>
      <c r="AD66" s="518">
        <f t="shared" si="39"/>
        <v>0</v>
      </c>
    </row>
    <row r="67" spans="2:30">
      <c r="B67" t="s">
        <v>420</v>
      </c>
      <c r="T67" s="201"/>
      <c r="U67" s="201"/>
      <c r="AD67" s="518">
        <f t="shared" si="39"/>
        <v>0</v>
      </c>
    </row>
    <row r="68" spans="2:30">
      <c r="B68" t="s">
        <v>417</v>
      </c>
      <c r="T68" s="201"/>
      <c r="U68" s="201"/>
      <c r="AD68" s="518">
        <f t="shared" si="39"/>
        <v>0</v>
      </c>
    </row>
    <row r="69" spans="2:30">
      <c r="B69" t="s">
        <v>414</v>
      </c>
      <c r="T69" s="517"/>
      <c r="U69" s="517"/>
      <c r="AD69" s="518">
        <f t="shared" si="39"/>
        <v>0</v>
      </c>
    </row>
    <row r="70" spans="2:30">
      <c r="B70" t="s">
        <v>421</v>
      </c>
      <c r="T70" s="517"/>
      <c r="U70" s="517"/>
      <c r="AD70" s="518">
        <f t="shared" si="39"/>
        <v>0</v>
      </c>
    </row>
    <row r="71" spans="2:30">
      <c r="B71" t="s">
        <v>422</v>
      </c>
      <c r="T71" s="201"/>
      <c r="U71" s="201"/>
      <c r="AD71" s="518">
        <f t="shared" si="39"/>
        <v>0</v>
      </c>
    </row>
    <row r="72" spans="2:30">
      <c r="B72" t="s">
        <v>423</v>
      </c>
      <c r="T72" s="201"/>
      <c r="U72" s="201"/>
      <c r="AD72" s="518">
        <f t="shared" si="39"/>
        <v>0</v>
      </c>
    </row>
    <row r="73" spans="2:30">
      <c r="B73" t="s">
        <v>143</v>
      </c>
      <c r="T73" s="201">
        <v>0</v>
      </c>
      <c r="U73" s="201">
        <v>0</v>
      </c>
      <c r="V73" s="201">
        <v>0</v>
      </c>
      <c r="W73" s="201">
        <v>0</v>
      </c>
      <c r="X73" s="201">
        <v>0</v>
      </c>
      <c r="Y73" s="201">
        <v>0</v>
      </c>
      <c r="Z73" s="201">
        <v>0</v>
      </c>
      <c r="AA73" s="201">
        <v>0</v>
      </c>
      <c r="AB73" s="201">
        <v>0</v>
      </c>
      <c r="AC73" s="201">
        <v>0</v>
      </c>
      <c r="AD73" s="518">
        <f t="shared" si="39"/>
        <v>0</v>
      </c>
    </row>
    <row r="74" spans="2:30">
      <c r="B74" t="s">
        <v>424</v>
      </c>
      <c r="T74" s="201">
        <v>0.48599999999999993</v>
      </c>
      <c r="U74" s="201">
        <v>0.48599999999999993</v>
      </c>
      <c r="V74" s="201">
        <v>0.48599999999999993</v>
      </c>
      <c r="W74" s="201">
        <v>0.48599999999999993</v>
      </c>
      <c r="X74" s="201">
        <v>0</v>
      </c>
      <c r="Y74" s="201">
        <v>0</v>
      </c>
      <c r="Z74" s="201">
        <v>0</v>
      </c>
      <c r="AA74" s="201">
        <v>0</v>
      </c>
      <c r="AB74" s="201">
        <v>0</v>
      </c>
      <c r="AC74" s="201">
        <v>0</v>
      </c>
      <c r="AD74" s="518">
        <f t="shared" si="39"/>
        <v>0</v>
      </c>
    </row>
    <row r="75" spans="2:30">
      <c r="B75" t="s">
        <v>148</v>
      </c>
      <c r="T75" s="201">
        <v>0</v>
      </c>
      <c r="U75" s="201">
        <v>0</v>
      </c>
      <c r="V75" s="201">
        <v>0</v>
      </c>
      <c r="W75" s="201">
        <v>0</v>
      </c>
      <c r="X75" s="201">
        <v>0</v>
      </c>
      <c r="Y75" s="201">
        <v>0</v>
      </c>
      <c r="Z75" s="201">
        <v>0</v>
      </c>
      <c r="AA75" s="201">
        <v>0</v>
      </c>
      <c r="AB75" s="201">
        <v>0</v>
      </c>
      <c r="AC75" s="201">
        <v>0</v>
      </c>
      <c r="AD75" s="518">
        <f t="shared" si="39"/>
        <v>0</v>
      </c>
    </row>
    <row r="76" spans="2:30">
      <c r="B76" t="s">
        <v>414</v>
      </c>
      <c r="T76" s="201">
        <v>0.78750000000000009</v>
      </c>
      <c r="U76" s="201">
        <v>0.78750000000000009</v>
      </c>
      <c r="V76" s="201">
        <v>0.78750000000000009</v>
      </c>
      <c r="W76" s="201">
        <v>0.78750000000000009</v>
      </c>
      <c r="X76" s="201">
        <v>0</v>
      </c>
      <c r="Y76" s="201">
        <v>0</v>
      </c>
      <c r="Z76" s="201">
        <v>0</v>
      </c>
      <c r="AA76" s="201">
        <v>0</v>
      </c>
      <c r="AB76" s="201">
        <v>0</v>
      </c>
      <c r="AC76" s="201">
        <v>0</v>
      </c>
      <c r="AD76" s="518">
        <f t="shared" si="39"/>
        <v>0</v>
      </c>
    </row>
    <row r="77" spans="2:30">
      <c r="B77" t="s">
        <v>425</v>
      </c>
      <c r="T77" s="201">
        <v>1.3125000000000002</v>
      </c>
      <c r="U77" s="201">
        <v>1.3125000000000002</v>
      </c>
      <c r="V77" s="201">
        <v>1.3125000000000002</v>
      </c>
      <c r="W77" s="201">
        <v>1.3125000000000002</v>
      </c>
      <c r="X77" s="201">
        <v>0</v>
      </c>
      <c r="Y77" s="201">
        <v>0</v>
      </c>
      <c r="Z77" s="201">
        <v>0</v>
      </c>
      <c r="AA77" s="201">
        <v>0</v>
      </c>
      <c r="AB77" s="201">
        <v>0</v>
      </c>
      <c r="AC77" s="201">
        <v>0</v>
      </c>
      <c r="AD77" s="518">
        <f t="shared" si="39"/>
        <v>0</v>
      </c>
    </row>
    <row r="78" spans="2:30">
      <c r="B78" t="s">
        <v>426</v>
      </c>
      <c r="T78" s="201">
        <v>8.4</v>
      </c>
      <c r="U78" s="201">
        <v>8.4</v>
      </c>
      <c r="V78" s="201">
        <v>8.4</v>
      </c>
      <c r="W78" s="201">
        <v>8.4</v>
      </c>
      <c r="X78" s="201">
        <v>0.2</v>
      </c>
      <c r="Y78" s="201">
        <v>0.2</v>
      </c>
      <c r="Z78" s="201">
        <v>0.2</v>
      </c>
      <c r="AA78" s="201">
        <v>0.2</v>
      </c>
      <c r="AB78" s="201">
        <v>0</v>
      </c>
      <c r="AC78" s="201">
        <v>0</v>
      </c>
      <c r="AD78" s="518">
        <f t="shared" si="39"/>
        <v>0</v>
      </c>
    </row>
    <row r="79" spans="2:30">
      <c r="B79" t="s">
        <v>427</v>
      </c>
      <c r="T79" s="201">
        <v>0</v>
      </c>
      <c r="U79" s="201">
        <v>0</v>
      </c>
      <c r="V79" s="201">
        <v>0</v>
      </c>
      <c r="W79" s="201">
        <v>0</v>
      </c>
      <c r="X79" s="201">
        <v>0</v>
      </c>
      <c r="Y79" s="201">
        <v>0</v>
      </c>
      <c r="Z79" s="201">
        <v>0</v>
      </c>
      <c r="AA79" s="201">
        <v>0</v>
      </c>
      <c r="AB79" s="201">
        <v>0</v>
      </c>
      <c r="AC79" s="201">
        <v>0</v>
      </c>
      <c r="AD79" s="518">
        <f t="shared" si="39"/>
        <v>0</v>
      </c>
    </row>
    <row r="80" spans="2:30">
      <c r="B80" t="s">
        <v>312</v>
      </c>
      <c r="T80" s="201">
        <v>12.362</v>
      </c>
      <c r="U80" s="201">
        <v>12.362</v>
      </c>
      <c r="V80" s="201">
        <v>12.362</v>
      </c>
      <c r="W80" s="201">
        <v>12.362</v>
      </c>
      <c r="X80" s="201">
        <v>-0.67500000000000004</v>
      </c>
      <c r="Y80" s="201">
        <v>-0.67500000000000004</v>
      </c>
      <c r="Z80" s="201">
        <v>-0.67500000000000004</v>
      </c>
      <c r="AA80" s="201">
        <v>-0.67500000000000004</v>
      </c>
      <c r="AB80" s="201">
        <v>0</v>
      </c>
      <c r="AC80" s="201">
        <v>0</v>
      </c>
      <c r="AD80" s="518">
        <f t="shared" si="39"/>
        <v>0</v>
      </c>
    </row>
    <row r="81" spans="2:30">
      <c r="B81" t="s">
        <v>428</v>
      </c>
      <c r="T81" s="201"/>
      <c r="U81" s="201"/>
      <c r="AD81" s="518">
        <f t="shared" si="39"/>
        <v>0</v>
      </c>
    </row>
    <row r="82" spans="2:30">
      <c r="B82" t="s">
        <v>429</v>
      </c>
      <c r="T82" s="201">
        <v>12.726000000000001</v>
      </c>
      <c r="U82" s="201">
        <v>12.726000000000001</v>
      </c>
      <c r="V82" s="201">
        <v>12.726000000000001</v>
      </c>
      <c r="W82" s="201">
        <v>12.726000000000001</v>
      </c>
      <c r="X82" s="201">
        <v>1.365</v>
      </c>
      <c r="Y82" s="201">
        <v>1.365</v>
      </c>
      <c r="Z82" s="201">
        <v>1.365</v>
      </c>
      <c r="AA82" s="201">
        <v>1.365</v>
      </c>
      <c r="AB82" s="201">
        <v>-0.90100000000000025</v>
      </c>
      <c r="AC82" s="201">
        <v>-0.90100000000000025</v>
      </c>
      <c r="AD82" s="518">
        <f t="shared" si="39"/>
        <v>0</v>
      </c>
    </row>
    <row r="83" spans="2:30">
      <c r="B83" t="s">
        <v>199</v>
      </c>
      <c r="T83" s="73">
        <v>98.073999999999998</v>
      </c>
      <c r="U83" s="518">
        <v>83.295999999999992</v>
      </c>
      <c r="V83" s="73">
        <v>75.782000000000011</v>
      </c>
      <c r="W83" s="73">
        <v>75.782000000000011</v>
      </c>
      <c r="X83" s="73">
        <v>84.266000000000005</v>
      </c>
      <c r="Y83" s="73">
        <v>84.266000000000005</v>
      </c>
      <c r="Z83" s="73">
        <v>84.266000000000005</v>
      </c>
      <c r="AA83" s="73">
        <v>84.266000000000005</v>
      </c>
      <c r="AB83" s="73">
        <v>91.364999999999995</v>
      </c>
      <c r="AC83" s="73">
        <v>91.364999999999995</v>
      </c>
      <c r="AD83" s="518">
        <f t="shared" si="39"/>
        <v>4.6780000000000115</v>
      </c>
    </row>
    <row r="84" spans="2:30">
      <c r="AD84" s="518"/>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D4" zoomScale="90" zoomScaleNormal="90" workbookViewId="0">
      <selection activeCell="Z29" sqref="Z29"/>
    </sheetView>
  </sheetViews>
  <sheetFormatPr defaultColWidth="10.81640625" defaultRowHeight="14.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c r="B1" s="1297" t="s">
        <v>54</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c r="AD1" s="212"/>
      <c r="AE1" s="212"/>
      <c r="AF1" s="212"/>
      <c r="AG1" s="212"/>
    </row>
    <row r="2" spans="2:36" ht="14.25" customHeight="1">
      <c r="B2" s="1390" t="s">
        <v>859</v>
      </c>
      <c r="C2" s="1390"/>
      <c r="D2" s="1390"/>
      <c r="E2" s="1390"/>
      <c r="F2" s="1390"/>
      <c r="G2" s="1390"/>
      <c r="H2" s="1390"/>
      <c r="I2" s="1390"/>
      <c r="J2" s="1390"/>
      <c r="K2" s="1390"/>
      <c r="L2" s="1390"/>
      <c r="M2" s="1390"/>
      <c r="N2" s="1390"/>
      <c r="O2" s="1390"/>
      <c r="P2" s="1390"/>
      <c r="Q2" s="1390"/>
      <c r="R2" s="1390"/>
      <c r="S2" s="1390"/>
      <c r="T2" s="1390"/>
      <c r="U2" s="1390"/>
      <c r="V2" s="1389" t="s">
        <v>910</v>
      </c>
      <c r="W2" s="1389"/>
      <c r="X2" s="1389"/>
      <c r="Y2" s="1389"/>
      <c r="Z2" s="1389"/>
      <c r="AA2" s="1389"/>
      <c r="AB2" s="1389"/>
      <c r="AC2" s="596"/>
      <c r="AD2" s="596"/>
      <c r="AE2" s="596"/>
      <c r="AF2" s="596"/>
      <c r="AG2" s="596"/>
    </row>
    <row r="3" spans="2:36" ht="59.9" customHeight="1">
      <c r="B3" s="1390"/>
      <c r="C3" s="1390"/>
      <c r="D3" s="1390"/>
      <c r="E3" s="1390"/>
      <c r="F3" s="1390"/>
      <c r="G3" s="1390"/>
      <c r="H3" s="1390"/>
      <c r="I3" s="1390"/>
      <c r="J3" s="1390"/>
      <c r="K3" s="1390"/>
      <c r="L3" s="1390"/>
      <c r="M3" s="1390"/>
      <c r="N3" s="1390"/>
      <c r="O3" s="1390"/>
      <c r="P3" s="1390"/>
      <c r="Q3" s="1390"/>
      <c r="R3" s="1390"/>
      <c r="S3" s="1390"/>
      <c r="T3" s="1390"/>
      <c r="U3" s="1390"/>
      <c r="V3" s="1389"/>
      <c r="W3" s="1389"/>
      <c r="X3" s="1389"/>
      <c r="Y3" s="1389"/>
      <c r="Z3" s="1389"/>
      <c r="AA3" s="1389"/>
      <c r="AB3" s="1389"/>
      <c r="AC3" s="596"/>
      <c r="AD3" s="596"/>
      <c r="AE3" s="596"/>
      <c r="AF3" s="596"/>
      <c r="AG3" s="596"/>
    </row>
    <row r="4" spans="2:36" ht="88.5" customHeight="1">
      <c r="B4" s="1390"/>
      <c r="C4" s="1390"/>
      <c r="D4" s="1390"/>
      <c r="E4" s="1390"/>
      <c r="F4" s="1390"/>
      <c r="G4" s="1390"/>
      <c r="H4" s="1390"/>
      <c r="I4" s="1390"/>
      <c r="J4" s="1390"/>
      <c r="K4" s="1390"/>
      <c r="L4" s="1390"/>
      <c r="M4" s="1390"/>
      <c r="N4" s="1390"/>
      <c r="O4" s="1390"/>
      <c r="P4" s="1390"/>
      <c r="Q4" s="1390"/>
      <c r="R4" s="1390"/>
      <c r="S4" s="1390"/>
      <c r="T4" s="1390"/>
      <c r="U4" s="1390"/>
      <c r="V4" s="1389"/>
      <c r="W4" s="1389"/>
      <c r="X4" s="1389"/>
      <c r="Y4" s="1389"/>
      <c r="Z4" s="1389"/>
      <c r="AA4" s="1389"/>
      <c r="AB4" s="1389"/>
      <c r="AC4" s="596"/>
      <c r="AD4" s="596"/>
      <c r="AE4" s="596"/>
      <c r="AF4" s="596"/>
      <c r="AG4" s="596"/>
    </row>
    <row r="5" spans="2:36" ht="33" customHeight="1">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row>
    <row r="6" spans="2:36">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row>
    <row r="7" spans="2:36" ht="14.9" customHeight="1">
      <c r="B7" s="1302" t="s">
        <v>404</v>
      </c>
      <c r="C7" s="1303"/>
      <c r="D7" s="1306" t="s">
        <v>280</v>
      </c>
      <c r="E7" s="1319"/>
      <c r="F7" s="1319"/>
      <c r="G7" s="1319"/>
      <c r="H7" s="1319"/>
      <c r="I7" s="1319"/>
      <c r="J7" s="1319"/>
      <c r="K7" s="1319"/>
      <c r="L7" s="1319"/>
      <c r="M7" s="1319"/>
      <c r="N7" s="1319"/>
      <c r="O7" s="1319"/>
      <c r="P7" s="1319"/>
      <c r="Q7" s="1319"/>
      <c r="R7" s="1319"/>
      <c r="S7" s="1319"/>
      <c r="T7" s="1319"/>
      <c r="U7" s="1319"/>
      <c r="V7" s="1307"/>
      <c r="W7" s="1331" t="s">
        <v>281</v>
      </c>
      <c r="X7" s="1332"/>
      <c r="Y7" s="1332"/>
      <c r="Z7" s="1332"/>
      <c r="AA7" s="1332"/>
      <c r="AB7" s="1332"/>
      <c r="AC7" s="1332"/>
      <c r="AD7" s="1332"/>
      <c r="AE7" s="1332"/>
      <c r="AF7" s="1332"/>
      <c r="AG7" s="1332"/>
    </row>
    <row r="8" spans="2:36">
      <c r="B8" s="1304"/>
      <c r="C8" s="1320"/>
      <c r="D8" s="219">
        <v>2018</v>
      </c>
      <c r="E8" s="1311">
        <v>2019</v>
      </c>
      <c r="F8" s="1312"/>
      <c r="G8" s="1312"/>
      <c r="H8" s="1313"/>
      <c r="I8" s="1311">
        <v>2020</v>
      </c>
      <c r="J8" s="1312"/>
      <c r="K8" s="1312"/>
      <c r="L8" s="1312"/>
      <c r="M8" s="1311">
        <v>2021</v>
      </c>
      <c r="N8" s="1312"/>
      <c r="O8" s="1312"/>
      <c r="P8" s="1312"/>
      <c r="Q8" s="1311">
        <v>2022</v>
      </c>
      <c r="R8" s="1333"/>
      <c r="S8" s="1333"/>
      <c r="T8" s="1313"/>
      <c r="U8" s="288"/>
      <c r="V8" s="288">
        <v>2023</v>
      </c>
      <c r="W8" s="553"/>
      <c r="X8" s="260"/>
      <c r="Y8" s="1308">
        <v>2024</v>
      </c>
      <c r="Z8" s="1321"/>
      <c r="AA8" s="1321"/>
      <c r="AB8" s="1310"/>
      <c r="AC8" s="1308">
        <v>2025</v>
      </c>
      <c r="AD8" s="1321"/>
      <c r="AE8" s="1321"/>
      <c r="AF8" s="1310"/>
      <c r="AG8" s="503">
        <v>2026</v>
      </c>
      <c r="AH8" s="240"/>
      <c r="AI8" s="240"/>
      <c r="AJ8" s="240"/>
    </row>
    <row r="9" spans="2:36">
      <c r="B9" s="1304"/>
      <c r="C9" s="1320"/>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6" t="s">
        <v>282</v>
      </c>
      <c r="U9" s="215" t="s">
        <v>283</v>
      </c>
      <c r="V9" s="286" t="s">
        <v>284</v>
      </c>
      <c r="W9" s="270" t="s">
        <v>238</v>
      </c>
      <c r="X9" s="271" t="s">
        <v>282</v>
      </c>
      <c r="Y9" s="269" t="s">
        <v>283</v>
      </c>
      <c r="Z9" s="267" t="s">
        <v>284</v>
      </c>
      <c r="AA9" s="270" t="s">
        <v>238</v>
      </c>
      <c r="AB9" s="270" t="s">
        <v>282</v>
      </c>
      <c r="AC9" s="269" t="s">
        <v>283</v>
      </c>
      <c r="AD9" s="267" t="s">
        <v>284</v>
      </c>
      <c r="AE9" s="270" t="s">
        <v>238</v>
      </c>
      <c r="AF9" s="270" t="s">
        <v>282</v>
      </c>
      <c r="AG9" s="269" t="s">
        <v>283</v>
      </c>
      <c r="AH9" s="231"/>
      <c r="AI9" s="234"/>
      <c r="AJ9" s="234"/>
    </row>
    <row r="10" spans="2:36">
      <c r="B10" s="562" t="s">
        <v>101</v>
      </c>
      <c r="C10" s="441"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291"/>
      <c r="AA10" s="291"/>
      <c r="AB10" s="291"/>
      <c r="AC10" s="217"/>
      <c r="AD10" s="326"/>
      <c r="AE10" s="326"/>
      <c r="AF10" s="326"/>
      <c r="AG10" s="326"/>
      <c r="AH10" t="s">
        <v>1825</v>
      </c>
    </row>
    <row r="11" spans="2:36">
      <c r="B11" s="548" t="s">
        <v>431</v>
      </c>
      <c r="C11" s="240" t="s">
        <v>339</v>
      </c>
      <c r="D11" s="592">
        <f>'Haver Pivoted'!GO40</f>
        <v>391.92099999999999</v>
      </c>
      <c r="E11" s="552">
        <f>'Haver Pivoted'!GP40</f>
        <v>406.23</v>
      </c>
      <c r="F11" s="552">
        <f>'Haver Pivoted'!GQ40</f>
        <v>414.87200000000001</v>
      </c>
      <c r="G11" s="552">
        <f>'Haver Pivoted'!GR40</f>
        <v>418.36200000000002</v>
      </c>
      <c r="H11" s="552">
        <f>'Haver Pivoted'!GS40</f>
        <v>414.971</v>
      </c>
      <c r="I11" s="552">
        <f>'Haver Pivoted'!GT40</f>
        <v>424.089</v>
      </c>
      <c r="J11" s="552">
        <f>'Haver Pivoted'!GU40</f>
        <v>505.45</v>
      </c>
      <c r="K11" s="552">
        <f>'Haver Pivoted'!GV40</f>
        <v>483.86599999999999</v>
      </c>
      <c r="L11" s="552">
        <f>'Haver Pivoted'!GW40</f>
        <v>506.75599999999997</v>
      </c>
      <c r="M11" s="552">
        <f>'Haver Pivoted'!GX40</f>
        <v>501.459</v>
      </c>
      <c r="N11" s="552">
        <f>'Haver Pivoted'!GY40</f>
        <v>526.38599999999997</v>
      </c>
      <c r="O11" s="552">
        <f>'Haver Pivoted'!GZ40</f>
        <v>541.66800000000001</v>
      </c>
      <c r="P11" s="552">
        <f>'Haver Pivoted'!HA40</f>
        <v>563.64300000000003</v>
      </c>
      <c r="Q11" s="552">
        <f>'Haver Pivoted'!HB40</f>
        <v>594.56200000000001</v>
      </c>
      <c r="R11" s="552">
        <f>'Haver Pivoted'!HC40</f>
        <v>595.59299999999996</v>
      </c>
      <c r="S11" s="555">
        <f>'Haver Pivoted'!HD40</f>
        <v>607.94899999999996</v>
      </c>
      <c r="T11" s="555">
        <f>'Haver Pivoted'!HE40</f>
        <v>607.13699999999994</v>
      </c>
      <c r="U11" s="555">
        <f>'Haver Pivoted'!HF40</f>
        <v>630.96299999999997</v>
      </c>
      <c r="V11" s="555">
        <f>'Haver Pivoted'!HG40</f>
        <v>639.71100000000001</v>
      </c>
      <c r="W11" s="555">
        <f>'Haver Pivoted'!HH40</f>
        <v>590.947</v>
      </c>
      <c r="X11" s="555">
        <f>'Haver Pivoted'!HI40</f>
        <v>616.99699999999996</v>
      </c>
      <c r="Y11" s="555">
        <f>'Haver Pivoted'!HJ40</f>
        <v>613.56899999999996</v>
      </c>
      <c r="Z11" s="326"/>
      <c r="AA11" s="326"/>
      <c r="AB11" s="326"/>
      <c r="AC11" s="326"/>
      <c r="AD11" s="326"/>
      <c r="AE11" s="326"/>
      <c r="AF11" s="326"/>
      <c r="AG11" s="326"/>
    </row>
    <row r="12" spans="2:36" ht="27.65" customHeight="1">
      <c r="B12" s="526" t="s">
        <v>893</v>
      </c>
      <c r="C12" s="57"/>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97">
        <f>Y12</f>
        <v>0.6691776638673792</v>
      </c>
      <c r="AA12" s="597">
        <f t="shared" ref="AA12" si="3">Z12</f>
        <v>0.6691776638673792</v>
      </c>
      <c r="AB12" s="597">
        <f>AA12</f>
        <v>0.6691776638673792</v>
      </c>
      <c r="AC12" s="597">
        <f t="shared" ref="AC12" si="4">AB12</f>
        <v>0.6691776638673792</v>
      </c>
      <c r="AD12" s="597">
        <f t="shared" ref="AD12" si="5">AC12</f>
        <v>0.6691776638673792</v>
      </c>
      <c r="AE12" s="597">
        <f t="shared" ref="AE12" si="6">AD12</f>
        <v>0.6691776638673792</v>
      </c>
      <c r="AF12" s="597">
        <f t="shared" ref="AF12" si="7">AE12</f>
        <v>0.6691776638673792</v>
      </c>
      <c r="AG12" s="597">
        <f t="shared" ref="AG12" si="8">AF12</f>
        <v>0.6691776638673792</v>
      </c>
    </row>
    <row r="13" spans="2:36" ht="27.65" customHeight="1">
      <c r="O13" s="56"/>
      <c r="P13" s="56"/>
      <c r="Q13" s="56"/>
      <c r="R13" s="56"/>
      <c r="S13" s="56"/>
      <c r="T13" s="56"/>
      <c r="Y13" s="556"/>
      <c r="Z13" s="556"/>
      <c r="AA13" s="556"/>
      <c r="AB13" s="556"/>
      <c r="AC13" s="556"/>
      <c r="AD13" s="556"/>
      <c r="AE13" s="556"/>
      <c r="AF13" s="556"/>
      <c r="AG13" s="556"/>
      <c r="AH13" s="56"/>
    </row>
    <row r="14" spans="2:36">
      <c r="O14" s="56"/>
      <c r="P14" s="240"/>
      <c r="Q14" s="56"/>
      <c r="R14" s="56"/>
      <c r="S14" s="56"/>
      <c r="T14" s="552"/>
      <c r="Y14" s="234"/>
      <c r="Z14" s="234"/>
      <c r="AA14" s="234"/>
      <c r="AB14" s="234"/>
      <c r="AC14" s="234"/>
      <c r="AD14" s="234"/>
      <c r="AE14" s="234"/>
      <c r="AF14" s="234"/>
      <c r="AG14" s="234"/>
      <c r="AH14" s="56"/>
    </row>
    <row r="15" spans="2:36">
      <c r="B15" s="514" t="s">
        <v>352</v>
      </c>
      <c r="G15" t="s">
        <v>1962</v>
      </c>
      <c r="O15" s="56"/>
      <c r="P15" s="240"/>
      <c r="Q15" s="56"/>
      <c r="R15" s="56"/>
      <c r="S15" s="56"/>
      <c r="T15" s="552"/>
      <c r="Y15" s="234"/>
      <c r="Z15" s="234"/>
      <c r="AA15" s="234"/>
      <c r="AB15" s="234"/>
      <c r="AC15" s="234"/>
      <c r="AD15" s="234"/>
      <c r="AE15" s="234"/>
      <c r="AF15" s="234"/>
      <c r="AG15" s="234"/>
      <c r="AH15" s="56"/>
    </row>
    <row r="16" spans="2:36" ht="25.4" customHeight="1">
      <c r="B16" s="566" t="s">
        <v>432</v>
      </c>
      <c r="C16" s="564">
        <v>2020</v>
      </c>
      <c r="D16" s="564">
        <v>2021</v>
      </c>
      <c r="E16" s="564">
        <v>2022</v>
      </c>
      <c r="F16" s="564">
        <v>2023</v>
      </c>
      <c r="G16" s="564">
        <v>2024</v>
      </c>
      <c r="H16" s="564">
        <v>2025</v>
      </c>
      <c r="I16" s="564">
        <v>2026</v>
      </c>
      <c r="J16" s="565">
        <v>2027</v>
      </c>
      <c r="O16" s="56"/>
      <c r="P16" s="240"/>
      <c r="Q16" s="56"/>
      <c r="R16" s="56"/>
      <c r="S16" s="56"/>
      <c r="T16" s="556"/>
      <c r="U16" s="556"/>
      <c r="V16" s="556"/>
      <c r="W16" s="556"/>
      <c r="X16" s="556"/>
      <c r="Y16" s="556"/>
      <c r="Z16" s="556"/>
      <c r="AA16" s="556"/>
      <c r="AB16" s="556"/>
      <c r="AC16" s="556"/>
      <c r="AD16" s="556"/>
      <c r="AE16" s="556"/>
      <c r="AF16" s="556"/>
      <c r="AG16" s="556"/>
      <c r="AH16" s="56"/>
    </row>
    <row r="17" spans="2:34" ht="31.5" customHeight="1">
      <c r="B17" s="594" t="s">
        <v>1959</v>
      </c>
      <c r="C17" s="252">
        <v>458.46800000000002</v>
      </c>
      <c r="D17" s="266">
        <v>520.58799999999997</v>
      </c>
      <c r="E17" s="266">
        <v>591.94899999999996</v>
      </c>
      <c r="F17" s="266">
        <v>615.77200000000005</v>
      </c>
      <c r="G17" s="266">
        <v>606.89800000000002</v>
      </c>
      <c r="H17" s="266">
        <v>600.45899999999995</v>
      </c>
      <c r="I17" s="266">
        <v>614.44100000000003</v>
      </c>
      <c r="J17" s="266">
        <v>642.08799999999997</v>
      </c>
      <c r="K17" s="266">
        <v>679.89200000000005</v>
      </c>
      <c r="L17" s="266">
        <v>717.14099999999996</v>
      </c>
      <c r="M17" s="266">
        <v>756.26</v>
      </c>
      <c r="N17" s="266">
        <v>795.53099999999995</v>
      </c>
      <c r="O17" s="266">
        <v>837.52499999999998</v>
      </c>
      <c r="P17" s="266">
        <v>885.98900000000003</v>
      </c>
      <c r="Q17" s="266">
        <v>932.56399999999996</v>
      </c>
      <c r="R17" s="56"/>
      <c r="S17" s="56"/>
      <c r="T17" s="56"/>
      <c r="U17" s="56"/>
      <c r="V17" s="56"/>
      <c r="W17" s="56"/>
      <c r="X17" s="56"/>
      <c r="Y17" s="56"/>
      <c r="Z17" s="56"/>
      <c r="AA17" s="56"/>
      <c r="AB17" s="56"/>
      <c r="AC17" s="56"/>
      <c r="AD17" s="56"/>
      <c r="AE17" s="56"/>
      <c r="AF17" s="56"/>
      <c r="AG17" s="56"/>
      <c r="AH17" s="56"/>
    </row>
    <row r="18" spans="2:34">
      <c r="B18" s="548" t="s">
        <v>433</v>
      </c>
      <c r="C18" s="556">
        <f>AVERAGE(H12:K12)</f>
        <v>0.71015252021972719</v>
      </c>
      <c r="D18" s="556">
        <f>AVERAGE(L12:O12)</f>
        <v>0.72173664041027075</v>
      </c>
      <c r="E18" s="556">
        <f>AVERAGE(P12:S12)</f>
        <v>0.74413095719151068</v>
      </c>
      <c r="F18" s="556">
        <f>AVERAGE(T12:W12)</f>
        <v>0.70746803808007741</v>
      </c>
      <c r="G18" s="556">
        <f>AVERAGE(X12:AA12)</f>
        <v>0.67952835903723829</v>
      </c>
      <c r="H18" s="556">
        <f>AVERAGE(Y12:AB12)</f>
        <v>0.6691776638673792</v>
      </c>
      <c r="I18" s="556">
        <f>AVERAGE(Z12:AC12)</f>
        <v>0.6691776638673792</v>
      </c>
      <c r="J18" s="578">
        <f>AVERAGE(AA12:AH12)</f>
        <v>0.6691776638673792</v>
      </c>
    </row>
    <row r="19" spans="2:34">
      <c r="B19" s="548" t="s">
        <v>434</v>
      </c>
      <c r="C19" s="234">
        <f>C17/C18</f>
        <v>645.59089342969048</v>
      </c>
      <c r="D19" s="234">
        <f>D17/D18</f>
        <v>721.29911501246772</v>
      </c>
      <c r="E19" s="234">
        <f>E17/E18</f>
        <v>795.49035593697931</v>
      </c>
      <c r="F19" s="234">
        <f>F17/F18</f>
        <v>870.3884371526924</v>
      </c>
      <c r="G19" s="234">
        <f>G17/G18</f>
        <v>893.11651519571365</v>
      </c>
      <c r="H19" s="234">
        <f t="shared" ref="H19:J19" si="9">H17/H18</f>
        <v>897.30879020941404</v>
      </c>
      <c r="I19" s="234">
        <f t="shared" si="9"/>
        <v>918.20309190979344</v>
      </c>
      <c r="J19" s="569">
        <f t="shared" si="9"/>
        <v>959.51797955894119</v>
      </c>
    </row>
    <row r="20" spans="2:34" ht="32.25" customHeight="1">
      <c r="B20" s="526" t="s">
        <v>435</v>
      </c>
      <c r="C20" s="563"/>
      <c r="D20" s="579">
        <f>D19/C19-1</f>
        <v>0.11726965537041356</v>
      </c>
      <c r="E20" s="579">
        <f t="shared" ref="E20" si="10">E19/D19-1</f>
        <v>0.1028578011262764</v>
      </c>
      <c r="F20" s="579">
        <f>F19/E19-1</f>
        <v>9.4153349134564079E-2</v>
      </c>
      <c r="G20" s="579">
        <f>G19/F19-1</f>
        <v>2.611256890931557E-2</v>
      </c>
      <c r="H20" s="579">
        <f>H19/G19-1+0.01</f>
        <v>1.4693984426860309E-2</v>
      </c>
      <c r="I20" s="579">
        <f t="shared" ref="I20:J20" si="11">I19/H19-1</f>
        <v>2.3285519910601904E-2</v>
      </c>
      <c r="J20" s="579">
        <f t="shared" si="11"/>
        <v>4.4995369775128857E-2</v>
      </c>
      <c r="K20" s="581"/>
      <c r="L20" s="581"/>
      <c r="R20" s="56"/>
      <c r="S20" s="517"/>
      <c r="T20" s="517"/>
      <c r="U20" s="517"/>
    </row>
    <row r="21" spans="2:34" ht="32.25" customHeight="1">
      <c r="B21" s="283"/>
      <c r="C21" s="234"/>
      <c r="D21" s="556"/>
      <c r="E21" s="556"/>
      <c r="F21" s="556"/>
      <c r="G21" s="556"/>
      <c r="H21" s="556"/>
      <c r="I21" s="556"/>
      <c r="J21" s="556"/>
      <c r="K21" s="581"/>
      <c r="L21" s="581"/>
      <c r="R21" s="56"/>
      <c r="S21" s="517"/>
      <c r="T21" s="517"/>
      <c r="U21" s="517"/>
    </row>
    <row r="23" spans="2:34">
      <c r="B23" s="514" t="s">
        <v>365</v>
      </c>
    </row>
    <row r="24" spans="2:34">
      <c r="B24" s="1302" t="s">
        <v>436</v>
      </c>
      <c r="C24" s="1352"/>
      <c r="D24" s="1306" t="s">
        <v>280</v>
      </c>
      <c r="E24" s="1319"/>
      <c r="F24" s="1319"/>
      <c r="G24" s="1319"/>
      <c r="H24" s="1319"/>
      <c r="I24" s="1319"/>
      <c r="J24" s="1319"/>
      <c r="K24" s="1319"/>
      <c r="L24" s="1319"/>
      <c r="M24" s="1319"/>
      <c r="N24" s="1319"/>
      <c r="O24" s="1319"/>
      <c r="P24" s="1319"/>
      <c r="Q24" s="1319"/>
      <c r="R24" s="1319"/>
      <c r="S24" s="1319"/>
      <c r="T24" s="1319"/>
      <c r="U24" s="1319"/>
      <c r="V24" s="1307"/>
      <c r="W24" s="1340" t="s">
        <v>281</v>
      </c>
      <c r="X24" s="1341"/>
      <c r="Y24" s="1341"/>
      <c r="Z24" s="1341"/>
      <c r="AA24" s="1341"/>
      <c r="AB24" s="1341"/>
      <c r="AC24" s="1341"/>
      <c r="AD24" s="1341"/>
      <c r="AE24" s="1341"/>
      <c r="AF24" s="1341"/>
      <c r="AG24" s="1341"/>
    </row>
    <row r="25" spans="2:34">
      <c r="B25" s="1304"/>
      <c r="C25" s="1320"/>
      <c r="D25" s="219">
        <v>2018</v>
      </c>
      <c r="E25" s="1311">
        <v>2019</v>
      </c>
      <c r="F25" s="1312"/>
      <c r="G25" s="1312"/>
      <c r="H25" s="1313"/>
      <c r="I25" s="1311">
        <v>2020</v>
      </c>
      <c r="J25" s="1312"/>
      <c r="K25" s="1312"/>
      <c r="L25" s="1312"/>
      <c r="M25" s="1311">
        <v>2021</v>
      </c>
      <c r="N25" s="1312"/>
      <c r="O25" s="1312"/>
      <c r="P25" s="1312"/>
      <c r="Q25" s="1311">
        <v>2022</v>
      </c>
      <c r="R25" s="1333"/>
      <c r="S25" s="1333"/>
      <c r="T25" s="1313"/>
      <c r="U25" s="239"/>
      <c r="V25" s="557">
        <v>2023</v>
      </c>
      <c r="W25" s="553"/>
      <c r="X25" s="260"/>
      <c r="Y25" s="1308">
        <v>2024</v>
      </c>
      <c r="Z25" s="1321"/>
      <c r="AA25" s="1321"/>
      <c r="AB25" s="1310"/>
      <c r="AC25" s="1308">
        <v>2025</v>
      </c>
      <c r="AD25" s="1321"/>
      <c r="AE25" s="1321"/>
      <c r="AF25" s="1310"/>
      <c r="AG25" s="503">
        <v>2026</v>
      </c>
    </row>
    <row r="26" spans="2:34">
      <c r="B26" s="1306"/>
      <c r="C26" s="1319"/>
      <c r="D26" s="214" t="s">
        <v>282</v>
      </c>
      <c r="E26" s="214" t="s">
        <v>283</v>
      </c>
      <c r="F26" s="215" t="s">
        <v>284</v>
      </c>
      <c r="G26" s="215" t="s">
        <v>238</v>
      </c>
      <c r="H26" s="216" t="s">
        <v>282</v>
      </c>
      <c r="I26" s="215" t="s">
        <v>283</v>
      </c>
      <c r="J26" s="215" t="s">
        <v>284</v>
      </c>
      <c r="K26" s="215" t="s">
        <v>238</v>
      </c>
      <c r="L26" s="215" t="s">
        <v>282</v>
      </c>
      <c r="M26" s="214" t="s">
        <v>283</v>
      </c>
      <c r="N26" s="215" t="s">
        <v>284</v>
      </c>
      <c r="O26" s="215" t="s">
        <v>238</v>
      </c>
      <c r="P26" s="215" t="s">
        <v>282</v>
      </c>
      <c r="Q26" s="214" t="s">
        <v>283</v>
      </c>
      <c r="R26" s="215" t="s">
        <v>284</v>
      </c>
      <c r="S26" s="215" t="s">
        <v>238</v>
      </c>
      <c r="T26" s="216" t="s">
        <v>282</v>
      </c>
      <c r="U26" s="285" t="s">
        <v>283</v>
      </c>
      <c r="V26" s="558" t="s">
        <v>284</v>
      </c>
      <c r="W26" s="270" t="s">
        <v>238</v>
      </c>
      <c r="X26" s="270" t="s">
        <v>282</v>
      </c>
      <c r="Y26" s="269" t="s">
        <v>283</v>
      </c>
      <c r="Z26" s="267" t="s">
        <v>284</v>
      </c>
      <c r="AA26" s="270" t="s">
        <v>238</v>
      </c>
      <c r="AB26" s="270" t="s">
        <v>282</v>
      </c>
      <c r="AC26" s="269" t="s">
        <v>283</v>
      </c>
      <c r="AD26" s="267" t="s">
        <v>284</v>
      </c>
      <c r="AE26" s="270" t="s">
        <v>238</v>
      </c>
      <c r="AF26" s="270" t="s">
        <v>282</v>
      </c>
      <c r="AG26" s="269" t="s">
        <v>283</v>
      </c>
    </row>
    <row r="27" spans="2:34" ht="19.5" customHeight="1">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88">
        <f>Y27*(1+$G$20)^0.25+Z28</f>
        <v>945.8279179001787</v>
      </c>
      <c r="AA27" s="588">
        <f>Z27*(1+$G$20)^0.25+AA28</f>
        <v>951.94285981860958</v>
      </c>
      <c r="AB27" s="567">
        <f>AA27*(1+$H$20)^0.25+AB28</f>
        <v>955.42071262795628</v>
      </c>
      <c r="AC27" s="588">
        <f t="shared" ref="AC27:AE27" si="13">AB27*(1+$H$20)^0.25+AC28</f>
        <v>958.91127151523483</v>
      </c>
      <c r="AD27" s="588">
        <f t="shared" si="13"/>
        <v>962.41458290116088</v>
      </c>
      <c r="AE27" s="588">
        <f t="shared" si="13"/>
        <v>965.9306933760447</v>
      </c>
      <c r="AF27" s="550">
        <f>AE27*(1+$I$20)^0.25+AF28</f>
        <v>971.50529856562218</v>
      </c>
      <c r="AG27" s="559">
        <f>AF27*(1+$I$20)^0.25+AG28</f>
        <v>977.11207606655989</v>
      </c>
      <c r="AH27" s="568" t="s">
        <v>1836</v>
      </c>
    </row>
    <row r="28" spans="2:34" ht="19.5" customHeight="1">
      <c r="B28" s="580" t="s">
        <v>1704</v>
      </c>
      <c r="C28" s="263"/>
      <c r="D28" s="591"/>
      <c r="E28" s="549"/>
      <c r="F28" s="549"/>
      <c r="G28" s="549"/>
      <c r="H28" s="549"/>
      <c r="I28" s="549"/>
      <c r="J28" s="549"/>
      <c r="K28" s="549"/>
      <c r="L28" s="549"/>
      <c r="M28" s="549"/>
      <c r="N28" s="549"/>
      <c r="O28" s="549"/>
      <c r="P28" s="549"/>
      <c r="Q28" s="549"/>
      <c r="R28" s="549"/>
      <c r="S28" s="549"/>
      <c r="T28" s="549"/>
      <c r="U28" s="549"/>
      <c r="V28" s="549"/>
      <c r="W28" s="549"/>
      <c r="X28" s="549"/>
      <c r="Y28" s="554"/>
      <c r="Z28" s="554">
        <v>23</v>
      </c>
      <c r="AA28" s="554"/>
      <c r="AB28" s="554"/>
      <c r="AC28" s="554"/>
      <c r="AD28" s="554"/>
      <c r="AE28" s="554"/>
      <c r="AF28" s="554"/>
      <c r="AG28" s="554"/>
    </row>
    <row r="29" spans="2:34" ht="19.399999999999999" customHeight="1">
      <c r="B29" s="580" t="s">
        <v>207</v>
      </c>
      <c r="C29" s="263"/>
      <c r="D29" s="591">
        <f t="shared" ref="D29:Q29" si="14">D10*D12</f>
        <v>391.92099999999999</v>
      </c>
      <c r="E29" s="549">
        <f t="shared" si="14"/>
        <v>406.23</v>
      </c>
      <c r="F29" s="549">
        <f t="shared" si="14"/>
        <v>414.87200000000001</v>
      </c>
      <c r="G29" s="549">
        <f t="shared" si="14"/>
        <v>418.36200000000002</v>
      </c>
      <c r="H29" s="549">
        <f t="shared" si="14"/>
        <v>414.971</v>
      </c>
      <c r="I29" s="549">
        <f t="shared" si="14"/>
        <v>424.089</v>
      </c>
      <c r="J29" s="549">
        <f t="shared" si="14"/>
        <v>505.45</v>
      </c>
      <c r="K29" s="549">
        <f t="shared" si="14"/>
        <v>483.86600000000004</v>
      </c>
      <c r="L29" s="549">
        <f t="shared" si="14"/>
        <v>506.75599999999997</v>
      </c>
      <c r="M29" s="549">
        <f t="shared" si="14"/>
        <v>501.459</v>
      </c>
      <c r="N29" s="549">
        <f t="shared" si="14"/>
        <v>526.38599999999997</v>
      </c>
      <c r="O29" s="549">
        <f t="shared" si="14"/>
        <v>541.66800000000001</v>
      </c>
      <c r="P29" s="549">
        <f t="shared" si="14"/>
        <v>563.64300000000003</v>
      </c>
      <c r="Q29" s="549">
        <f t="shared" si="14"/>
        <v>594.56200000000001</v>
      </c>
      <c r="R29" s="549">
        <f t="shared" ref="R29:AG29" si="15">R27*R12</f>
        <v>595.59299999999996</v>
      </c>
      <c r="S29" s="549">
        <f t="shared" si="15"/>
        <v>607.94899999999996</v>
      </c>
      <c r="T29" s="549">
        <f t="shared" si="15"/>
        <v>607.13699999999994</v>
      </c>
      <c r="U29" s="549">
        <f t="shared" si="15"/>
        <v>630.96299999999997</v>
      </c>
      <c r="V29" s="549">
        <f t="shared" si="15"/>
        <v>639.71100000000001</v>
      </c>
      <c r="W29" s="549">
        <f t="shared" si="15"/>
        <v>590.947</v>
      </c>
      <c r="X29" s="549">
        <f t="shared" si="15"/>
        <v>616.99699999999996</v>
      </c>
      <c r="Y29" s="554">
        <f>Y27*Y12</f>
        <v>613.56899999999996</v>
      </c>
      <c r="Z29" s="554">
        <f t="shared" si="15"/>
        <v>632.92691652098893</v>
      </c>
      <c r="AA29" s="554">
        <f t="shared" si="15"/>
        <v>637.01889906864915</v>
      </c>
      <c r="AB29" s="554">
        <f t="shared" si="15"/>
        <v>639.34620048688248</v>
      </c>
      <c r="AC29" s="554">
        <f t="shared" si="15"/>
        <v>641.68200452866301</v>
      </c>
      <c r="AD29" s="554">
        <f t="shared" si="15"/>
        <v>644.02634225769702</v>
      </c>
      <c r="AE29" s="554">
        <f t="shared" si="15"/>
        <v>646.37924485117935</v>
      </c>
      <c r="AF29" s="554">
        <f t="shared" si="15"/>
        <v>650.10964612892383</v>
      </c>
      <c r="AG29" s="554">
        <f t="shared" si="15"/>
        <v>653.86157639882549</v>
      </c>
    </row>
    <row r="30" spans="2:34" ht="19.399999999999999" customHeight="1">
      <c r="B30" s="357" t="s">
        <v>438</v>
      </c>
      <c r="C30" s="358"/>
      <c r="D30" s="593">
        <f t="shared" ref="D30:G30" si="16">D27-D29</f>
        <v>197.57900000000001</v>
      </c>
      <c r="E30" s="551">
        <f t="shared" si="16"/>
        <v>192.47000000000003</v>
      </c>
      <c r="F30" s="551">
        <f t="shared" si="16"/>
        <v>199.52799999999996</v>
      </c>
      <c r="G30" s="551">
        <f t="shared" si="16"/>
        <v>204.03799999999995</v>
      </c>
      <c r="H30" s="551">
        <f t="shared" ref="H30:AC30" si="17">H27-H29</f>
        <v>205.62900000000002</v>
      </c>
      <c r="I30" s="551">
        <f t="shared" si="17"/>
        <v>182.31099999999998</v>
      </c>
      <c r="J30" s="551">
        <f t="shared" si="17"/>
        <v>149.15000000000003</v>
      </c>
      <c r="K30" s="551">
        <f t="shared" si="17"/>
        <v>206.93399999999991</v>
      </c>
      <c r="L30" s="551">
        <f t="shared" si="17"/>
        <v>171.84400000000005</v>
      </c>
      <c r="M30" s="551">
        <f t="shared" si="17"/>
        <v>203.541</v>
      </c>
      <c r="N30" s="551">
        <f t="shared" si="17"/>
        <v>219.31400000000008</v>
      </c>
      <c r="O30" s="551">
        <f>O27-O29</f>
        <v>207.53200000000004</v>
      </c>
      <c r="P30" s="551">
        <f>P27-P29</f>
        <v>182.45699999999999</v>
      </c>
      <c r="Q30" s="551">
        <f t="shared" si="17"/>
        <v>196.83799999999997</v>
      </c>
      <c r="R30" s="551">
        <f t="shared" si="17"/>
        <v>223.10700000000008</v>
      </c>
      <c r="S30" s="551">
        <f t="shared" si="17"/>
        <v>211.05100000000004</v>
      </c>
      <c r="T30" s="551">
        <f t="shared" si="17"/>
        <v>221.26300000000003</v>
      </c>
      <c r="U30" s="551">
        <f t="shared" si="17"/>
        <v>240.53700000000003</v>
      </c>
      <c r="V30" s="551">
        <f t="shared" si="17"/>
        <v>271.68899999999996</v>
      </c>
      <c r="W30" s="551">
        <f t="shared" si="17"/>
        <v>289.65300000000002</v>
      </c>
      <c r="X30" s="551">
        <f t="shared" si="17"/>
        <v>251.303</v>
      </c>
      <c r="Y30" s="587">
        <f t="shared" si="17"/>
        <v>303.33100000000002</v>
      </c>
      <c r="Z30" s="587">
        <f t="shared" si="17"/>
        <v>312.90100137918978</v>
      </c>
      <c r="AA30" s="587">
        <f t="shared" si="17"/>
        <v>314.92396074996043</v>
      </c>
      <c r="AB30" s="587">
        <f t="shared" si="17"/>
        <v>316.0745121410738</v>
      </c>
      <c r="AC30" s="587">
        <f t="shared" si="17"/>
        <v>317.22926698657182</v>
      </c>
      <c r="AD30" s="587">
        <f t="shared" ref="AD30:AG30" si="18">AD27-AD29</f>
        <v>318.38824064346386</v>
      </c>
      <c r="AE30" s="587">
        <f t="shared" si="18"/>
        <v>319.55144852486535</v>
      </c>
      <c r="AF30" s="587">
        <f t="shared" si="18"/>
        <v>321.39565243669836</v>
      </c>
      <c r="AG30" s="587">
        <f t="shared" si="18"/>
        <v>323.2504996677344</v>
      </c>
    </row>
    <row r="31" spans="2:34" ht="19.399999999999999" customHeight="1">
      <c r="B31" s="240"/>
      <c r="C31" s="240"/>
      <c r="D31" s="552"/>
      <c r="E31" s="552"/>
      <c r="F31" s="552"/>
      <c r="G31" s="552"/>
      <c r="H31" s="552"/>
      <c r="I31" s="552"/>
      <c r="J31" s="552"/>
      <c r="K31" s="552"/>
      <c r="L31" s="552"/>
      <c r="M31" s="552"/>
      <c r="N31" s="552"/>
      <c r="O31" s="552"/>
      <c r="P31" s="552"/>
      <c r="Q31" s="552"/>
      <c r="R31" s="552"/>
      <c r="S31" s="552"/>
      <c r="T31" s="552"/>
      <c r="Y31" s="552"/>
      <c r="Z31" s="552"/>
      <c r="AA31" s="552"/>
      <c r="AB31" s="552"/>
      <c r="AC31" s="552"/>
      <c r="AD31" s="552"/>
      <c r="AE31" s="552"/>
      <c r="AF31" s="552"/>
      <c r="AG31" s="552"/>
    </row>
    <row r="32" spans="2:34" ht="19.399999999999999" customHeight="1">
      <c r="B32" s="240"/>
      <c r="C32" s="240"/>
      <c r="D32" s="552"/>
      <c r="E32" s="552"/>
      <c r="F32" s="552"/>
      <c r="G32" s="552"/>
      <c r="H32" s="552"/>
      <c r="I32" s="552"/>
      <c r="J32" s="552"/>
      <c r="K32" s="552"/>
      <c r="L32" s="552"/>
      <c r="M32" s="552"/>
      <c r="N32" s="552"/>
      <c r="O32" s="552"/>
      <c r="AG32" s="552"/>
    </row>
    <row r="33" spans="2:33" ht="19.399999999999999" customHeight="1">
      <c r="B33" s="240"/>
      <c r="C33" s="240"/>
      <c r="D33" s="552"/>
      <c r="E33" s="552"/>
      <c r="F33" s="552"/>
      <c r="G33" s="552"/>
      <c r="H33" s="552"/>
      <c r="I33" s="552"/>
      <c r="J33" s="552"/>
      <c r="K33" s="552"/>
      <c r="L33" s="552"/>
      <c r="M33" s="552"/>
      <c r="N33" s="552"/>
      <c r="O33" s="552"/>
      <c r="AG33" s="552"/>
    </row>
    <row r="34" spans="2:33" ht="19.399999999999999" customHeight="1">
      <c r="B34" s="240"/>
      <c r="C34" s="240"/>
      <c r="D34" s="552"/>
      <c r="E34" s="552"/>
      <c r="F34" s="552"/>
      <c r="G34" s="552"/>
      <c r="H34" s="552"/>
      <c r="I34" s="552"/>
      <c r="J34" s="552"/>
      <c r="K34" s="552"/>
      <c r="L34" s="552"/>
      <c r="M34" s="552"/>
      <c r="N34" s="552"/>
      <c r="O34" s="552"/>
      <c r="P34" s="552"/>
      <c r="Q34" s="552"/>
      <c r="R34" s="552"/>
      <c r="S34" s="552"/>
      <c r="T34" s="552"/>
      <c r="Y34" s="552"/>
      <c r="Z34" s="552"/>
      <c r="AA34" s="552"/>
      <c r="AB34" s="552"/>
      <c r="AC34" s="552"/>
      <c r="AD34" s="552"/>
      <c r="AE34" s="552"/>
      <c r="AF34" s="552"/>
      <c r="AG34" s="552"/>
    </row>
    <row r="35" spans="2:33" ht="14.9" customHeight="1">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3" ht="15" customHeight="1">
      <c r="B36" s="1377" t="s">
        <v>440</v>
      </c>
      <c r="C36" s="1378"/>
      <c r="D36" s="1378"/>
      <c r="E36" s="1379"/>
      <c r="F36" s="234">
        <v>287</v>
      </c>
      <c r="G36" s="234">
        <v>534</v>
      </c>
      <c r="H36" s="234">
        <v>247</v>
      </c>
      <c r="I36" s="234">
        <v>63</v>
      </c>
      <c r="J36" s="234"/>
      <c r="K36" s="234"/>
      <c r="L36" s="234"/>
      <c r="M36" s="234"/>
      <c r="N36" s="234"/>
      <c r="O36" s="234"/>
      <c r="P36" s="569"/>
    </row>
    <row r="37" spans="2:33" ht="15" customHeight="1">
      <c r="B37" s="1371" t="s">
        <v>441</v>
      </c>
      <c r="C37" s="1372"/>
      <c r="D37" s="1372"/>
      <c r="E37" s="1373"/>
      <c r="F37" s="234">
        <v>0</v>
      </c>
      <c r="G37" s="234">
        <v>0</v>
      </c>
      <c r="H37" s="234">
        <v>756</v>
      </c>
      <c r="I37" s="234">
        <v>1249</v>
      </c>
      <c r="J37" s="234">
        <v>1417</v>
      </c>
      <c r="K37" s="234">
        <v>1522</v>
      </c>
      <c r="L37" s="234">
        <v>1107</v>
      </c>
      <c r="M37" s="234"/>
      <c r="N37" s="234"/>
      <c r="O37" s="234"/>
      <c r="P37" s="569"/>
    </row>
    <row r="38" spans="2:33">
      <c r="B38" s="1371" t="s">
        <v>442</v>
      </c>
      <c r="C38" s="1372"/>
      <c r="D38" s="1372"/>
      <c r="E38" s="1373"/>
      <c r="F38" s="234">
        <v>0</v>
      </c>
      <c r="G38" s="234">
        <v>5</v>
      </c>
      <c r="H38" s="234">
        <v>77</v>
      </c>
      <c r="I38" s="234">
        <v>307</v>
      </c>
      <c r="J38" s="234">
        <v>332</v>
      </c>
      <c r="K38" s="234">
        <v>270</v>
      </c>
      <c r="L38" s="234">
        <v>25</v>
      </c>
      <c r="M38" s="234">
        <v>32</v>
      </c>
      <c r="N38" s="234">
        <v>40</v>
      </c>
      <c r="O38" s="234">
        <v>49</v>
      </c>
      <c r="P38" s="569">
        <v>58</v>
      </c>
    </row>
    <row r="39" spans="2:33" ht="32.9" customHeight="1">
      <c r="B39" s="1374" t="s">
        <v>443</v>
      </c>
      <c r="C39" s="1375"/>
      <c r="D39" s="1375"/>
      <c r="E39" s="1376"/>
      <c r="F39" s="234">
        <v>0</v>
      </c>
      <c r="G39" s="234">
        <v>0</v>
      </c>
      <c r="H39" s="234">
        <v>3768</v>
      </c>
      <c r="I39" s="234">
        <v>3428</v>
      </c>
      <c r="J39" s="234">
        <v>2176</v>
      </c>
      <c r="K39" s="234">
        <v>2304</v>
      </c>
      <c r="L39" s="234">
        <v>2129</v>
      </c>
      <c r="M39" s="234">
        <v>1335</v>
      </c>
      <c r="N39" s="234">
        <v>478</v>
      </c>
      <c r="O39" s="234">
        <v>531</v>
      </c>
      <c r="P39" s="569">
        <v>212</v>
      </c>
    </row>
    <row r="40" spans="2:33" ht="32.9" customHeight="1">
      <c r="B40" s="1374" t="s">
        <v>444</v>
      </c>
      <c r="C40" s="1375"/>
      <c r="D40" s="1375"/>
      <c r="E40" s="1376"/>
      <c r="F40" s="234">
        <v>38</v>
      </c>
      <c r="G40" s="234">
        <v>81</v>
      </c>
      <c r="H40" s="234">
        <v>43</v>
      </c>
      <c r="I40" s="234"/>
      <c r="J40" s="234"/>
      <c r="K40" s="234"/>
      <c r="L40" s="234"/>
      <c r="M40" s="234"/>
      <c r="N40" s="234"/>
      <c r="O40" s="234"/>
      <c r="P40" s="569"/>
    </row>
    <row r="41" spans="2:33">
      <c r="B41" s="1371" t="s">
        <v>445</v>
      </c>
      <c r="C41" s="1372"/>
      <c r="D41" s="1372"/>
      <c r="E41" s="1373"/>
      <c r="F41" s="234"/>
      <c r="G41" s="234"/>
      <c r="H41" s="234"/>
      <c r="I41" s="234">
        <v>-184</v>
      </c>
      <c r="J41" s="234">
        <v>-1830</v>
      </c>
      <c r="K41" s="234">
        <v>-2406</v>
      </c>
      <c r="L41" s="234">
        <v>-2419</v>
      </c>
      <c r="M41" s="234">
        <v>-2467</v>
      </c>
      <c r="N41" s="234">
        <v>-2531</v>
      </c>
      <c r="O41" s="234">
        <v>-2667</v>
      </c>
      <c r="P41" s="569">
        <v>-2809</v>
      </c>
    </row>
    <row r="42" spans="2:33" ht="15.75" customHeight="1">
      <c r="B42" s="1383" t="s">
        <v>446</v>
      </c>
      <c r="C42" s="1384"/>
      <c r="D42" s="1384"/>
      <c r="E42" s="1385"/>
      <c r="F42" s="234">
        <v>6524</v>
      </c>
      <c r="G42" s="234">
        <v>6143</v>
      </c>
      <c r="H42" s="234"/>
      <c r="I42" s="234"/>
      <c r="J42" s="234"/>
      <c r="K42" s="234"/>
      <c r="L42" s="234"/>
      <c r="M42" s="234"/>
      <c r="N42" s="234"/>
      <c r="O42" s="234"/>
      <c r="P42" s="569"/>
    </row>
    <row r="43" spans="2:33">
      <c r="B43" s="1371" t="s">
        <v>447</v>
      </c>
      <c r="C43" s="1372"/>
      <c r="D43" s="1372"/>
      <c r="E43" s="1373"/>
      <c r="F43" s="234">
        <v>50</v>
      </c>
      <c r="G43" s="234">
        <v>175</v>
      </c>
      <c r="H43" s="234">
        <v>25</v>
      </c>
      <c r="I43" s="234"/>
      <c r="J43" s="234"/>
      <c r="K43" s="234"/>
      <c r="L43" s="234"/>
      <c r="M43" s="234"/>
      <c r="N43" s="234"/>
      <c r="O43" s="234"/>
      <c r="P43" s="569"/>
    </row>
    <row r="44" spans="2:33">
      <c r="B44" s="1371" t="s">
        <v>448</v>
      </c>
      <c r="C44" s="1372"/>
      <c r="D44" s="1372"/>
      <c r="E44" s="1373"/>
      <c r="F44" s="234">
        <v>829</v>
      </c>
      <c r="G44" s="234">
        <v>844</v>
      </c>
      <c r="H44" s="234"/>
      <c r="I44" s="234"/>
      <c r="J44" s="234"/>
      <c r="K44" s="234"/>
      <c r="L44" s="234"/>
      <c r="M44" s="234"/>
      <c r="N44" s="234"/>
      <c r="O44" s="234"/>
      <c r="P44" s="569"/>
    </row>
    <row r="45" spans="2:33">
      <c r="B45" s="1386" t="s">
        <v>449</v>
      </c>
      <c r="C45" s="1387"/>
      <c r="D45" s="1387"/>
      <c r="E45" s="1388"/>
      <c r="F45" s="234">
        <f t="shared" ref="F45:P45" si="19">SUM(F36:F44)</f>
        <v>7728</v>
      </c>
      <c r="G45" s="234">
        <f t="shared" si="19"/>
        <v>7782</v>
      </c>
      <c r="H45" s="234">
        <f t="shared" si="19"/>
        <v>4916</v>
      </c>
      <c r="I45" s="234">
        <f t="shared" si="19"/>
        <v>4863</v>
      </c>
      <c r="J45" s="234">
        <f t="shared" si="19"/>
        <v>2095</v>
      </c>
      <c r="K45" s="234">
        <f t="shared" si="19"/>
        <v>1690</v>
      </c>
      <c r="L45" s="234">
        <f t="shared" si="19"/>
        <v>842</v>
      </c>
      <c r="M45" s="234">
        <f t="shared" si="19"/>
        <v>-1100</v>
      </c>
      <c r="N45" s="234">
        <f t="shared" si="19"/>
        <v>-2013</v>
      </c>
      <c r="O45" s="234">
        <f t="shared" si="19"/>
        <v>-2087</v>
      </c>
      <c r="P45" s="569">
        <f t="shared" si="19"/>
        <v>-2539</v>
      </c>
    </row>
    <row r="46" spans="2:33">
      <c r="B46" s="1383" t="s">
        <v>450</v>
      </c>
      <c r="C46" s="1384"/>
      <c r="D46" s="1384"/>
      <c r="E46" s="1385"/>
      <c r="F46" s="234">
        <f t="shared" ref="F46:P46" si="20">F42+F40+F39</f>
        <v>6562</v>
      </c>
      <c r="G46" s="234">
        <f t="shared" si="20"/>
        <v>6224</v>
      </c>
      <c r="H46" s="234">
        <f t="shared" si="20"/>
        <v>3811</v>
      </c>
      <c r="I46" s="234">
        <f t="shared" si="20"/>
        <v>3428</v>
      </c>
      <c r="J46" s="234">
        <f t="shared" si="20"/>
        <v>2176</v>
      </c>
      <c r="K46" s="234">
        <f t="shared" si="20"/>
        <v>2304</v>
      </c>
      <c r="L46" s="234">
        <f t="shared" si="20"/>
        <v>2129</v>
      </c>
      <c r="M46" s="234">
        <f t="shared" si="20"/>
        <v>1335</v>
      </c>
      <c r="N46" s="234">
        <f t="shared" si="20"/>
        <v>478</v>
      </c>
      <c r="O46" s="234">
        <f t="shared" si="20"/>
        <v>531</v>
      </c>
      <c r="P46" s="569">
        <f t="shared" si="20"/>
        <v>212</v>
      </c>
      <c r="Q46" s="240" t="s">
        <v>451</v>
      </c>
    </row>
    <row r="47" spans="2:33">
      <c r="B47" s="1371" t="s">
        <v>452</v>
      </c>
      <c r="C47" s="1372"/>
      <c r="D47" s="1372"/>
      <c r="E47" s="1373"/>
      <c r="F47" s="234">
        <f>(F46/1000)/M27</f>
        <v>9.3078014184397161E-3</v>
      </c>
      <c r="G47" s="234">
        <f>(G46/F46)*F47</f>
        <v>8.8283687943262416E-3</v>
      </c>
      <c r="H47" s="234">
        <f>(H46/G46)*G47+H48</f>
        <v>5.4056737588652481E-3</v>
      </c>
      <c r="I47" s="234">
        <f>(I46/H46)*H47+I48</f>
        <v>4.8624113475177304E-3</v>
      </c>
      <c r="J47" s="234">
        <f>J48</f>
        <v>0</v>
      </c>
      <c r="K47" s="234">
        <f t="shared" ref="K47:L47" si="21">K48</f>
        <v>0</v>
      </c>
      <c r="L47" s="234">
        <f t="shared" si="21"/>
        <v>0</v>
      </c>
      <c r="M47" s="234"/>
      <c r="N47" s="234"/>
      <c r="O47" s="234"/>
      <c r="P47" s="569"/>
      <c r="Q47" s="240" t="s">
        <v>453</v>
      </c>
    </row>
    <row r="48" spans="2:33" ht="29.25" customHeight="1">
      <c r="B48" s="545" t="s">
        <v>894</v>
      </c>
      <c r="C48" s="546"/>
      <c r="D48" s="546"/>
      <c r="E48" s="547"/>
      <c r="F48" s="234"/>
      <c r="G48" s="234"/>
      <c r="H48" s="234"/>
      <c r="I48" s="234"/>
      <c r="J48" s="234"/>
      <c r="K48" s="234"/>
      <c r="L48" s="234"/>
      <c r="M48" s="234"/>
      <c r="N48" s="234"/>
      <c r="O48" s="234"/>
      <c r="P48" s="569"/>
      <c r="Q48" s="240"/>
    </row>
    <row r="49" spans="2:16">
      <c r="B49" s="1380"/>
      <c r="C49" s="1381"/>
      <c r="D49" s="1381"/>
      <c r="E49" s="1382"/>
      <c r="F49" s="563"/>
      <c r="G49" s="563"/>
      <c r="H49" s="563"/>
      <c r="I49" s="563"/>
      <c r="J49" s="563"/>
      <c r="K49" s="563"/>
      <c r="L49" s="563"/>
      <c r="M49" s="563"/>
      <c r="N49" s="563"/>
      <c r="O49" s="563"/>
      <c r="P49" s="570"/>
    </row>
  </sheetData>
  <mergeCells count="34">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topLeftCell="B1" zoomScale="90" zoomScaleNormal="90" workbookViewId="0">
      <selection activeCell="Q31" sqref="Q31"/>
    </sheetView>
  </sheetViews>
  <sheetFormatPr defaultColWidth="10.81640625" defaultRowHeight="14.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c r="B1" s="1297" t="s">
        <v>55</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6" ht="14.25" customHeight="1">
      <c r="B2" s="1390" t="s">
        <v>860</v>
      </c>
      <c r="C2" s="1390"/>
      <c r="D2" s="1390"/>
      <c r="E2" s="1390"/>
      <c r="F2" s="1390"/>
      <c r="G2" s="1390"/>
      <c r="H2" s="1390"/>
      <c r="I2" s="1390"/>
      <c r="J2" s="1390"/>
      <c r="K2" s="1390"/>
      <c r="L2" s="1390"/>
      <c r="M2" s="1390"/>
      <c r="N2" s="1390"/>
      <c r="O2" s="1390"/>
      <c r="P2" s="1390"/>
      <c r="Q2" s="1390"/>
      <c r="R2" s="1390"/>
      <c r="S2" s="596"/>
      <c r="T2" s="1391" t="s">
        <v>911</v>
      </c>
      <c r="U2" s="1391"/>
      <c r="V2" s="1391"/>
      <c r="W2" s="1391"/>
      <c r="X2" s="1391"/>
      <c r="Y2" s="1391"/>
      <c r="Z2" s="1391"/>
      <c r="AA2" s="1391"/>
      <c r="AB2" s="1391"/>
      <c r="AC2" s="1391"/>
    </row>
    <row r="3" spans="2:36">
      <c r="B3" s="1390"/>
      <c r="C3" s="1390"/>
      <c r="D3" s="1390"/>
      <c r="E3" s="1390"/>
      <c r="F3" s="1390"/>
      <c r="G3" s="1390"/>
      <c r="H3" s="1390"/>
      <c r="I3" s="1390"/>
      <c r="J3" s="1390"/>
      <c r="K3" s="1390"/>
      <c r="L3" s="1390"/>
      <c r="M3" s="1390"/>
      <c r="N3" s="1390"/>
      <c r="O3" s="1390"/>
      <c r="P3" s="1390"/>
      <c r="Q3" s="1390"/>
      <c r="R3" s="1390"/>
      <c r="S3" s="596"/>
      <c r="T3" s="1391"/>
      <c r="U3" s="1391"/>
      <c r="V3" s="1391"/>
      <c r="W3" s="1391"/>
      <c r="X3" s="1391"/>
      <c r="Y3" s="1391"/>
      <c r="Z3" s="1391"/>
      <c r="AA3" s="1391"/>
      <c r="AB3" s="1391"/>
      <c r="AC3" s="1391"/>
    </row>
    <row r="4" spans="2:36" ht="21" customHeight="1">
      <c r="B4" s="1390"/>
      <c r="C4" s="1390"/>
      <c r="D4" s="1390"/>
      <c r="E4" s="1390"/>
      <c r="F4" s="1390"/>
      <c r="G4" s="1390"/>
      <c r="H4" s="1390"/>
      <c r="I4" s="1390"/>
      <c r="J4" s="1390"/>
      <c r="K4" s="1390"/>
      <c r="L4" s="1390"/>
      <c r="M4" s="1390"/>
      <c r="N4" s="1390"/>
      <c r="O4" s="1390"/>
      <c r="P4" s="1390"/>
      <c r="Q4" s="1390"/>
      <c r="R4" s="1390"/>
      <c r="S4" s="596"/>
      <c r="T4" s="1391"/>
      <c r="U4" s="1391"/>
      <c r="V4" s="1391"/>
      <c r="W4" s="1391"/>
      <c r="X4" s="1391"/>
      <c r="Y4" s="1391"/>
      <c r="Z4" s="1391"/>
      <c r="AA4" s="1391"/>
      <c r="AB4" s="1391"/>
      <c r="AC4" s="1391"/>
    </row>
    <row r="6" spans="2:36">
      <c r="B6" s="514" t="s">
        <v>333</v>
      </c>
    </row>
    <row r="7" spans="2:36" ht="14.9" customHeight="1">
      <c r="B7" s="1302" t="s">
        <v>404</v>
      </c>
      <c r="C7" s="1303"/>
      <c r="D7" s="1306" t="s">
        <v>280</v>
      </c>
      <c r="E7" s="1319"/>
      <c r="F7" s="1319"/>
      <c r="G7" s="1319"/>
      <c r="H7" s="1319"/>
      <c r="I7" s="1319"/>
      <c r="J7" s="1319"/>
      <c r="K7" s="1319"/>
      <c r="L7" s="1319"/>
      <c r="M7" s="1319"/>
      <c r="N7" s="1319"/>
      <c r="O7" s="1319"/>
      <c r="P7" s="1319"/>
      <c r="Q7" s="1319"/>
      <c r="R7" s="1319"/>
      <c r="S7" s="1319"/>
      <c r="T7" s="1319"/>
      <c r="U7" s="1320"/>
      <c r="V7" s="1305"/>
      <c r="W7" s="1331" t="s">
        <v>281</v>
      </c>
      <c r="X7" s="1332"/>
      <c r="Y7" s="1332"/>
      <c r="Z7" s="1332"/>
      <c r="AA7" s="1332"/>
      <c r="AB7" s="1332"/>
      <c r="AC7" s="1332"/>
      <c r="AD7" s="1332"/>
      <c r="AE7" s="1332"/>
      <c r="AF7" s="1332"/>
      <c r="AG7" s="1332"/>
      <c r="AH7" s="1332"/>
      <c r="AI7" s="1332"/>
      <c r="AJ7" s="1332"/>
    </row>
    <row r="8" spans="2:36">
      <c r="B8" s="1304"/>
      <c r="C8" s="1305"/>
      <c r="D8" s="219">
        <v>2018</v>
      </c>
      <c r="E8" s="1311">
        <v>2019</v>
      </c>
      <c r="F8" s="1312"/>
      <c r="G8" s="1312"/>
      <c r="H8" s="1313"/>
      <c r="I8" s="1311">
        <v>2020</v>
      </c>
      <c r="J8" s="1312"/>
      <c r="K8" s="1312"/>
      <c r="L8" s="1312"/>
      <c r="M8" s="1311">
        <v>2021</v>
      </c>
      <c r="N8" s="1312"/>
      <c r="O8" s="1312"/>
      <c r="P8" s="1333"/>
      <c r="Q8" s="1311">
        <v>2022</v>
      </c>
      <c r="R8" s="1333"/>
      <c r="S8" s="1333"/>
      <c r="T8" s="1333"/>
      <c r="U8" s="239"/>
      <c r="V8" s="288">
        <v>2023</v>
      </c>
      <c r="W8" s="289"/>
      <c r="X8" s="260"/>
      <c r="Y8" s="1309">
        <v>2024</v>
      </c>
      <c r="Z8" s="1321"/>
      <c r="AA8" s="1321"/>
      <c r="AB8" s="1310"/>
      <c r="AC8" s="1308">
        <v>2025</v>
      </c>
      <c r="AD8" s="1321"/>
      <c r="AE8" s="1321"/>
      <c r="AF8" s="1310"/>
      <c r="AG8" s="1308">
        <v>2026</v>
      </c>
      <c r="AH8" s="1321"/>
      <c r="AI8" s="1321"/>
      <c r="AJ8" s="1310"/>
    </row>
    <row r="9" spans="2:36">
      <c r="B9" s="1306"/>
      <c r="C9" s="1307"/>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c r="AH9" s="267" t="s">
        <v>284</v>
      </c>
      <c r="AI9" s="270" t="s">
        <v>238</v>
      </c>
      <c r="AJ9" s="270" t="s">
        <v>282</v>
      </c>
    </row>
    <row r="10" spans="2:36" ht="14.9" customHeight="1">
      <c r="B10" s="602" t="s">
        <v>454</v>
      </c>
      <c r="C10" s="56"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600">
        <f>'Haver Pivoted'!HF12</f>
        <v>938.1</v>
      </c>
      <c r="V10" s="577">
        <f>'Haver Pivoted'!HG12</f>
        <v>941.9</v>
      </c>
      <c r="W10" s="577">
        <f>'Haver Pivoted'!HH12</f>
        <v>946.3</v>
      </c>
      <c r="X10" s="577">
        <f>'Haver Pivoted'!HI12</f>
        <v>951.3</v>
      </c>
      <c r="Y10" s="577">
        <f>'Haver Pivoted'!HJ12</f>
        <v>965.3</v>
      </c>
      <c r="Z10" s="588">
        <f t="shared" ref="Z10:AE10" si="0">Y10*(1+Z13)+Z12</f>
        <v>980.56003292022876</v>
      </c>
      <c r="AA10" s="588">
        <f>Z10*(1+AA13)+AA12</f>
        <v>996.18777418821298</v>
      </c>
      <c r="AB10" s="588">
        <f>AA10*(1+AB13)+AB12</f>
        <v>1008.812306797969</v>
      </c>
      <c r="AC10" s="588">
        <f t="shared" si="0"/>
        <v>1021.5968281445319</v>
      </c>
      <c r="AD10" s="588">
        <f t="shared" si="0"/>
        <v>1034.5433657402616</v>
      </c>
      <c r="AE10" s="588">
        <f t="shared" si="0"/>
        <v>1047.6539727918666</v>
      </c>
      <c r="AF10" s="588">
        <f>AE10*(1+AF13)+AF12</f>
        <v>1064.1436593437684</v>
      </c>
      <c r="AG10" s="588">
        <f>AF10*(1+AG13)+AG12</f>
        <v>1080.8928874710773</v>
      </c>
      <c r="AH10" s="588">
        <f t="shared" ref="AH10:AJ10" si="1">AG10*(1+AH13)+AH12</f>
        <v>1097.9057422623216</v>
      </c>
      <c r="AI10" s="588">
        <f t="shared" si="1"/>
        <v>1115.1863731038136</v>
      </c>
      <c r="AJ10" s="588">
        <f t="shared" si="1"/>
        <v>1134.6571550482367</v>
      </c>
    </row>
    <row r="11" spans="2:36" ht="28.5" customHeight="1">
      <c r="B11" s="627" t="s">
        <v>909</v>
      </c>
      <c r="C11" s="617" t="s">
        <v>520</v>
      </c>
      <c r="D11" s="628"/>
      <c r="E11" s="614"/>
      <c r="F11" s="614"/>
      <c r="G11" s="614"/>
      <c r="H11" s="614"/>
      <c r="I11" s="614"/>
      <c r="J11" s="615">
        <f>'Haver Pivoted'!GU46</f>
        <v>9.6</v>
      </c>
      <c r="K11" s="615">
        <f>'Haver Pivoted'!GV46</f>
        <v>14.4</v>
      </c>
      <c r="L11" s="615">
        <f>'Haver Pivoted'!GW46</f>
        <v>14.3</v>
      </c>
      <c r="M11" s="615">
        <f>'Haver Pivoted'!GX46</f>
        <v>15</v>
      </c>
      <c r="N11" s="615">
        <f>'Haver Pivoted'!GY46</f>
        <v>15.3</v>
      </c>
      <c r="O11" s="615">
        <f>'Haver Pivoted'!GZ46</f>
        <v>15.6</v>
      </c>
      <c r="P11" s="615">
        <f>'Haver Pivoted'!HA46</f>
        <v>15.7</v>
      </c>
      <c r="Q11" s="615">
        <f>'Haver Pivoted'!HB46</f>
        <v>15.8</v>
      </c>
      <c r="R11" s="615">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604">
        <f t="shared" ref="Z11" si="2">Y11</f>
        <v>0</v>
      </c>
      <c r="AA11" s="604"/>
      <c r="AB11" s="604"/>
      <c r="AC11" s="604"/>
      <c r="AD11" s="604"/>
      <c r="AE11" s="604"/>
      <c r="AF11" s="604"/>
      <c r="AG11" s="604"/>
      <c r="AH11" s="604"/>
      <c r="AI11" s="604"/>
      <c r="AJ11" s="604"/>
    </row>
    <row r="12" spans="2:36">
      <c r="B12" s="627" t="s">
        <v>1840</v>
      </c>
      <c r="C12" s="617"/>
      <c r="D12" s="628"/>
      <c r="E12" s="614"/>
      <c r="F12" s="614"/>
      <c r="G12" s="614"/>
      <c r="H12" s="614"/>
      <c r="I12" s="614"/>
      <c r="J12" s="615"/>
      <c r="K12" s="615"/>
      <c r="L12" s="615"/>
      <c r="M12" s="615"/>
      <c r="N12" s="615"/>
      <c r="O12" s="615"/>
      <c r="P12" s="615"/>
      <c r="Q12" s="615"/>
      <c r="R12" s="615"/>
      <c r="S12" s="544"/>
      <c r="T12" s="544"/>
      <c r="U12" s="544"/>
      <c r="V12" s="544"/>
      <c r="W12" s="401">
        <v>-7</v>
      </c>
      <c r="X12" s="604"/>
      <c r="Y12" s="604">
        <v>-13.3</v>
      </c>
      <c r="Z12" s="604">
        <v>-8</v>
      </c>
      <c r="AA12" s="604">
        <v>-8</v>
      </c>
      <c r="AB12" s="604"/>
      <c r="AC12" s="604"/>
      <c r="AD12" s="604"/>
      <c r="AE12" s="604"/>
      <c r="AF12" s="604"/>
      <c r="AG12" s="604"/>
      <c r="AH12" s="604"/>
      <c r="AI12" s="604"/>
      <c r="AJ12" s="604"/>
    </row>
    <row r="13" spans="2:36">
      <c r="B13" s="620" t="s">
        <v>455</v>
      </c>
      <c r="C13" s="619"/>
      <c r="D13" s="593"/>
      <c r="E13" s="551"/>
      <c r="F13" s="551"/>
      <c r="G13" s="551"/>
      <c r="H13" s="551"/>
      <c r="I13" s="551"/>
      <c r="J13" s="579"/>
      <c r="K13" s="579"/>
      <c r="L13" s="579"/>
      <c r="M13" s="579"/>
      <c r="N13" s="579">
        <f>(1 + $E$26)^0.25-1</f>
        <v>0</v>
      </c>
      <c r="O13" s="579">
        <f>(1 + $E$26)^0.25-1</f>
        <v>0</v>
      </c>
      <c r="P13" s="579">
        <f>(1 + $F$26)^0.25-1</f>
        <v>3.0584654007782985E-2</v>
      </c>
      <c r="Q13" s="579">
        <f>(1 +$F$26)^0.25-1</f>
        <v>3.0584654007782985E-2</v>
      </c>
      <c r="R13" s="579">
        <f>(1 +$F$26)^0.25-1</f>
        <v>3.0584654007782985E-2</v>
      </c>
      <c r="S13" s="616">
        <f>(1 +$F$26)^0.25-1</f>
        <v>3.0584654007782985E-2</v>
      </c>
      <c r="T13" s="616">
        <f>(1 +$G$26)^0.25-1</f>
        <v>1.0343738735768992E-2</v>
      </c>
      <c r="U13" s="616">
        <f>(1 +$G$26)^0.25-1</f>
        <v>1.0343738735768992E-2</v>
      </c>
      <c r="V13" s="616">
        <f>(1 +$G$26)^0.25-1</f>
        <v>1.0343738735768992E-2</v>
      </c>
      <c r="W13" s="579">
        <f>(1 +$G$26)^0.25-1</f>
        <v>1.0343738735768992E-2</v>
      </c>
      <c r="X13" s="605">
        <f>(1 +$H$26)^0.25-1</f>
        <v>2.4096170019920038E-2</v>
      </c>
      <c r="Y13" s="597">
        <f t="shared" ref="Y13:AA13" si="3">(1 +$H$26)^0.25-1</f>
        <v>2.4096170019920038E-2</v>
      </c>
      <c r="Z13" s="597">
        <f t="shared" si="3"/>
        <v>2.4096170019920038E-2</v>
      </c>
      <c r="AA13" s="597">
        <f t="shared" si="3"/>
        <v>2.4096170019920038E-2</v>
      </c>
      <c r="AB13" s="605">
        <f>(1 +$I$26)^0.25-1</f>
        <v>1.2672844354111534E-2</v>
      </c>
      <c r="AC13" s="597">
        <f>(1 +$I$26)^0.25-1</f>
        <v>1.2672844354111534E-2</v>
      </c>
      <c r="AD13" s="597">
        <f t="shared" ref="AD13:AE13" si="4">(1 +$I$26)^0.25-1</f>
        <v>1.2672844354111534E-2</v>
      </c>
      <c r="AE13" s="597">
        <f t="shared" si="4"/>
        <v>1.2672844354111534E-2</v>
      </c>
      <c r="AF13" s="605">
        <f>(1 +$J$26)^0.25-1</f>
        <v>1.5739630622464862E-2</v>
      </c>
      <c r="AG13" s="597">
        <f>(1 +$J$26)^0.25-1</f>
        <v>1.5739630622464862E-2</v>
      </c>
      <c r="AH13" s="597">
        <f>(1 +$J$26)^0.25-1</f>
        <v>1.5739630622464862E-2</v>
      </c>
      <c r="AI13" s="597">
        <f>(1 +$J$26)^0.25-1</f>
        <v>1.5739630622464862E-2</v>
      </c>
      <c r="AJ13" s="605">
        <f>(1 +$K$26)^0.25-1</f>
        <v>1.7459666306925525E-2</v>
      </c>
    </row>
    <row r="14" spans="2:36" ht="15.75" customHeight="1">
      <c r="B14" s="618"/>
      <c r="C14" s="603"/>
      <c r="D14" s="552"/>
      <c r="E14" s="552"/>
      <c r="F14" s="552"/>
      <c r="G14" s="552"/>
      <c r="H14" s="552"/>
      <c r="I14" s="552"/>
      <c r="J14" s="556"/>
      <c r="K14" s="556"/>
      <c r="L14" s="556"/>
      <c r="M14" s="556"/>
    </row>
    <row r="15" spans="2:36" ht="15.75" customHeight="1">
      <c r="B15" s="618"/>
      <c r="C15" s="603"/>
      <c r="D15" s="552"/>
      <c r="E15" s="598">
        <f t="shared" ref="E15:X15" si="5">E10-D10</f>
        <v>16.899999999999977</v>
      </c>
      <c r="F15" s="598">
        <f t="shared" si="5"/>
        <v>13.399999999999977</v>
      </c>
      <c r="G15" s="598">
        <f t="shared" si="5"/>
        <v>8.6000000000000227</v>
      </c>
      <c r="H15" s="598">
        <f t="shared" si="5"/>
        <v>4</v>
      </c>
      <c r="I15" s="598">
        <f t="shared" si="5"/>
        <v>0.5</v>
      </c>
      <c r="J15" s="598">
        <f t="shared" si="5"/>
        <v>12.700000000000045</v>
      </c>
      <c r="K15" s="598">
        <f t="shared" si="5"/>
        <v>12</v>
      </c>
      <c r="L15" s="598">
        <f t="shared" si="5"/>
        <v>11.399999999999977</v>
      </c>
      <c r="M15" s="598">
        <f t="shared" si="5"/>
        <v>14.899999999999977</v>
      </c>
      <c r="N15" s="598">
        <f t="shared" si="5"/>
        <v>16.200000000000045</v>
      </c>
      <c r="O15" s="598">
        <f t="shared" si="5"/>
        <v>17</v>
      </c>
      <c r="P15" s="598">
        <f t="shared" si="5"/>
        <v>17.699999999999932</v>
      </c>
      <c r="Q15" s="598">
        <f t="shared" si="5"/>
        <v>17.900000000000091</v>
      </c>
      <c r="R15" s="598">
        <f t="shared" si="5"/>
        <v>6.5</v>
      </c>
      <c r="S15" s="598">
        <f t="shared" si="5"/>
        <v>2.5</v>
      </c>
      <c r="T15" s="598">
        <f t="shared" si="5"/>
        <v>7</v>
      </c>
      <c r="U15" s="598">
        <f t="shared" si="5"/>
        <v>3.8999999999999773</v>
      </c>
      <c r="V15" s="598">
        <f t="shared" si="5"/>
        <v>3.7999999999999545</v>
      </c>
      <c r="W15" s="598">
        <f t="shared" si="5"/>
        <v>4.3999999999999773</v>
      </c>
      <c r="X15" s="598">
        <f t="shared" si="5"/>
        <v>5</v>
      </c>
      <c r="Y15" s="598">
        <f>Y10-X10</f>
        <v>14</v>
      </c>
      <c r="Z15" s="598">
        <f t="shared" ref="Z15:AG15" si="6">Z10-Y10</f>
        <v>15.260032920228809</v>
      </c>
      <c r="AA15" s="598">
        <f t="shared" si="6"/>
        <v>15.62774126798422</v>
      </c>
      <c r="AB15" s="598">
        <f t="shared" si="6"/>
        <v>12.624532609755988</v>
      </c>
      <c r="AC15" s="598">
        <f t="shared" si="6"/>
        <v>12.784521346562883</v>
      </c>
      <c r="AD15" s="598">
        <f t="shared" si="6"/>
        <v>12.946537595729751</v>
      </c>
      <c r="AE15" s="598">
        <f t="shared" si="6"/>
        <v>13.110607051605029</v>
      </c>
      <c r="AF15" s="598">
        <f t="shared" si="6"/>
        <v>16.489686551901741</v>
      </c>
      <c r="AG15" s="598">
        <f t="shared" si="6"/>
        <v>16.749228127308925</v>
      </c>
    </row>
    <row r="16" spans="2:36" ht="15.75" customHeight="1">
      <c r="B16" s="618"/>
      <c r="C16" s="603"/>
      <c r="D16" s="552"/>
      <c r="E16" s="552"/>
      <c r="F16" s="552"/>
      <c r="G16" s="552"/>
      <c r="H16" s="552"/>
      <c r="I16" s="552"/>
      <c r="J16" s="556"/>
      <c r="K16" s="556"/>
      <c r="L16" s="556"/>
    </row>
    <row r="17" spans="2:32">
      <c r="B17" s="618"/>
      <c r="C17" s="603"/>
      <c r="D17" s="552"/>
      <c r="E17" s="552"/>
      <c r="F17" s="552"/>
      <c r="G17" s="552"/>
      <c r="H17" s="552"/>
      <c r="I17" s="552"/>
      <c r="J17" s="556"/>
      <c r="K17" s="556"/>
      <c r="L17" s="556"/>
    </row>
    <row r="18" spans="2:32">
      <c r="B18" s="618"/>
      <c r="C18" s="603"/>
      <c r="D18" s="552"/>
      <c r="E18" s="552"/>
      <c r="F18" s="552"/>
      <c r="G18" s="552"/>
      <c r="H18" s="552"/>
      <c r="I18" s="552"/>
      <c r="J18" s="556"/>
      <c r="K18" s="556"/>
      <c r="L18" s="556"/>
    </row>
    <row r="19" spans="2:32" ht="14.9" customHeight="1">
      <c r="B19" s="514" t="s">
        <v>352</v>
      </c>
      <c r="H19" t="s">
        <v>1960</v>
      </c>
    </row>
    <row r="20" spans="2:32">
      <c r="B20" s="624" t="s">
        <v>432</v>
      </c>
      <c r="C20" s="624">
        <v>2019</v>
      </c>
      <c r="D20" s="625">
        <v>2020</v>
      </c>
      <c r="E20" s="625">
        <v>2021</v>
      </c>
      <c r="F20" s="625">
        <v>2022</v>
      </c>
      <c r="G20" s="625">
        <v>2023</v>
      </c>
      <c r="H20" s="626">
        <v>2024</v>
      </c>
      <c r="I20" s="626">
        <v>2025</v>
      </c>
      <c r="J20" s="626">
        <v>2026</v>
      </c>
      <c r="K20" s="626">
        <v>2027</v>
      </c>
    </row>
    <row r="21" spans="2:32" ht="21" customHeight="1">
      <c r="B21" s="610" t="s">
        <v>1961</v>
      </c>
      <c r="C21" s="608"/>
      <c r="D21" s="609"/>
      <c r="E21" s="630">
        <v>867.67600000000004</v>
      </c>
      <c r="F21" s="266">
        <v>974.649</v>
      </c>
      <c r="G21" s="266">
        <v>1008.504</v>
      </c>
      <c r="H21" s="266">
        <v>1088.6869999999999</v>
      </c>
      <c r="I21" s="266">
        <v>1144.932</v>
      </c>
      <c r="J21" s="601">
        <v>1218.7349999999999</v>
      </c>
      <c r="K21" s="607">
        <v>1306.105</v>
      </c>
      <c r="L21" s="607">
        <v>1395.152</v>
      </c>
      <c r="M21" s="607">
        <v>1492.1469999999999</v>
      </c>
      <c r="N21" s="607">
        <v>1600.472</v>
      </c>
      <c r="O21" s="607">
        <v>1717.546</v>
      </c>
      <c r="P21" s="401">
        <v>1841.902</v>
      </c>
      <c r="Q21" s="401">
        <v>1996.52</v>
      </c>
      <c r="R21" s="401">
        <v>2149.098</v>
      </c>
      <c r="S21" s="401"/>
      <c r="T21" s="401"/>
      <c r="U21" s="401"/>
      <c r="V21" s="401"/>
      <c r="W21" s="401"/>
      <c r="X21" s="401"/>
      <c r="Y21" s="401"/>
      <c r="Z21" s="401"/>
      <c r="AA21" s="401"/>
      <c r="AB21" s="401"/>
      <c r="AC21" s="401"/>
    </row>
    <row r="22" spans="2:32" ht="21" customHeight="1">
      <c r="B22" s="611"/>
      <c r="C22" s="606"/>
      <c r="D22" s="607"/>
      <c r="E22" s="266">
        <f>AVERAGE(L10:O10)</f>
        <v>858.02499999999998</v>
      </c>
      <c r="F22" s="266">
        <f>AVERAGE(P10:S10)</f>
        <v>917.59999999999991</v>
      </c>
      <c r="G22" s="266">
        <f>AVERAGE(T10:W10)</f>
        <v>940.125</v>
      </c>
      <c r="H22" s="266">
        <f>AVERAGE(X10:AA10)</f>
        <v>973.33695177711047</v>
      </c>
      <c r="I22" s="266">
        <f>AVERAGE(AB10:AE10)</f>
        <v>1028.1516183686572</v>
      </c>
      <c r="J22" s="599">
        <f>AVERAGE(AF10:AI10)</f>
        <v>1089.5321655452453</v>
      </c>
      <c r="K22" s="607"/>
      <c r="L22" s="607"/>
      <c r="M22" s="607"/>
      <c r="N22" s="607"/>
      <c r="O22" s="607"/>
      <c r="P22" s="401"/>
      <c r="Q22" s="401"/>
      <c r="R22" s="401"/>
      <c r="S22" s="401"/>
      <c r="T22" s="401"/>
      <c r="U22" s="401"/>
      <c r="V22" s="401"/>
      <c r="W22" s="401"/>
      <c r="X22" s="401"/>
      <c r="Y22" s="401"/>
      <c r="Z22" s="401"/>
      <c r="AA22" s="401"/>
      <c r="AB22" s="401"/>
      <c r="AC22" s="401"/>
    </row>
    <row r="23" spans="2:32" ht="21" customHeight="1">
      <c r="B23" s="629" t="s">
        <v>456</v>
      </c>
      <c r="C23" s="240"/>
      <c r="D23" s="240">
        <v>47</v>
      </c>
      <c r="E23" s="240">
        <v>48</v>
      </c>
      <c r="F23" s="56">
        <v>-50</v>
      </c>
      <c r="G23" s="56">
        <v>-45</v>
      </c>
      <c r="H23" s="56"/>
      <c r="I23" s="56"/>
      <c r="J23" s="622">
        <f>SUM(D23:G23)</f>
        <v>0</v>
      </c>
      <c r="K23">
        <v>0</v>
      </c>
      <c r="M23" s="607"/>
      <c r="N23" s="607"/>
      <c r="O23" s="607"/>
      <c r="P23" s="401"/>
      <c r="Q23" s="401"/>
      <c r="R23" s="401"/>
      <c r="S23" s="401"/>
      <c r="T23" s="401"/>
      <c r="U23" s="401"/>
      <c r="V23" s="401"/>
      <c r="W23" s="401"/>
      <c r="X23" s="401"/>
      <c r="Y23" s="401"/>
      <c r="Z23" s="401"/>
      <c r="AA23" s="401"/>
      <c r="AB23" s="401"/>
      <c r="AC23" s="401"/>
    </row>
    <row r="24" spans="2:32">
      <c r="B24" s="629" t="s">
        <v>1378</v>
      </c>
      <c r="C24" s="606"/>
      <c r="D24" s="606"/>
      <c r="E24" s="606">
        <f>E21-E23</f>
        <v>819.67600000000004</v>
      </c>
      <c r="F24" s="606">
        <f>F21+F23</f>
        <v>924.649</v>
      </c>
      <c r="G24" s="606">
        <f>G21+G23</f>
        <v>963.50400000000002</v>
      </c>
      <c r="H24" s="606">
        <f>H21+H23</f>
        <v>1088.6869999999999</v>
      </c>
      <c r="I24" s="606">
        <f>I21+I23</f>
        <v>1144.932</v>
      </c>
      <c r="J24" s="606">
        <f t="shared" ref="J24:K24" si="7">J21+J23</f>
        <v>1218.7349999999999</v>
      </c>
      <c r="K24" s="606">
        <f t="shared" si="7"/>
        <v>1306.105</v>
      </c>
      <c r="N24" s="623"/>
      <c r="O24" s="603"/>
      <c r="P24" s="401"/>
      <c r="Q24" s="401"/>
      <c r="R24" s="401"/>
      <c r="S24" s="401"/>
      <c r="T24" s="401"/>
      <c r="U24" s="401"/>
      <c r="V24" s="401"/>
      <c r="W24" s="401"/>
      <c r="X24" s="401"/>
      <c r="Y24" s="401"/>
      <c r="Z24" s="401"/>
      <c r="AA24" s="401"/>
      <c r="AB24" s="401"/>
      <c r="AC24" s="401"/>
    </row>
    <row r="25" spans="2:32">
      <c r="B25" s="629" t="s">
        <v>458</v>
      </c>
      <c r="C25" s="223">
        <f>AVERAGE(D10:G10)</f>
        <v>776.52499999999998</v>
      </c>
      <c r="D25" s="223">
        <f>AVERAGE(H10:K10)</f>
        <v>807.625</v>
      </c>
      <c r="E25" s="606">
        <f>AVERAGE(L10:O10)</f>
        <v>858.02499999999998</v>
      </c>
      <c r="F25" s="56"/>
      <c r="G25" s="56"/>
      <c r="H25" s="56"/>
      <c r="I25" s="56"/>
      <c r="J25" s="622"/>
      <c r="L25" s="240" t="s">
        <v>457</v>
      </c>
      <c r="P25" s="401"/>
      <c r="Q25" s="401"/>
      <c r="R25" s="401"/>
      <c r="S25" s="401"/>
      <c r="T25" s="401"/>
      <c r="U25" s="401"/>
      <c r="V25" s="401"/>
      <c r="W25" s="401"/>
      <c r="X25" s="401"/>
      <c r="Y25" s="401"/>
      <c r="Z25" s="401"/>
      <c r="AA25" s="401"/>
      <c r="AB25" s="401"/>
      <c r="AC25" s="401"/>
    </row>
    <row r="26" spans="2:32">
      <c r="B26" s="612" t="s">
        <v>920</v>
      </c>
      <c r="C26" s="240"/>
      <c r="D26" s="240"/>
      <c r="E26" s="240"/>
      <c r="F26" s="240">
        <f>F24/E24-1</f>
        <v>0.12806645552632978</v>
      </c>
      <c r="G26" s="240">
        <f>G24/F24-1+G27</f>
        <v>4.2021350804467339E-2</v>
      </c>
      <c r="H26" s="240">
        <f>H24/G24-1+H27-0.03</f>
        <v>9.9924733057672716E-2</v>
      </c>
      <c r="I26" s="240">
        <f>I24/H24-1</f>
        <v>5.166315019835821E-2</v>
      </c>
      <c r="J26" s="622">
        <f>J24/I24-1</f>
        <v>6.446059678653393E-2</v>
      </c>
      <c r="K26" s="622">
        <f>K24/J24-1</f>
        <v>7.1689087455435452E-2</v>
      </c>
      <c r="P26" s="240"/>
      <c r="Q26" s="240"/>
      <c r="R26" s="240"/>
      <c r="S26" s="240"/>
      <c r="T26" s="240"/>
      <c r="U26" s="240"/>
      <c r="V26" s="240"/>
      <c r="W26" s="240"/>
      <c r="X26" s="240"/>
      <c r="Y26" s="240"/>
      <c r="Z26" s="240"/>
      <c r="AA26" s="240"/>
      <c r="AB26" s="240"/>
      <c r="AC26" s="240"/>
    </row>
    <row r="27" spans="2:32">
      <c r="B27" s="613" t="s">
        <v>892</v>
      </c>
      <c r="C27" s="57"/>
      <c r="D27" s="57"/>
      <c r="E27" s="57"/>
      <c r="F27" s="57"/>
      <c r="G27" s="57">
        <v>0</v>
      </c>
      <c r="H27" s="57"/>
      <c r="I27" s="57"/>
      <c r="J27" s="225"/>
      <c r="P27" s="240"/>
      <c r="Q27" s="240"/>
      <c r="R27" s="240"/>
      <c r="S27" s="240"/>
      <c r="T27" s="240"/>
      <c r="U27" s="240"/>
      <c r="V27" s="240"/>
      <c r="W27" s="240"/>
      <c r="X27" s="240"/>
      <c r="Y27" s="240"/>
      <c r="Z27" s="240"/>
      <c r="AA27" s="240"/>
      <c r="AB27" s="240"/>
      <c r="AC27" s="240"/>
    </row>
    <row r="28" spans="2:32">
      <c r="C28" s="621"/>
      <c r="D28" s="621"/>
      <c r="E28" s="621"/>
      <c r="F28" s="621"/>
      <c r="G28" s="621"/>
      <c r="H28" s="621"/>
      <c r="I28" s="621"/>
      <c r="J28" s="621"/>
      <c r="P28" s="240"/>
      <c r="Q28" s="240"/>
      <c r="R28" s="240"/>
      <c r="S28" s="240"/>
      <c r="T28" s="240"/>
      <c r="U28" s="240"/>
      <c r="V28" s="240"/>
      <c r="W28" s="240"/>
      <c r="X28" s="240"/>
      <c r="Y28" s="240"/>
      <c r="Z28" s="240"/>
      <c r="AA28" s="240"/>
      <c r="AB28" s="240"/>
      <c r="AC28" s="240"/>
    </row>
    <row r="29" spans="2:32">
      <c r="P29" s="240"/>
      <c r="Q29" s="240"/>
      <c r="R29" s="240"/>
      <c r="S29" s="240"/>
      <c r="T29" s="240"/>
      <c r="U29" s="240"/>
      <c r="V29" s="240"/>
      <c r="W29" s="240"/>
      <c r="X29" s="240"/>
      <c r="Y29" s="240"/>
      <c r="Z29" s="240"/>
      <c r="AA29" s="240"/>
      <c r="AB29" s="240"/>
      <c r="AC29" s="240"/>
    </row>
    <row r="30" spans="2:32">
      <c r="S30" s="240"/>
      <c r="T30" s="240"/>
      <c r="U30" s="240"/>
      <c r="V30" s="240"/>
      <c r="W30" s="240"/>
      <c r="X30" s="240"/>
      <c r="Y30" s="240"/>
      <c r="Z30" s="240"/>
      <c r="AA30" s="240"/>
      <c r="AB30" s="240"/>
      <c r="AC30" s="240"/>
      <c r="AD30" s="240"/>
      <c r="AE30" s="240"/>
      <c r="AF30" s="240"/>
    </row>
    <row r="31" spans="2:32">
      <c r="P31" s="240"/>
      <c r="Q31" s="240"/>
      <c r="R31" s="240"/>
      <c r="S31" s="240"/>
      <c r="T31" s="240"/>
      <c r="U31" s="240"/>
      <c r="V31" s="240"/>
      <c r="W31" s="240"/>
      <c r="X31" s="240"/>
      <c r="Y31" s="240"/>
      <c r="Z31" s="240"/>
      <c r="AA31" s="240"/>
      <c r="AB31" s="240"/>
      <c r="AC31" s="240"/>
    </row>
    <row r="32" spans="2:32">
      <c r="F32" s="56"/>
      <c r="G32" s="56"/>
      <c r="P32" s="240"/>
      <c r="Q32" s="240"/>
      <c r="R32" s="240"/>
      <c r="S32" s="240"/>
      <c r="T32" s="240"/>
      <c r="U32" s="240"/>
      <c r="V32" s="240"/>
      <c r="W32" s="240"/>
      <c r="X32" s="240"/>
      <c r="Y32" s="240"/>
      <c r="Z32" s="240"/>
      <c r="AA32" s="240"/>
      <c r="AB32" s="240"/>
      <c r="AC32" s="240"/>
    </row>
    <row r="33" spans="16:29">
      <c r="P33" s="240"/>
      <c r="Q33" s="240"/>
      <c r="R33" s="240"/>
      <c r="S33" s="240"/>
      <c r="T33" s="240"/>
      <c r="U33" s="240"/>
      <c r="V33" s="240"/>
      <c r="W33" s="240"/>
      <c r="X33" s="240"/>
      <c r="Y33" s="240"/>
      <c r="Z33" s="240"/>
      <c r="AA33" s="240"/>
      <c r="AB33" s="240"/>
      <c r="AC33" s="240"/>
    </row>
    <row r="34" spans="16:29">
      <c r="P34" s="240"/>
      <c r="Q34" s="240"/>
      <c r="R34" s="240"/>
      <c r="S34" s="240"/>
      <c r="T34" s="240"/>
      <c r="U34" s="240"/>
      <c r="V34" s="240"/>
      <c r="W34" s="240"/>
      <c r="X34" s="240"/>
      <c r="Y34" s="240"/>
      <c r="Z34" s="240"/>
      <c r="AA34" s="240"/>
      <c r="AB34" s="240"/>
      <c r="AC34" s="24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workbookViewId="0">
      <selection activeCell="C11" sqref="C11"/>
    </sheetView>
  </sheetViews>
  <sheetFormatPr defaultColWidth="10.81640625" defaultRowHeight="14.5"/>
  <sheetData>
    <row r="1" spans="2:33">
      <c r="B1" s="1297" t="s">
        <v>1380</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3">
      <c r="B2" s="1298" t="s">
        <v>1383</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row>
    <row r="3" spans="2:33">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row>
    <row r="4" spans="2:33">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row>
    <row r="5" spans="2:33">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2:33">
      <c r="B6" s="1302" t="s">
        <v>1697</v>
      </c>
      <c r="C6" s="1352"/>
      <c r="D6" s="1306" t="s">
        <v>280</v>
      </c>
      <c r="E6" s="1319"/>
      <c r="F6" s="1319"/>
      <c r="G6" s="1319"/>
      <c r="H6" s="1319"/>
      <c r="I6" s="1319"/>
      <c r="J6" s="1319"/>
      <c r="K6" s="1319"/>
      <c r="L6" s="1319"/>
      <c r="M6" s="1319"/>
      <c r="N6" s="1319"/>
      <c r="O6" s="1319"/>
      <c r="P6" s="1319"/>
      <c r="Q6" s="1320"/>
      <c r="R6" s="1320"/>
      <c r="S6" s="1320"/>
      <c r="T6" s="1320"/>
      <c r="U6" s="1320"/>
      <c r="V6" s="1305"/>
      <c r="W6" s="1331" t="s">
        <v>281</v>
      </c>
      <c r="X6" s="1332"/>
      <c r="Y6" s="1332"/>
      <c r="Z6" s="1332"/>
      <c r="AA6" s="1332"/>
      <c r="AB6" s="1332"/>
      <c r="AC6" s="1332"/>
      <c r="AD6" s="1332"/>
      <c r="AE6" s="1332"/>
      <c r="AF6" s="1332"/>
      <c r="AG6" s="1332"/>
    </row>
    <row r="7" spans="2:33">
      <c r="B7" s="1304"/>
      <c r="C7" s="1305"/>
      <c r="D7" s="214">
        <v>2018</v>
      </c>
      <c r="E7" s="1299">
        <v>2019</v>
      </c>
      <c r="F7" s="1300"/>
      <c r="G7" s="1300"/>
      <c r="H7" s="1301"/>
      <c r="I7" s="1299">
        <v>2020</v>
      </c>
      <c r="J7" s="1300"/>
      <c r="K7" s="1300"/>
      <c r="L7" s="1300"/>
      <c r="M7" s="1299">
        <v>2021</v>
      </c>
      <c r="N7" s="1300"/>
      <c r="O7" s="1300"/>
      <c r="P7" s="1300"/>
      <c r="Q7" s="1328">
        <v>2022</v>
      </c>
      <c r="R7" s="1329"/>
      <c r="S7" s="288"/>
      <c r="T7" s="288"/>
      <c r="U7" s="239"/>
      <c r="V7" s="288">
        <v>2023</v>
      </c>
      <c r="W7" s="289"/>
      <c r="X7" s="260"/>
      <c r="Y7" s="1309">
        <v>2024</v>
      </c>
      <c r="Z7" s="1321"/>
      <c r="AA7" s="1321"/>
      <c r="AB7" s="1310"/>
      <c r="AC7" s="1308">
        <v>2025</v>
      </c>
      <c r="AD7" s="1321"/>
      <c r="AE7" s="1321"/>
      <c r="AF7" s="1310"/>
      <c r="AG7" s="503">
        <v>2026</v>
      </c>
    </row>
    <row r="8" spans="2:33">
      <c r="B8" s="1306"/>
      <c r="C8" s="130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85" t="s">
        <v>283</v>
      </c>
      <c r="R8" s="286" t="s">
        <v>284</v>
      </c>
      <c r="S8" s="286" t="s">
        <v>238</v>
      </c>
      <c r="T8" s="286" t="s">
        <v>282</v>
      </c>
      <c r="U8" s="285" t="s">
        <v>283</v>
      </c>
      <c r="V8" s="286" t="s">
        <v>284</v>
      </c>
      <c r="W8" s="270" t="s">
        <v>238</v>
      </c>
      <c r="X8" s="271" t="s">
        <v>282</v>
      </c>
      <c r="Y8" s="270" t="s">
        <v>283</v>
      </c>
      <c r="Z8" s="267" t="s">
        <v>284</v>
      </c>
      <c r="AA8" s="270" t="s">
        <v>238</v>
      </c>
      <c r="AB8" s="270" t="s">
        <v>282</v>
      </c>
      <c r="AC8" s="269" t="s">
        <v>283</v>
      </c>
      <c r="AD8" s="267" t="s">
        <v>284</v>
      </c>
      <c r="AE8" s="270" t="s">
        <v>238</v>
      </c>
      <c r="AF8" s="270" t="s">
        <v>282</v>
      </c>
      <c r="AG8" s="269" t="s">
        <v>283</v>
      </c>
    </row>
    <row r="9" spans="2:33">
      <c r="B9" s="491" t="s">
        <v>1382</v>
      </c>
      <c r="C9" s="654"/>
      <c r="D9" s="655"/>
      <c r="E9" s="654"/>
      <c r="F9" s="654"/>
      <c r="G9" s="654"/>
      <c r="H9" s="654"/>
      <c r="I9" s="654"/>
      <c r="J9" s="656"/>
      <c r="K9" s="656"/>
      <c r="L9" s="656"/>
      <c r="M9" s="656"/>
      <c r="N9" s="656"/>
      <c r="O9" s="656"/>
      <c r="P9" s="656"/>
      <c r="Q9" s="634"/>
      <c r="R9" s="635">
        <v>0</v>
      </c>
      <c r="S9" s="636">
        <v>0</v>
      </c>
      <c r="T9" s="635">
        <v>0</v>
      </c>
      <c r="U9" s="635">
        <v>0</v>
      </c>
      <c r="V9" s="635">
        <v>0</v>
      </c>
      <c r="W9" s="635">
        <v>-7.7999999999999999E-4</v>
      </c>
      <c r="X9" s="635">
        <v>-7.7999999999999999E-4</v>
      </c>
      <c r="Y9" s="635">
        <v>-9.5E-4</v>
      </c>
      <c r="Z9" s="635">
        <v>-9.5E-4</v>
      </c>
      <c r="AA9" s="635">
        <v>-9.5E-4</v>
      </c>
      <c r="AB9" s="635">
        <v>-9.5E-4</v>
      </c>
      <c r="AC9" s="635">
        <v>-9.3999999999999997E-4</v>
      </c>
      <c r="AD9" s="635">
        <v>-9.3999999999999997E-4</v>
      </c>
      <c r="AE9" s="635">
        <v>-9.3999999999999997E-4</v>
      </c>
      <c r="AF9" s="635">
        <v>-9.3999999999999997E-4</v>
      </c>
      <c r="AG9" s="636">
        <v>-9.3999999999999997E-4</v>
      </c>
    </row>
    <row r="10" spans="2:33">
      <c r="B10" s="56" t="s">
        <v>1381</v>
      </c>
      <c r="C10" s="263"/>
      <c r="D10" s="580"/>
      <c r="E10" s="263"/>
      <c r="F10" s="263"/>
      <c r="G10" s="263"/>
      <c r="H10" s="263"/>
      <c r="I10" s="263"/>
      <c r="J10" s="633"/>
      <c r="K10" s="633"/>
      <c r="L10" s="633"/>
      <c r="M10" s="633"/>
      <c r="N10" s="633"/>
      <c r="O10" s="633"/>
      <c r="P10" s="633"/>
      <c r="Q10" s="633"/>
      <c r="R10" s="632"/>
      <c r="S10" s="632"/>
      <c r="T10" s="632"/>
      <c r="U10" s="632">
        <v>26095</v>
      </c>
      <c r="V10" s="632">
        <v>26404</v>
      </c>
      <c r="W10" s="632">
        <v>26686</v>
      </c>
      <c r="X10" s="632">
        <v>26931</v>
      </c>
      <c r="Y10" s="632">
        <v>27174</v>
      </c>
      <c r="Z10" s="632">
        <v>27411</v>
      </c>
      <c r="AA10" s="632">
        <v>27647</v>
      </c>
      <c r="AB10" s="632">
        <v>27893</v>
      </c>
      <c r="AC10" s="632">
        <v>28143</v>
      </c>
      <c r="AD10" s="632">
        <v>28400</v>
      </c>
      <c r="AE10" s="632">
        <v>28649</v>
      </c>
      <c r="AF10" s="632">
        <v>28910</v>
      </c>
      <c r="AG10" s="632">
        <v>28910</v>
      </c>
    </row>
    <row r="11" spans="2:33">
      <c r="B11" s="56" t="s">
        <v>312</v>
      </c>
      <c r="C11" s="538"/>
      <c r="D11" s="537"/>
      <c r="E11" s="538"/>
      <c r="F11" s="538"/>
      <c r="G11" s="538"/>
      <c r="H11" s="538"/>
      <c r="I11" s="538"/>
      <c r="J11" s="653">
        <v>45</v>
      </c>
      <c r="K11" s="653">
        <v>45</v>
      </c>
      <c r="L11" s="653">
        <v>45</v>
      </c>
      <c r="M11" s="653">
        <v>45</v>
      </c>
      <c r="N11" s="653">
        <v>45</v>
      </c>
      <c r="O11" s="653">
        <v>45</v>
      </c>
      <c r="P11" s="653">
        <v>45</v>
      </c>
      <c r="Q11" s="653">
        <v>45</v>
      </c>
      <c r="R11" s="652">
        <v>45</v>
      </c>
      <c r="S11" s="652">
        <v>45</v>
      </c>
      <c r="T11" s="652">
        <v>45</v>
      </c>
      <c r="U11" s="657">
        <v>45</v>
      </c>
      <c r="V11" s="657">
        <v>45</v>
      </c>
      <c r="W11" s="657">
        <f>W9*W10*(-1)*0.1</f>
        <v>2.0815079999999999</v>
      </c>
      <c r="X11" s="657">
        <f t="shared" ref="X11:AG11" si="0">X9*X10*(-1)*0.1</f>
        <v>2.1006180000000003</v>
      </c>
      <c r="Y11" s="657">
        <f t="shared" si="0"/>
        <v>2.5815300000000003</v>
      </c>
      <c r="Z11" s="657">
        <f t="shared" si="0"/>
        <v>2.6040450000000002</v>
      </c>
      <c r="AA11" s="657">
        <f t="shared" si="0"/>
        <v>2.626465</v>
      </c>
      <c r="AB11" s="657">
        <f t="shared" si="0"/>
        <v>2.6498349999999999</v>
      </c>
      <c r="AC11" s="657">
        <f t="shared" si="0"/>
        <v>2.6454420000000001</v>
      </c>
      <c r="AD11" s="657">
        <f t="shared" si="0"/>
        <v>2.6696</v>
      </c>
      <c r="AE11" s="657">
        <f t="shared" si="0"/>
        <v>2.693006</v>
      </c>
      <c r="AF11" s="657">
        <f t="shared" si="0"/>
        <v>2.7175400000000001</v>
      </c>
      <c r="AG11" s="657">
        <f t="shared" si="0"/>
        <v>2.7175400000000001</v>
      </c>
    </row>
    <row r="12" spans="2:33">
      <c r="B12" s="56"/>
      <c r="C12" s="263"/>
      <c r="D12" s="263"/>
      <c r="E12" s="263"/>
      <c r="F12" s="263"/>
      <c r="G12" s="263"/>
      <c r="H12" s="263"/>
      <c r="I12" s="263"/>
      <c r="J12" s="633"/>
      <c r="K12" s="633"/>
      <c r="L12" s="633"/>
      <c r="M12" s="633"/>
      <c r="N12" s="633"/>
      <c r="O12" s="633"/>
      <c r="P12" s="633"/>
      <c r="Q12" s="633"/>
      <c r="R12" s="632"/>
      <c r="S12" s="632"/>
      <c r="T12" s="632"/>
      <c r="U12" s="70"/>
      <c r="V12" s="70"/>
      <c r="W12" s="70"/>
      <c r="X12" s="70"/>
      <c r="Y12" s="70"/>
      <c r="Z12" s="70"/>
      <c r="AA12" s="70"/>
      <c r="AB12" s="70"/>
      <c r="AC12" s="70"/>
      <c r="AD12" s="70"/>
      <c r="AE12" s="70"/>
      <c r="AF12" s="70"/>
      <c r="AG12" s="70"/>
    </row>
    <row r="13" spans="2:33">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6"/>
      <c r="AA13" s="56"/>
      <c r="AB13" s="56"/>
      <c r="AC13" s="56"/>
    </row>
    <row r="14" spans="2:33">
      <c r="B14" s="1253" t="s">
        <v>1752</v>
      </c>
      <c r="C14" s="1253"/>
      <c r="D14" s="1253"/>
      <c r="E14" s="1253"/>
      <c r="F14" s="1253"/>
      <c r="G14" s="1253"/>
      <c r="H14" s="1253"/>
      <c r="I14" s="1253"/>
      <c r="J14" s="1253"/>
      <c r="K14" s="1253"/>
      <c r="L14" s="1253"/>
      <c r="M14" s="1253"/>
      <c r="N14" s="1253"/>
      <c r="O14" s="1253"/>
      <c r="P14" s="1253"/>
      <c r="Q14" s="1253"/>
      <c r="R14" s="1253"/>
      <c r="S14" s="1253"/>
      <c r="T14" s="1253"/>
      <c r="U14" s="1253"/>
      <c r="V14" s="1253"/>
      <c r="W14" s="1253"/>
      <c r="X14" s="1253"/>
      <c r="Y14" s="1253"/>
      <c r="Z14" s="1253"/>
      <c r="AA14" s="1253"/>
      <c r="AB14" s="1253"/>
      <c r="AC14" s="1253"/>
      <c r="AD14" s="1253"/>
      <c r="AE14" s="1253"/>
      <c r="AF14" s="1253"/>
    </row>
    <row r="15" spans="2:33">
      <c r="B15" s="1302" t="s">
        <v>1696</v>
      </c>
      <c r="C15" s="1352"/>
      <c r="D15" s="1368" t="s">
        <v>280</v>
      </c>
      <c r="E15" s="1369"/>
      <c r="F15" s="1369"/>
      <c r="G15" s="1369"/>
      <c r="H15" s="1369"/>
      <c r="I15" s="1369"/>
      <c r="J15" s="1369"/>
      <c r="K15" s="1369"/>
      <c r="L15" s="1369"/>
      <c r="M15" s="1369"/>
      <c r="N15" s="1369"/>
      <c r="O15" s="1369"/>
      <c r="P15" s="1369"/>
      <c r="Q15" s="1369"/>
      <c r="R15" s="1369"/>
      <c r="S15" s="1369"/>
      <c r="T15" s="1369"/>
      <c r="U15" s="1369"/>
      <c r="V15" s="1369"/>
      <c r="W15" s="1332" t="s">
        <v>281</v>
      </c>
      <c r="X15" s="1332"/>
      <c r="Y15" s="1332"/>
      <c r="Z15" s="1332"/>
      <c r="AA15" s="1332"/>
      <c r="AB15" s="1332"/>
      <c r="AC15" s="1332"/>
      <c r="AD15" s="1332"/>
      <c r="AE15" s="1332"/>
      <c r="AF15" s="1332"/>
      <c r="AG15" s="1332"/>
    </row>
    <row r="16" spans="2:33">
      <c r="B16" s="1304"/>
      <c r="C16" s="1305"/>
      <c r="D16" s="214">
        <v>2018</v>
      </c>
      <c r="E16" s="1299">
        <v>2019</v>
      </c>
      <c r="F16" s="1300"/>
      <c r="G16" s="1300"/>
      <c r="H16" s="1301"/>
      <c r="I16" s="1299">
        <v>2020</v>
      </c>
      <c r="J16" s="1300"/>
      <c r="K16" s="1300"/>
      <c r="L16" s="1300"/>
      <c r="M16" s="1299">
        <v>2021</v>
      </c>
      <c r="N16" s="1300"/>
      <c r="O16" s="1300"/>
      <c r="P16" s="1300"/>
      <c r="Q16" s="1328">
        <v>2022</v>
      </c>
      <c r="R16" s="1392"/>
      <c r="S16" s="288"/>
      <c r="T16" s="296"/>
      <c r="U16" s="239"/>
      <c r="V16" s="288">
        <v>2023</v>
      </c>
      <c r="W16" s="553"/>
      <c r="X16" s="553"/>
      <c r="Y16" s="1308">
        <v>2024</v>
      </c>
      <c r="Z16" s="1321"/>
      <c r="AA16" s="1321"/>
      <c r="AB16" s="1310"/>
      <c r="AC16" s="1308">
        <v>2025</v>
      </c>
      <c r="AD16" s="1321"/>
      <c r="AE16" s="1321"/>
      <c r="AF16" s="1310"/>
      <c r="AG16" s="503">
        <v>2026</v>
      </c>
    </row>
    <row r="17" spans="2:33">
      <c r="B17" s="1306"/>
      <c r="C17" s="1307"/>
      <c r="D17" s="214" t="s">
        <v>282</v>
      </c>
      <c r="E17" s="214" t="s">
        <v>283</v>
      </c>
      <c r="F17" s="215" t="s">
        <v>284</v>
      </c>
      <c r="G17" s="215" t="s">
        <v>238</v>
      </c>
      <c r="H17" s="216" t="s">
        <v>282</v>
      </c>
      <c r="I17" s="215" t="s">
        <v>283</v>
      </c>
      <c r="J17" s="215" t="s">
        <v>284</v>
      </c>
      <c r="K17" s="215" t="s">
        <v>238</v>
      </c>
      <c r="L17" s="215" t="s">
        <v>282</v>
      </c>
      <c r="M17" s="214" t="s">
        <v>283</v>
      </c>
      <c r="N17" s="215" t="s">
        <v>284</v>
      </c>
      <c r="O17" s="215" t="s">
        <v>238</v>
      </c>
      <c r="P17" s="215" t="s">
        <v>282</v>
      </c>
      <c r="Q17" s="285" t="s">
        <v>283</v>
      </c>
      <c r="R17" s="286" t="s">
        <v>284</v>
      </c>
      <c r="S17" s="286" t="s">
        <v>238</v>
      </c>
      <c r="T17" s="284" t="s">
        <v>282</v>
      </c>
      <c r="U17" s="285" t="s">
        <v>283</v>
      </c>
      <c r="V17" s="286" t="s">
        <v>284</v>
      </c>
      <c r="W17" s="270" t="s">
        <v>238</v>
      </c>
      <c r="X17" s="270" t="s">
        <v>282</v>
      </c>
      <c r="Y17" s="269" t="s">
        <v>283</v>
      </c>
      <c r="Z17" s="267" t="s">
        <v>284</v>
      </c>
      <c r="AA17" s="270" t="s">
        <v>238</v>
      </c>
      <c r="AB17" s="271" t="s">
        <v>282</v>
      </c>
      <c r="AC17" s="269" t="s">
        <v>283</v>
      </c>
      <c r="AD17" s="267" t="s">
        <v>284</v>
      </c>
      <c r="AE17" s="270" t="s">
        <v>238</v>
      </c>
      <c r="AF17" s="270" t="s">
        <v>282</v>
      </c>
      <c r="AG17" s="269" t="s">
        <v>283</v>
      </c>
    </row>
    <row r="18" spans="2:33">
      <c r="B18" s="491" t="s">
        <v>1382</v>
      </c>
      <c r="C18" s="640"/>
      <c r="D18" s="641"/>
      <c r="E18" s="640"/>
      <c r="F18" s="640"/>
      <c r="G18" s="640"/>
      <c r="H18" s="640"/>
      <c r="I18" s="640"/>
      <c r="J18" s="642"/>
      <c r="K18" s="642"/>
      <c r="L18" s="642"/>
      <c r="M18" s="642"/>
      <c r="N18" s="642"/>
      <c r="O18" s="642"/>
      <c r="P18" s="642"/>
      <c r="Q18" s="642"/>
      <c r="R18" s="643">
        <v>0</v>
      </c>
      <c r="S18" s="637">
        <v>0</v>
      </c>
      <c r="T18" s="639">
        <v>0</v>
      </c>
      <c r="U18" s="639">
        <v>-7.7999999999999999E-4</v>
      </c>
      <c r="V18" s="639">
        <v>-7.7999999999999999E-4</v>
      </c>
      <c r="W18" s="639">
        <v>-7.7999999999999999E-4</v>
      </c>
      <c r="X18" s="639">
        <v>-7.7999999999999999E-4</v>
      </c>
      <c r="Y18" s="639">
        <v>-9.5E-4</v>
      </c>
      <c r="Z18" s="639">
        <v>-9.5E-4</v>
      </c>
      <c r="AA18" s="639">
        <v>-9.5E-4</v>
      </c>
      <c r="AB18" s="639">
        <v>-9.5E-4</v>
      </c>
      <c r="AC18" s="639">
        <v>-9.3999999999999997E-4</v>
      </c>
      <c r="AD18" s="639">
        <v>-9.3999999999999997E-4</v>
      </c>
      <c r="AE18" s="639">
        <v>-9.3999999999999997E-4</v>
      </c>
      <c r="AF18" s="639">
        <v>-9.3999999999999997E-4</v>
      </c>
      <c r="AG18" s="637">
        <v>-9.3999999999999997E-4</v>
      </c>
    </row>
    <row r="19" spans="2:33">
      <c r="B19" s="56" t="s">
        <v>1381</v>
      </c>
      <c r="C19" s="644"/>
      <c r="D19" s="645"/>
      <c r="E19" s="644"/>
      <c r="F19" s="644"/>
      <c r="G19" s="644"/>
      <c r="H19" s="644"/>
      <c r="I19" s="644"/>
      <c r="J19" s="646"/>
      <c r="K19" s="646"/>
      <c r="L19" s="646"/>
      <c r="M19" s="646"/>
      <c r="N19" s="646"/>
      <c r="O19" s="646"/>
      <c r="P19" s="646"/>
      <c r="Q19" s="646"/>
      <c r="R19" s="638"/>
      <c r="S19" s="638"/>
      <c r="T19" s="638"/>
      <c r="U19" s="638">
        <v>26095</v>
      </c>
      <c r="V19" s="638">
        <v>26404</v>
      </c>
      <c r="W19" s="638">
        <v>26686</v>
      </c>
      <c r="X19" s="638">
        <v>26931</v>
      </c>
      <c r="Y19" s="638">
        <v>27174</v>
      </c>
      <c r="Z19" s="638">
        <v>27411</v>
      </c>
      <c r="AA19" s="638">
        <v>27647</v>
      </c>
      <c r="AB19" s="638">
        <v>27893</v>
      </c>
      <c r="AC19" s="638">
        <v>28143</v>
      </c>
      <c r="AD19" s="638">
        <v>28400</v>
      </c>
      <c r="AE19" s="638">
        <v>28649</v>
      </c>
      <c r="AF19" s="638">
        <v>28910</v>
      </c>
      <c r="AG19" s="638">
        <v>28910</v>
      </c>
    </row>
    <row r="20" spans="2:33">
      <c r="B20" s="56" t="s">
        <v>312</v>
      </c>
      <c r="C20" s="647"/>
      <c r="D20" s="648"/>
      <c r="E20" s="647"/>
      <c r="F20" s="647"/>
      <c r="G20" s="647"/>
      <c r="H20" s="647"/>
      <c r="I20" s="647"/>
      <c r="J20" s="649"/>
      <c r="K20" s="649"/>
      <c r="L20" s="649"/>
      <c r="M20" s="649"/>
      <c r="N20" s="649"/>
      <c r="O20" s="649"/>
      <c r="P20" s="649"/>
      <c r="Q20" s="649"/>
      <c r="R20" s="650">
        <f>R18*R19</f>
        <v>0</v>
      </c>
      <c r="S20" s="650">
        <f t="shared" ref="S20:T20" si="1">S18*S19</f>
        <v>0</v>
      </c>
      <c r="T20" s="650">
        <f t="shared" si="1"/>
        <v>0</v>
      </c>
      <c r="U20" s="651">
        <f>U18*U19*-1</f>
        <v>20.354099999999999</v>
      </c>
      <c r="V20" s="651">
        <f t="shared" ref="V20:AF20" si="2">V18*V19*-1</f>
        <v>20.595119999999998</v>
      </c>
      <c r="W20" s="651">
        <f t="shared" si="2"/>
        <v>20.815079999999998</v>
      </c>
      <c r="X20" s="651">
        <f t="shared" si="2"/>
        <v>21.006180000000001</v>
      </c>
      <c r="Y20" s="651">
        <f t="shared" si="2"/>
        <v>25.815300000000001</v>
      </c>
      <c r="Z20" s="651">
        <f t="shared" si="2"/>
        <v>26.04045</v>
      </c>
      <c r="AA20" s="651">
        <f t="shared" si="2"/>
        <v>26.26465</v>
      </c>
      <c r="AB20" s="651">
        <f t="shared" si="2"/>
        <v>26.498349999999999</v>
      </c>
      <c r="AC20" s="651">
        <f t="shared" si="2"/>
        <v>26.454419999999999</v>
      </c>
      <c r="AD20" s="651">
        <f t="shared" si="2"/>
        <v>26.695999999999998</v>
      </c>
      <c r="AE20" s="651">
        <f t="shared" si="2"/>
        <v>26.930059999999997</v>
      </c>
      <c r="AF20" s="651">
        <f t="shared" si="2"/>
        <v>27.1754</v>
      </c>
      <c r="AG20" s="651">
        <f t="shared" ref="AG20" si="3">AG18*AG19*-1</f>
        <v>27.1754</v>
      </c>
    </row>
    <row r="23" spans="2:33">
      <c r="C23" t="s">
        <v>1842</v>
      </c>
      <c r="F23" s="631" t="s">
        <v>1841</v>
      </c>
    </row>
  </sheetData>
  <mergeCells count="21">
    <mergeCell ref="Y7:AB7"/>
    <mergeCell ref="B1:AC1"/>
    <mergeCell ref="B2:AC4"/>
    <mergeCell ref="B6:C8"/>
    <mergeCell ref="E7:H7"/>
    <mergeCell ref="I7:L7"/>
    <mergeCell ref="M7:P7"/>
    <mergeCell ref="Q7:R7"/>
    <mergeCell ref="D6:V6"/>
    <mergeCell ref="AC7:AF7"/>
    <mergeCell ref="W6:AG6"/>
    <mergeCell ref="B14:AF14"/>
    <mergeCell ref="B15:C17"/>
    <mergeCell ref="E16:H16"/>
    <mergeCell ref="I16:L16"/>
    <mergeCell ref="M16:P16"/>
    <mergeCell ref="Q16:R16"/>
    <mergeCell ref="Y16:AB16"/>
    <mergeCell ref="AC16:AF16"/>
    <mergeCell ref="D15:V15"/>
    <mergeCell ref="W15:AG15"/>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topLeftCell="A82" zoomScale="90" zoomScaleNormal="85" workbookViewId="0">
      <selection activeCell="E111" sqref="E111"/>
    </sheetView>
  </sheetViews>
  <sheetFormatPr defaultColWidth="10.81640625" defaultRowHeight="14.5" outlineLevelRow="1"/>
  <cols>
    <col min="2" max="2" width="71.1796875" customWidth="1"/>
    <col min="6" max="6" width="12.1796875" customWidth="1"/>
    <col min="7" max="7" width="10.453125" customWidth="1"/>
    <col min="9" max="9" width="12" customWidth="1"/>
  </cols>
  <sheetData>
    <row r="1" spans="2:33" ht="18" customHeight="1">
      <c r="B1" s="1400" t="s">
        <v>465</v>
      </c>
      <c r="C1" s="1400"/>
      <c r="D1" s="1400"/>
      <c r="E1" s="1400"/>
      <c r="F1" s="1400"/>
      <c r="G1" s="1400"/>
      <c r="H1" s="1400"/>
      <c r="I1" s="1400"/>
      <c r="J1" s="1400"/>
      <c r="K1" s="1400"/>
      <c r="L1" s="1400"/>
      <c r="M1" s="1400"/>
      <c r="N1" s="1400"/>
      <c r="O1" s="1400"/>
      <c r="P1" s="1400"/>
      <c r="Q1" s="1400"/>
      <c r="R1" s="1400"/>
      <c r="S1" s="1400"/>
      <c r="T1" s="1400"/>
      <c r="U1" s="1400"/>
      <c r="V1" s="1400"/>
      <c r="W1" s="1400"/>
      <c r="X1" s="1400"/>
      <c r="Y1" s="1400"/>
      <c r="Z1" s="1400"/>
      <c r="AA1" s="1400"/>
      <c r="AB1" s="1400"/>
      <c r="AC1" s="1400"/>
    </row>
    <row r="2" spans="2:33" ht="34.5" hidden="1" customHeight="1" outlineLevel="1">
      <c r="B2" s="1298" t="s">
        <v>861</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2:33" ht="3" hidden="1" customHeight="1" outlineLevel="1">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2:33" ht="10.4" hidden="1" customHeight="1" outlineLevel="1">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2:33" ht="14.25" hidden="1" customHeight="1" outlineLevel="1">
      <c r="B5" s="1349"/>
      <c r="C5" s="1349"/>
      <c r="D5" s="1349"/>
      <c r="E5" s="1349"/>
      <c r="F5" s="1349"/>
      <c r="G5" s="1349"/>
      <c r="H5" s="1349"/>
      <c r="I5" s="1349"/>
      <c r="J5" s="1349"/>
      <c r="K5" s="1349"/>
      <c r="L5" s="1349"/>
      <c r="M5" s="1349"/>
      <c r="N5" s="1349"/>
      <c r="O5" s="1349"/>
      <c r="P5" s="1349"/>
      <c r="Q5" s="1349"/>
      <c r="R5" s="1349"/>
      <c r="S5" s="1349"/>
      <c r="T5" s="1349"/>
      <c r="U5" s="1349"/>
      <c r="V5" s="1349"/>
      <c r="W5" s="1349"/>
      <c r="X5" s="1349"/>
      <c r="Y5" s="1349"/>
      <c r="Z5" s="1349"/>
      <c r="AA5" s="1349"/>
      <c r="AB5" s="1349"/>
      <c r="AC5" s="1349"/>
    </row>
    <row r="6" spans="2:33" ht="14.25" hidden="1" customHeight="1" outlineLevel="1">
      <c r="B6" s="1349"/>
      <c r="C6" s="1349"/>
      <c r="D6" s="1349"/>
      <c r="E6" s="1349"/>
      <c r="F6" s="1349"/>
      <c r="G6" s="1349"/>
      <c r="H6" s="1349"/>
      <c r="I6" s="1349"/>
      <c r="J6" s="1349"/>
      <c r="K6" s="1349"/>
      <c r="L6" s="1349"/>
      <c r="M6" s="1349"/>
      <c r="N6" s="1349"/>
      <c r="O6" s="1349"/>
      <c r="P6" s="1349"/>
      <c r="Q6" s="1349"/>
      <c r="R6" s="1349"/>
      <c r="S6" s="1349"/>
      <c r="T6" s="1349"/>
      <c r="U6" s="1349"/>
      <c r="V6" s="1349"/>
      <c r="W6" s="1349"/>
      <c r="X6" s="1349"/>
      <c r="Y6" s="1349"/>
      <c r="Z6" s="1349"/>
      <c r="AA6" s="1349"/>
      <c r="AB6" s="1349"/>
      <c r="AC6" s="1349"/>
    </row>
    <row r="7" spans="2:33">
      <c r="B7" s="726" t="s">
        <v>333</v>
      </c>
      <c r="C7" s="265"/>
      <c r="D7" s="265"/>
      <c r="E7" s="265"/>
      <c r="F7" s="265"/>
      <c r="G7" s="265"/>
      <c r="H7" s="266"/>
      <c r="I7" s="266"/>
      <c r="J7" s="266"/>
      <c r="K7" s="266"/>
      <c r="L7" s="266"/>
      <c r="M7" s="266"/>
      <c r="N7" s="266"/>
      <c r="O7" s="266"/>
      <c r="P7" s="266"/>
      <c r="Q7" s="266"/>
      <c r="R7" s="266"/>
      <c r="S7" s="266"/>
      <c r="T7" s="266"/>
      <c r="U7" s="266"/>
    </row>
    <row r="8" spans="2:33" ht="14.9" customHeight="1">
      <c r="B8" s="686" t="s">
        <v>304</v>
      </c>
      <c r="C8" s="687"/>
      <c r="D8" s="690" t="s">
        <v>280</v>
      </c>
      <c r="E8" s="691"/>
      <c r="F8" s="691"/>
      <c r="G8" s="691"/>
      <c r="H8" s="691"/>
      <c r="I8" s="691"/>
      <c r="J8" s="691"/>
      <c r="K8" s="691"/>
      <c r="L8" s="691"/>
      <c r="M8" s="691"/>
      <c r="N8" s="691"/>
      <c r="O8" s="691"/>
      <c r="P8" s="1319"/>
      <c r="Q8" s="1319"/>
      <c r="R8" s="1319"/>
      <c r="S8" s="1319"/>
      <c r="T8" s="1319"/>
      <c r="U8" s="1319"/>
      <c r="V8" s="1307"/>
      <c r="W8" s="1340" t="s">
        <v>281</v>
      </c>
      <c r="X8" s="1341"/>
      <c r="Y8" s="1341"/>
      <c r="Z8" s="1341"/>
      <c r="AA8" s="1341"/>
      <c r="AB8" s="1341"/>
      <c r="AC8" s="1341"/>
      <c r="AD8" s="1341"/>
      <c r="AE8" s="1341"/>
      <c r="AF8" s="1341"/>
      <c r="AG8" s="1341"/>
    </row>
    <row r="9" spans="2:33" ht="14.9" customHeight="1">
      <c r="B9" s="688"/>
      <c r="C9" s="689"/>
      <c r="D9" s="219">
        <v>2018</v>
      </c>
      <c r="E9" s="1311">
        <v>2019</v>
      </c>
      <c r="F9" s="1312"/>
      <c r="G9" s="1312"/>
      <c r="H9" s="1313"/>
      <c r="I9" s="1311">
        <v>2020</v>
      </c>
      <c r="J9" s="1312"/>
      <c r="K9" s="1312"/>
      <c r="L9" s="1312"/>
      <c r="M9" s="1311">
        <v>2021</v>
      </c>
      <c r="N9" s="1312"/>
      <c r="O9" s="1312"/>
      <c r="P9" s="1312"/>
      <c r="Q9" s="1311">
        <v>2022</v>
      </c>
      <c r="R9" s="1333"/>
      <c r="S9" s="1333"/>
      <c r="T9" s="1313"/>
      <c r="U9" s="288"/>
      <c r="V9" s="288">
        <v>2023</v>
      </c>
      <c r="W9" s="553"/>
      <c r="X9" s="260"/>
      <c r="Y9" s="1308">
        <v>2024</v>
      </c>
      <c r="Z9" s="1321"/>
      <c r="AA9" s="1321"/>
      <c r="AB9" s="1310"/>
      <c r="AC9" s="1308">
        <v>2025</v>
      </c>
      <c r="AD9" s="1321"/>
      <c r="AE9" s="1321"/>
      <c r="AF9" s="1309"/>
      <c r="AG9" s="326">
        <v>2026</v>
      </c>
    </row>
    <row r="10" spans="2:33">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326" t="s">
        <v>283</v>
      </c>
    </row>
    <row r="11" spans="2:33">
      <c r="B11" s="1393" t="s">
        <v>466</v>
      </c>
      <c r="C11" s="1394"/>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2:33" ht="17.149999999999999" customHeight="1">
      <c r="B12" s="671"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555">
        <f>'Haver Pivoted'!HH31</f>
        <v>2930.1</v>
      </c>
      <c r="X12" s="555">
        <f>'Haver Pivoted'!HI31</f>
        <v>2934</v>
      </c>
      <c r="Y12" s="555">
        <f>'Haver Pivoted'!HJ31</f>
        <v>3040.2</v>
      </c>
      <c r="Z12" s="673">
        <f t="shared" ref="Z12:AC12" si="0">SUM(Z14:Z31)-Z30</f>
        <v>3046.7543662535622</v>
      </c>
      <c r="AA12" s="673">
        <f t="shared" si="0"/>
        <v>3069.3154408548799</v>
      </c>
      <c r="AB12" s="673">
        <f t="shared" si="0"/>
        <v>3087.1743067979696</v>
      </c>
      <c r="AC12" s="718">
        <f t="shared" si="0"/>
        <v>3141.7407694188655</v>
      </c>
    </row>
    <row r="13" spans="2:33">
      <c r="B13" s="459"/>
      <c r="C13" s="240"/>
      <c r="D13" s="592"/>
      <c r="E13" s="552"/>
      <c r="F13" s="552"/>
      <c r="G13" s="552"/>
      <c r="H13" s="552"/>
      <c r="I13" s="552"/>
      <c r="J13" s="552"/>
      <c r="K13" s="552"/>
      <c r="L13" s="552"/>
      <c r="M13" s="552"/>
      <c r="N13" s="552"/>
      <c r="O13" s="552"/>
      <c r="P13" s="240"/>
      <c r="Q13" s="234"/>
      <c r="R13" s="234"/>
      <c r="S13" s="234"/>
      <c r="T13" s="234"/>
      <c r="U13" s="234"/>
      <c r="V13" s="234"/>
      <c r="W13" s="234"/>
      <c r="X13" s="326"/>
      <c r="Y13" s="326"/>
      <c r="Z13" s="326"/>
      <c r="AA13" s="326"/>
      <c r="AB13" s="326"/>
      <c r="AC13" s="432"/>
    </row>
    <row r="14" spans="2:33">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555">
        <f>V15+V16</f>
        <v>22.62857142857143</v>
      </c>
      <c r="W14" s="555">
        <f>W15+W16</f>
        <v>22.62857142857143</v>
      </c>
      <c r="X14" s="555">
        <f>X15+X16</f>
        <v>22.7</v>
      </c>
      <c r="Y14" s="555">
        <f>Y15+Y16</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2:33">
      <c r="B15" s="416" t="s">
        <v>203</v>
      </c>
      <c r="C15" s="240"/>
      <c r="D15" s="592"/>
      <c r="E15" s="552"/>
      <c r="F15" s="552"/>
      <c r="G15" s="552"/>
      <c r="H15" s="552"/>
      <c r="I15" s="552"/>
      <c r="J15" s="552"/>
      <c r="K15" s="552"/>
      <c r="L15" s="552"/>
      <c r="M15" s="552"/>
      <c r="N15" s="552"/>
      <c r="O15" s="552"/>
      <c r="P15" s="552"/>
      <c r="Q15" s="552"/>
      <c r="R15" s="552"/>
      <c r="S15" s="552"/>
      <c r="T15" s="552"/>
      <c r="U15" s="552"/>
      <c r="V15" s="555">
        <f>'Unemployment Insurance'!V19</f>
        <v>0</v>
      </c>
      <c r="W15" s="555">
        <f>'Unemployment Insurance'!W19</f>
        <v>0</v>
      </c>
      <c r="X15" s="555">
        <f>'Unemployment Insurance'!X19</f>
        <v>0.28514285714285847</v>
      </c>
      <c r="Y15" s="555">
        <f>'Unemployment Insurance'!Y19</f>
        <v>-0.55714285714286049</v>
      </c>
      <c r="Z15" s="673"/>
      <c r="AA15" s="673"/>
      <c r="AB15" s="673"/>
      <c r="AC15" s="718"/>
    </row>
    <row r="16" spans="2:33">
      <c r="B16" s="416" t="s">
        <v>205</v>
      </c>
      <c r="C16" s="240"/>
      <c r="D16" s="592"/>
      <c r="E16" s="552"/>
      <c r="F16" s="552"/>
      <c r="G16" s="552"/>
      <c r="H16" s="552"/>
      <c r="I16" s="552"/>
      <c r="J16" s="552"/>
      <c r="K16" s="552"/>
      <c r="L16" s="552"/>
      <c r="M16" s="552"/>
      <c r="N16" s="552"/>
      <c r="O16" s="552"/>
      <c r="P16" s="552"/>
      <c r="Q16" s="552"/>
      <c r="R16" s="552"/>
      <c r="S16" s="552"/>
      <c r="T16" s="552"/>
      <c r="U16" s="552"/>
      <c r="V16" s="555">
        <f>'Unemployment Insurance'!V20</f>
        <v>22.62857142857143</v>
      </c>
      <c r="W16" s="555">
        <f>'Unemployment Insurance'!W20</f>
        <v>22.62857142857143</v>
      </c>
      <c r="X16" s="555">
        <f>'Unemployment Insurance'!X20</f>
        <v>22.414857142857141</v>
      </c>
      <c r="Y16" s="555">
        <f>'Unemployment Insurance'!Y20</f>
        <v>23.25714285714286</v>
      </c>
      <c r="Z16" s="673"/>
      <c r="AA16" s="673"/>
      <c r="AB16" s="673"/>
      <c r="AC16" s="718"/>
    </row>
    <row r="17" spans="2:101" ht="17.899999999999999" customHeight="1">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552">
        <f>Medicare!V10</f>
        <v>941.9</v>
      </c>
      <c r="W17" s="552">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2:101" ht="18" customHeight="1">
      <c r="B18" s="668" t="s">
        <v>469</v>
      </c>
      <c r="C18" s="240"/>
      <c r="D18" s="275"/>
      <c r="E18" s="234"/>
      <c r="F18" s="234"/>
      <c r="G18" s="234"/>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555">
        <f>V19+V20</f>
        <v>0</v>
      </c>
      <c r="W18" s="555">
        <f>W19+W20</f>
        <v>0</v>
      </c>
      <c r="X18" s="555">
        <f>X19+X20</f>
        <v>0</v>
      </c>
      <c r="Y18" s="555">
        <f>Y19+Y20</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2:101" ht="18" customHeight="1">
      <c r="B19" s="669" t="s">
        <v>1844</v>
      </c>
      <c r="C19" s="240"/>
      <c r="D19" s="275"/>
      <c r="E19" s="234"/>
      <c r="F19" s="234"/>
      <c r="G19" s="234"/>
      <c r="H19" s="552"/>
      <c r="I19" s="552"/>
      <c r="J19" s="552"/>
      <c r="K19" s="552"/>
      <c r="L19" s="552"/>
      <c r="M19" s="552"/>
      <c r="N19" s="552"/>
      <c r="O19" s="552"/>
      <c r="P19" s="552"/>
      <c r="Q19" s="552"/>
      <c r="R19" s="552"/>
      <c r="S19" s="552"/>
      <c r="T19" s="552"/>
      <c r="U19" s="552"/>
      <c r="V19" s="552">
        <v>0</v>
      </c>
      <c r="W19" s="552"/>
      <c r="X19" s="673"/>
      <c r="Y19" s="673"/>
      <c r="Z19" s="673"/>
      <c r="AA19" s="673"/>
      <c r="AB19" s="673"/>
      <c r="AC19" s="718"/>
    </row>
    <row r="20" spans="2:101" ht="18" customHeight="1">
      <c r="B20" s="669" t="s">
        <v>1845</v>
      </c>
      <c r="C20" s="240"/>
      <c r="D20" s="275"/>
      <c r="E20" s="234"/>
      <c r="F20" s="234"/>
      <c r="G20" s="234"/>
      <c r="H20" s="552"/>
      <c r="I20" s="552"/>
      <c r="J20" s="552"/>
      <c r="K20" s="552"/>
      <c r="L20" s="552"/>
      <c r="M20" s="552"/>
      <c r="N20" s="552"/>
      <c r="O20" s="552"/>
      <c r="P20" s="552"/>
      <c r="Q20" s="552"/>
      <c r="R20" s="552"/>
      <c r="S20" s="552"/>
      <c r="T20" s="552"/>
      <c r="U20" s="552"/>
      <c r="V20" s="552">
        <v>0</v>
      </c>
      <c r="W20" s="552"/>
      <c r="X20" s="673"/>
      <c r="Y20" s="673"/>
      <c r="Z20" s="673"/>
      <c r="AA20" s="673"/>
      <c r="AB20" s="673"/>
      <c r="AC20" s="718"/>
    </row>
    <row r="21" spans="2:101" ht="18" customHeight="1">
      <c r="B21" s="670" t="s">
        <v>49</v>
      </c>
      <c r="C21" s="240"/>
      <c r="D21" s="274">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52">
        <v>0</v>
      </c>
      <c r="W21" s="552">
        <v>0</v>
      </c>
      <c r="X21" s="673">
        <v>0</v>
      </c>
      <c r="Y21" s="673">
        <v>0</v>
      </c>
      <c r="Z21" s="673">
        <v>0</v>
      </c>
      <c r="AA21" s="673">
        <v>0</v>
      </c>
      <c r="AB21" s="673">
        <v>0</v>
      </c>
      <c r="AC21" s="673">
        <v>0</v>
      </c>
      <c r="AD21" s="673">
        <v>0</v>
      </c>
      <c r="AE21" s="673">
        <v>0</v>
      </c>
      <c r="AF21" s="673">
        <v>0</v>
      </c>
      <c r="AG21" s="673">
        <v>0</v>
      </c>
    </row>
    <row r="22" spans="2:101" ht="18" customHeight="1">
      <c r="B22" s="459" t="s">
        <v>1846</v>
      </c>
      <c r="C22" s="240"/>
      <c r="D22" s="274"/>
      <c r="E22" s="230"/>
      <c r="F22" s="230"/>
      <c r="G22" s="230"/>
      <c r="H22" s="230"/>
      <c r="I22" s="230"/>
      <c r="J22" s="230"/>
      <c r="K22" s="230"/>
      <c r="L22" s="230"/>
      <c r="M22" s="230"/>
      <c r="N22" s="230"/>
      <c r="O22" s="230"/>
      <c r="P22" s="230"/>
      <c r="Q22" s="230"/>
      <c r="R22" s="230"/>
      <c r="S22" s="230"/>
      <c r="T22" s="230"/>
      <c r="U22" s="230"/>
      <c r="V22" s="552"/>
      <c r="W22" s="552"/>
      <c r="X22" s="673"/>
      <c r="Y22" s="673"/>
      <c r="Z22" s="673"/>
      <c r="AA22" s="673"/>
      <c r="AB22" s="673"/>
      <c r="AC22" s="718"/>
    </row>
    <row r="23" spans="2:101" ht="18" customHeight="1">
      <c r="B23" s="459" t="s">
        <v>1847</v>
      </c>
      <c r="C23" s="240"/>
      <c r="D23" s="274"/>
      <c r="E23" s="230"/>
      <c r="F23" s="230"/>
      <c r="G23" s="230"/>
      <c r="H23" s="230"/>
      <c r="I23" s="230"/>
      <c r="J23" s="230"/>
      <c r="K23" s="230"/>
      <c r="L23" s="230"/>
      <c r="M23" s="230"/>
      <c r="N23" s="230"/>
      <c r="O23" s="230"/>
      <c r="P23" s="230"/>
      <c r="Q23" s="230"/>
      <c r="R23" s="230"/>
      <c r="S23" s="230"/>
      <c r="T23" s="230"/>
      <c r="U23" s="230"/>
      <c r="V23" s="552"/>
      <c r="W23" s="552"/>
      <c r="X23" s="673"/>
      <c r="Y23" s="673"/>
      <c r="Z23" s="673"/>
      <c r="AA23" s="673"/>
      <c r="AB23" s="673"/>
      <c r="AC23" s="718"/>
    </row>
    <row r="24" spans="2:101" ht="20.149999999999999" customHeight="1">
      <c r="B24" s="268" t="s">
        <v>472</v>
      </c>
      <c r="C24" s="263"/>
      <c r="D24" s="720"/>
      <c r="E24" s="633"/>
      <c r="F24" s="633"/>
      <c r="G24" s="63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4">
        <f>'ARP Quarterly'!N5</f>
        <v>4.2219999999999995</v>
      </c>
      <c r="Y24" s="554">
        <f>'ARP Quarterly'!O5</f>
        <v>4.2219999999999995</v>
      </c>
      <c r="Z24" s="554">
        <f>'ARP Quarterly'!P5</f>
        <v>4.2219999999999995</v>
      </c>
      <c r="AA24" s="554">
        <f>'ARP Quarterly'!Q5</f>
        <v>4.2219999999999995</v>
      </c>
      <c r="AB24" s="554">
        <f>'ARP Quarterly'!R5</f>
        <v>2.3719999999999999</v>
      </c>
      <c r="AC24" s="554">
        <f>'ARP Quarterly'!S5</f>
        <v>2.3719999999999999</v>
      </c>
      <c r="AD24" s="554">
        <f>'ARP Quarterly'!T5</f>
        <v>2.3719999999999999</v>
      </c>
      <c r="AE24" s="554">
        <f>'ARP Quarterly'!U5</f>
        <v>2.3719999999999999</v>
      </c>
      <c r="AF24" s="554">
        <f>'ARP Quarterly'!V5</f>
        <v>0.49</v>
      </c>
      <c r="AG24" s="502">
        <v>0</v>
      </c>
    </row>
    <row r="25" spans="2:101" ht="22.4" customHeight="1">
      <c r="B25" s="248" t="s">
        <v>218</v>
      </c>
      <c r="C25" s="677"/>
      <c r="D25" s="274"/>
      <c r="E25" s="230"/>
      <c r="F25" s="230"/>
      <c r="G25" s="230"/>
      <c r="H25" s="230"/>
      <c r="I25" s="230"/>
      <c r="J25" s="230"/>
      <c r="K25" s="230"/>
      <c r="L25" s="230"/>
      <c r="M25" s="552">
        <f>'ARP Quarterly'!C4</f>
        <v>0</v>
      </c>
      <c r="N25" s="552">
        <f>'ARP Quarterly'!D4</f>
        <v>0</v>
      </c>
      <c r="O25" s="552">
        <f>'ARP Quarterly'!E4</f>
        <v>3.1040000000000418</v>
      </c>
      <c r="P25" s="552">
        <f>'ARP Quarterly'!F4</f>
        <v>19.719000000000005</v>
      </c>
      <c r="Q25" s="552">
        <f>'ARP Quarterly'!G4</f>
        <v>19.719000000000005</v>
      </c>
      <c r="R25" s="552">
        <f>'ARP Quarterly'!H4</f>
        <v>19.719000000000005</v>
      </c>
      <c r="S25" s="552">
        <f>'ARP Quarterly'!I4</f>
        <v>19.719000000000005</v>
      </c>
      <c r="T25" s="552">
        <f>'ARP Quarterly'!J4</f>
        <v>1.4159999999999999</v>
      </c>
      <c r="U25" s="552">
        <f>'ARP Quarterly'!K4</f>
        <v>1.4159999999999999</v>
      </c>
      <c r="V25" s="552">
        <f>'ARP Quarterly'!L4</f>
        <v>1.4159999999999999</v>
      </c>
      <c r="W25" s="552">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7"/>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row>
    <row r="26" spans="2:101" ht="36.65" customHeight="1">
      <c r="B26" s="248" t="s">
        <v>1433</v>
      </c>
      <c r="C26" s="240"/>
      <c r="D26" s="275">
        <f>D50</f>
        <v>0</v>
      </c>
      <c r="E26" s="234">
        <f t="shared" ref="E26:AG26" si="1">E50</f>
        <v>0</v>
      </c>
      <c r="F26" s="234">
        <f t="shared" si="1"/>
        <v>0</v>
      </c>
      <c r="G26" s="234">
        <f t="shared" si="1"/>
        <v>0</v>
      </c>
      <c r="H26" s="234">
        <f t="shared" si="1"/>
        <v>0</v>
      </c>
      <c r="I26" s="552">
        <f t="shared" si="1"/>
        <v>6.6417500000000018</v>
      </c>
      <c r="J26" s="552">
        <f t="shared" si="1"/>
        <v>51.388749999999995</v>
      </c>
      <c r="K26" s="552">
        <f t="shared" si="1"/>
        <v>55.337750000000007</v>
      </c>
      <c r="L26" s="552">
        <f t="shared" si="1"/>
        <v>62.597749999999998</v>
      </c>
      <c r="M26" s="552">
        <f t="shared" si="1"/>
        <v>88.07774999999998</v>
      </c>
      <c r="N26" s="552">
        <f t="shared" si="1"/>
        <v>102.89075</v>
      </c>
      <c r="O26" s="552">
        <f t="shared" si="1"/>
        <v>94.404750000000007</v>
      </c>
      <c r="P26" s="552">
        <f t="shared" si="1"/>
        <v>91.919749999999993</v>
      </c>
      <c r="Q26" s="552">
        <f t="shared" si="1"/>
        <v>80.097749999999991</v>
      </c>
      <c r="R26" s="552">
        <f t="shared" si="1"/>
        <v>69.023750000000007</v>
      </c>
      <c r="S26" s="552">
        <f t="shared" si="1"/>
        <v>61.349750000000007</v>
      </c>
      <c r="T26" s="552">
        <f t="shared" si="1"/>
        <v>81.433750000000003</v>
      </c>
      <c r="U26" s="552">
        <f t="shared" si="1"/>
        <v>75.465749999999986</v>
      </c>
      <c r="V26" s="552">
        <f>V50</f>
        <v>48.418749999999996</v>
      </c>
      <c r="W26" s="552">
        <f>W50</f>
        <v>48.349750000000007</v>
      </c>
      <c r="X26" s="673">
        <f t="shared" si="1"/>
        <v>37.400749999999995</v>
      </c>
      <c r="Y26" s="673">
        <f t="shared" si="1"/>
        <v>38.275749999999995</v>
      </c>
      <c r="Z26" s="673">
        <f t="shared" si="1"/>
        <v>38.275749999999995</v>
      </c>
      <c r="AA26" s="673">
        <f t="shared" si="1"/>
        <v>38.275749999999995</v>
      </c>
      <c r="AB26" s="673">
        <f t="shared" si="1"/>
        <v>38.275749999999995</v>
      </c>
      <c r="AC26" s="673">
        <f t="shared" si="1"/>
        <v>38.275749999999995</v>
      </c>
      <c r="AD26" s="673">
        <f t="shared" si="1"/>
        <v>38.275749999999995</v>
      </c>
      <c r="AE26" s="673">
        <f t="shared" si="1"/>
        <v>38.275749999999995</v>
      </c>
      <c r="AF26" s="673">
        <f t="shared" si="1"/>
        <v>38.275749999999995</v>
      </c>
      <c r="AG26" s="673">
        <f t="shared" si="1"/>
        <v>38.275749999999995</v>
      </c>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row>
    <row r="27" spans="2:101" ht="15.65" customHeight="1">
      <c r="B27" s="248" t="s">
        <v>798</v>
      </c>
      <c r="C27" s="240" t="s">
        <v>825</v>
      </c>
      <c r="D27" s="274">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40">
        <f>'Haver Pivoted'!HD89</f>
        <v>94.3</v>
      </c>
      <c r="T27" s="440">
        <f>'Haver Pivoted'!HE89</f>
        <v>94.3</v>
      </c>
      <c r="U27" s="673">
        <v>34</v>
      </c>
      <c r="V27" s="552">
        <v>34</v>
      </c>
      <c r="W27" s="552">
        <v>34</v>
      </c>
      <c r="X27" s="673">
        <v>34</v>
      </c>
      <c r="Y27" s="673">
        <v>34</v>
      </c>
      <c r="Z27" s="673">
        <v>34</v>
      </c>
      <c r="AA27" s="673">
        <v>34</v>
      </c>
      <c r="AB27" s="673">
        <v>34</v>
      </c>
      <c r="AC27" s="673">
        <v>34</v>
      </c>
      <c r="AD27" s="673">
        <v>34</v>
      </c>
      <c r="AE27" s="673">
        <v>34</v>
      </c>
      <c r="AF27" s="673">
        <v>34</v>
      </c>
      <c r="AG27" s="673">
        <v>34</v>
      </c>
    </row>
    <row r="28" spans="2:101" ht="21.65" customHeight="1">
      <c r="B28" s="248" t="s">
        <v>470</v>
      </c>
      <c r="C28" s="240"/>
      <c r="D28" s="275"/>
      <c r="E28" s="234"/>
      <c r="F28" s="234"/>
      <c r="G28" s="234"/>
      <c r="H28" s="552"/>
      <c r="I28" s="552"/>
      <c r="J28" s="552">
        <f>'PPP (expired)'!J53</f>
        <v>57.2</v>
      </c>
      <c r="K28" s="552">
        <f>'PPP (expired)'!K53</f>
        <v>81.2</v>
      </c>
      <c r="L28" s="552">
        <f>'PPP (expired)'!L53</f>
        <v>24.4</v>
      </c>
      <c r="M28" s="552">
        <f>'PPP (expired)'!M53</f>
        <v>11.7</v>
      </c>
      <c r="N28" s="552">
        <f>'PPP (expired)'!N53</f>
        <v>28.5</v>
      </c>
      <c r="O28" s="552">
        <f>'PPP (expired)'!O53</f>
        <v>18.8</v>
      </c>
      <c r="P28" s="552">
        <f>'PPP (expired)'!P53</f>
        <v>1.6</v>
      </c>
      <c r="Q28" s="552">
        <f>'PPP (expired)'!Q53</f>
        <v>0</v>
      </c>
      <c r="R28" s="552">
        <f>'PPP (expired)'!Q61</f>
        <v>0</v>
      </c>
      <c r="S28" s="552">
        <f>'PPP (expired)'!S53</f>
        <v>0</v>
      </c>
      <c r="T28" s="552">
        <f>'PPP (expired)'!T53</f>
        <v>0</v>
      </c>
      <c r="U28" s="552">
        <f>'PPP (expired)'!U53</f>
        <v>0</v>
      </c>
      <c r="V28" s="552">
        <f>'PPP (expired)'!V53</f>
        <v>0</v>
      </c>
      <c r="W28" s="552">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row>
    <row r="29" spans="2:101" ht="21.65" customHeight="1">
      <c r="B29" s="459" t="s">
        <v>799</v>
      </c>
      <c r="C29" s="240"/>
      <c r="D29" s="592">
        <f t="shared" ref="D29:AE29" si="2">D74</f>
        <v>0</v>
      </c>
      <c r="E29" s="552">
        <f t="shared" si="2"/>
        <v>0</v>
      </c>
      <c r="F29" s="552">
        <f t="shared" si="2"/>
        <v>0</v>
      </c>
      <c r="G29" s="552">
        <f t="shared" si="2"/>
        <v>0</v>
      </c>
      <c r="H29" s="552">
        <f t="shared" si="2"/>
        <v>0</v>
      </c>
      <c r="I29" s="552">
        <f t="shared" si="2"/>
        <v>-6.6417499999997744</v>
      </c>
      <c r="J29" s="552">
        <f t="shared" si="2"/>
        <v>-38.222083333332648</v>
      </c>
      <c r="K29" s="552">
        <f t="shared" si="2"/>
        <v>84.695583333333389</v>
      </c>
      <c r="L29" s="552">
        <f t="shared" si="2"/>
        <v>16.60225000000014</v>
      </c>
      <c r="M29" s="552">
        <f t="shared" si="2"/>
        <v>16.668916666666519</v>
      </c>
      <c r="N29" s="552">
        <f t="shared" si="2"/>
        <v>-12.19925666666677</v>
      </c>
      <c r="O29" s="552">
        <f t="shared" si="2"/>
        <v>-14.628243333333103</v>
      </c>
      <c r="P29" s="552">
        <f t="shared" si="2"/>
        <v>-31.382416666666586</v>
      </c>
      <c r="Q29" s="552">
        <f t="shared" si="2"/>
        <v>-3.1812166666670691</v>
      </c>
      <c r="R29" s="552">
        <f t="shared" si="2"/>
        <v>-1.8405500000005759</v>
      </c>
      <c r="S29" s="552">
        <f t="shared" si="2"/>
        <v>-17.07788333333383</v>
      </c>
      <c r="T29" s="552">
        <f t="shared" si="2"/>
        <v>-2.5472166666675093</v>
      </c>
      <c r="U29" s="552">
        <f t="shared" si="2"/>
        <v>18.339804999999615</v>
      </c>
      <c r="V29" s="552">
        <f>V74</f>
        <v>17.924900238094551</v>
      </c>
      <c r="W29" s="552">
        <f t="shared" si="2"/>
        <v>7.0605669047611173</v>
      </c>
      <c r="X29" s="673">
        <f t="shared" si="2"/>
        <v>24.070804999999382</v>
      </c>
      <c r="Y29" s="673">
        <f t="shared" si="2"/>
        <v>62.816743666665843</v>
      </c>
      <c r="Z29" s="673">
        <f t="shared" si="2"/>
        <v>62.816743666665843</v>
      </c>
      <c r="AA29" s="673">
        <f t="shared" si="2"/>
        <v>62.816743666665843</v>
      </c>
      <c r="AB29" s="673">
        <f t="shared" si="2"/>
        <v>62.816743666665843</v>
      </c>
      <c r="AC29" s="673">
        <f t="shared" si="2"/>
        <v>62.816743666665843</v>
      </c>
      <c r="AD29" s="673">
        <f t="shared" si="2"/>
        <v>62.816743666665843</v>
      </c>
      <c r="AE29" s="673">
        <f t="shared" si="2"/>
        <v>62.816743666665843</v>
      </c>
      <c r="AF29" s="673">
        <f>AF74</f>
        <v>62.816743666665843</v>
      </c>
      <c r="AG29" s="673">
        <f>AG74</f>
        <v>62.816743666665843</v>
      </c>
    </row>
    <row r="30" spans="2:101" ht="21" customHeight="1">
      <c r="B30" s="268" t="s">
        <v>796</v>
      </c>
      <c r="C30" s="263"/>
      <c r="D30" s="720">
        <f t="shared" ref="D30:W30" si="3">D25+D21</f>
        <v>0</v>
      </c>
      <c r="E30" s="633">
        <f t="shared" si="3"/>
        <v>0</v>
      </c>
      <c r="F30" s="633">
        <f t="shared" si="3"/>
        <v>0</v>
      </c>
      <c r="G30" s="633">
        <f t="shared" si="3"/>
        <v>0</v>
      </c>
      <c r="H30" s="633">
        <f t="shared" si="3"/>
        <v>0</v>
      </c>
      <c r="I30" s="633">
        <f t="shared" si="3"/>
        <v>0</v>
      </c>
      <c r="J30" s="633">
        <f t="shared" si="3"/>
        <v>160.9</v>
      </c>
      <c r="K30" s="633">
        <f t="shared" si="3"/>
        <v>58.4</v>
      </c>
      <c r="L30" s="633">
        <f t="shared" si="3"/>
        <v>34.5</v>
      </c>
      <c r="M30" s="633">
        <f t="shared" si="3"/>
        <v>21.4</v>
      </c>
      <c r="N30" s="633">
        <f t="shared" si="3"/>
        <v>13.3</v>
      </c>
      <c r="O30" s="633">
        <f t="shared" si="3"/>
        <v>21.804000000000041</v>
      </c>
      <c r="P30" s="549">
        <f t="shared" si="3"/>
        <v>51.919000000000011</v>
      </c>
      <c r="Q30" s="633">
        <f t="shared" si="3"/>
        <v>46.619</v>
      </c>
      <c r="R30" s="633">
        <f t="shared" si="3"/>
        <v>39.719000000000008</v>
      </c>
      <c r="S30" s="633">
        <f t="shared" si="3"/>
        <v>27.819000000000003</v>
      </c>
      <c r="T30" s="549">
        <f t="shared" si="3"/>
        <v>6.3160000000000007</v>
      </c>
      <c r="U30" s="549">
        <f t="shared" si="3"/>
        <v>1.4159999999999999</v>
      </c>
      <c r="V30" s="549">
        <f t="shared" si="3"/>
        <v>1.4159999999999999</v>
      </c>
      <c r="W30" s="549">
        <f t="shared" si="3"/>
        <v>1.4159999999999999</v>
      </c>
      <c r="X30" s="554">
        <f t="shared" ref="X30:AB30" si="4">X25+X21</f>
        <v>1.4790000000000001</v>
      </c>
      <c r="Y30" s="554">
        <f t="shared" si="4"/>
        <v>1.4790000000000001</v>
      </c>
      <c r="Z30" s="554">
        <f t="shared" si="4"/>
        <v>1.4790000000000001</v>
      </c>
      <c r="AA30" s="554">
        <f t="shared" si="4"/>
        <v>1.4790000000000001</v>
      </c>
      <c r="AB30" s="554">
        <f t="shared" si="4"/>
        <v>1.63</v>
      </c>
      <c r="AC30" s="554">
        <f>AC25+AC21</f>
        <v>1.63</v>
      </c>
      <c r="AD30" s="554">
        <f t="shared" ref="AD30:AE30" si="5">AD25+AD21</f>
        <v>1.63</v>
      </c>
      <c r="AE30" s="554">
        <f t="shared" si="5"/>
        <v>1.63</v>
      </c>
      <c r="AF30" s="554">
        <f>AF25+AF21</f>
        <v>1.671</v>
      </c>
      <c r="AG30" s="554">
        <f>AG25+AG21</f>
        <v>0</v>
      </c>
    </row>
    <row r="31" spans="2:101" ht="44.9" customHeight="1">
      <c r="B31" s="248" t="s">
        <v>803</v>
      </c>
      <c r="C31" s="240"/>
      <c r="D31" s="592">
        <f t="shared" ref="D31:AE31" si="6">D66</f>
        <v>1410.9</v>
      </c>
      <c r="E31" s="552">
        <f t="shared" si="6"/>
        <v>1471.1999999999998</v>
      </c>
      <c r="F31" s="552">
        <f t="shared" si="6"/>
        <v>1477.1000000000001</v>
      </c>
      <c r="G31" s="552">
        <f t="shared" si="6"/>
        <v>1484</v>
      </c>
      <c r="H31" s="552">
        <f t="shared" si="6"/>
        <v>1492</v>
      </c>
      <c r="I31" s="552">
        <f t="shared" si="6"/>
        <v>1543.2999999999997</v>
      </c>
      <c r="J31" s="552">
        <f t="shared" si="6"/>
        <v>1550.2333333333331</v>
      </c>
      <c r="K31" s="552">
        <f t="shared" si="6"/>
        <v>1557.1666666666665</v>
      </c>
      <c r="L31" s="552">
        <f t="shared" si="6"/>
        <v>1564.1</v>
      </c>
      <c r="M31" s="552">
        <f t="shared" si="6"/>
        <v>1588.5533333333333</v>
      </c>
      <c r="N31" s="552">
        <f t="shared" si="6"/>
        <v>1595.4866666666667</v>
      </c>
      <c r="O31" s="552">
        <f t="shared" si="6"/>
        <v>1602.42</v>
      </c>
      <c r="P31" s="552">
        <f t="shared" si="6"/>
        <v>1609.3533333333335</v>
      </c>
      <c r="Q31" s="552">
        <f t="shared" si="6"/>
        <v>1688.207466666667</v>
      </c>
      <c r="R31" s="552">
        <f t="shared" si="6"/>
        <v>1695.1408000000004</v>
      </c>
      <c r="S31" s="552">
        <f t="shared" si="6"/>
        <v>1702.0741333333337</v>
      </c>
      <c r="T31" s="552">
        <f t="shared" si="6"/>
        <v>1709.0074666666671</v>
      </c>
      <c r="U31" s="552">
        <f t="shared" si="6"/>
        <v>1822.5884450000005</v>
      </c>
      <c r="V31" s="552">
        <f t="shared" si="6"/>
        <v>1829.5217783333339</v>
      </c>
      <c r="W31" s="552">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1958.5494476076676</v>
      </c>
      <c r="AD31" s="673">
        <f t="shared" si="6"/>
        <v>1965.482780941001</v>
      </c>
      <c r="AE31" s="673">
        <f t="shared" si="6"/>
        <v>1972.4161142743344</v>
      </c>
      <c r="AF31" s="673">
        <f>AF66</f>
        <v>1979.3494476076678</v>
      </c>
      <c r="AG31" s="673">
        <f>AG66</f>
        <v>2023.3367118646443</v>
      </c>
    </row>
    <row r="32" spans="2:101" ht="44.9" customHeight="1">
      <c r="B32" s="426" t="s">
        <v>1185</v>
      </c>
      <c r="D32" s="592"/>
      <c r="E32" s="552"/>
      <c r="F32" s="552"/>
      <c r="G32" s="552"/>
      <c r="H32" s="552"/>
      <c r="I32" s="552"/>
      <c r="J32" s="552"/>
      <c r="K32" s="552"/>
      <c r="L32" s="552"/>
      <c r="M32" s="552"/>
      <c r="N32" s="552"/>
      <c r="O32" s="552"/>
      <c r="P32" s="552"/>
      <c r="Q32" s="552"/>
      <c r="R32" s="552"/>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row>
    <row r="33" spans="2:33" ht="31.4" customHeight="1">
      <c r="B33" s="580" t="s">
        <v>800</v>
      </c>
      <c r="C33" s="263"/>
      <c r="D33" s="549">
        <f t="shared" ref="D33:R33" si="7">D31+SUM(D26:D29)+D32</f>
        <v>1440.9</v>
      </c>
      <c r="E33" s="549">
        <f t="shared" si="7"/>
        <v>1501.1999999999998</v>
      </c>
      <c r="F33" s="549">
        <f t="shared" si="7"/>
        <v>1507.1000000000001</v>
      </c>
      <c r="G33" s="549">
        <f t="shared" si="7"/>
        <v>1514</v>
      </c>
      <c r="H33" s="549">
        <f t="shared" si="7"/>
        <v>1522</v>
      </c>
      <c r="I33" s="549">
        <f t="shared" si="7"/>
        <v>1573.3</v>
      </c>
      <c r="J33" s="549">
        <f t="shared" si="7"/>
        <v>1650.6000000000004</v>
      </c>
      <c r="K33" s="549">
        <f t="shared" si="7"/>
        <v>1808.6</v>
      </c>
      <c r="L33" s="549">
        <f t="shared" si="7"/>
        <v>1697.9</v>
      </c>
      <c r="M33" s="549">
        <f t="shared" si="7"/>
        <v>1739.3999999999999</v>
      </c>
      <c r="N33" s="549">
        <f t="shared" si="7"/>
        <v>1749.07816</v>
      </c>
      <c r="O33" s="549">
        <f t="shared" si="7"/>
        <v>1919.92984</v>
      </c>
      <c r="P33" s="549">
        <f t="shared" si="7"/>
        <v>1894.6239999999998</v>
      </c>
      <c r="Q33" s="549">
        <f t="shared" si="7"/>
        <v>1859.424</v>
      </c>
      <c r="R33" s="549">
        <f t="shared" si="7"/>
        <v>1856.6239999999998</v>
      </c>
      <c r="S33" s="549">
        <f>S31+SUM(S26:S29)+S32</f>
        <v>1840.0239999999999</v>
      </c>
      <c r="T33" s="692">
        <f>T31+SUM(T26:T29)+T32</f>
        <v>1904.0839999999996</v>
      </c>
      <c r="U33" s="692">
        <f>U31+SUM(U26:U29)+U32</f>
        <v>1972.2840000000003</v>
      </c>
      <c r="V33" s="549">
        <f>V31+SUM(V26:V29)+V32</f>
        <v>1951.7554285714286</v>
      </c>
      <c r="W33" s="549">
        <f>W31+SUM(W26:W29)+W32</f>
        <v>1947.7554285714286</v>
      </c>
      <c r="X33" s="554">
        <f t="shared" ref="X33" si="8">X31+SUM(X26:X29)+X32</f>
        <v>1954.2990000000002</v>
      </c>
      <c r="Y33" s="554">
        <f>Y31+SUM(Y26:Y29)+Y32</f>
        <v>2046.499</v>
      </c>
      <c r="Z33" s="554">
        <f t="shared" ref="Z33" si="9">Z31+SUM(Z26:Z29)+Z32</f>
        <v>2053.4323333333332</v>
      </c>
      <c r="AA33" s="554">
        <f t="shared" ref="AA33" si="10">AA31+SUM(AA26:AA29)+AA32</f>
        <v>2060.3656666666666</v>
      </c>
      <c r="AB33" s="554">
        <f t="shared" ref="AB33" si="11">AB31+SUM(AB26:AB29)+AB32</f>
        <v>2068.8270000000002</v>
      </c>
      <c r="AC33" s="554">
        <f>AC31+SUM(AC26:AC29)+AC32</f>
        <v>2110.6089412743336</v>
      </c>
      <c r="AD33" s="554">
        <f t="shared" ref="AD33:AE33" si="12">AD31+SUM(AD26:AD29)+AD32</f>
        <v>2117.542274607667</v>
      </c>
      <c r="AE33" s="554">
        <f t="shared" si="12"/>
        <v>2124.4756079410004</v>
      </c>
      <c r="AF33" s="554">
        <f>AF31+SUM(AF26:AF29)+AF32</f>
        <v>2115.1699412743337</v>
      </c>
      <c r="AG33" s="554">
        <f>AG31+SUM(AG26:AG29)+AG32</f>
        <v>2159.15720553131</v>
      </c>
    </row>
    <row r="34" spans="2:33" ht="31.4" customHeight="1">
      <c r="B34" s="580"/>
      <c r="C34" s="263"/>
      <c r="D34" s="549"/>
      <c r="E34" s="549"/>
      <c r="F34" s="549"/>
      <c r="G34" s="549"/>
      <c r="H34" s="549"/>
      <c r="I34" s="549"/>
      <c r="J34" s="549"/>
      <c r="K34" s="549"/>
      <c r="L34" s="549"/>
      <c r="M34" s="549"/>
      <c r="N34" s="549"/>
      <c r="O34" s="549"/>
      <c r="P34" s="549"/>
      <c r="Q34" s="549"/>
      <c r="R34" s="549"/>
      <c r="S34" s="549"/>
      <c r="T34" s="549"/>
      <c r="U34" s="549"/>
      <c r="V34" s="549"/>
      <c r="W34" s="549"/>
      <c r="X34" s="554"/>
      <c r="Y34" s="554"/>
      <c r="Z34" s="554"/>
      <c r="AA34" s="554"/>
      <c r="AB34" s="554"/>
      <c r="AC34" s="554"/>
    </row>
    <row r="35" spans="2:33" ht="31.4" customHeight="1">
      <c r="B35" s="1393" t="s">
        <v>473</v>
      </c>
      <c r="C35" s="1394"/>
      <c r="D35" s="575"/>
      <c r="E35" s="576"/>
      <c r="F35" s="576"/>
      <c r="G35" s="576"/>
      <c r="H35" s="576"/>
      <c r="I35" s="576"/>
      <c r="J35" s="576"/>
      <c r="K35" s="576"/>
      <c r="L35" s="576"/>
      <c r="M35" s="576"/>
      <c r="N35" s="576"/>
      <c r="O35" s="576"/>
      <c r="P35" s="576"/>
      <c r="Q35" s="576"/>
      <c r="R35" s="576"/>
      <c r="S35" s="576"/>
      <c r="T35" s="549"/>
      <c r="U35" s="576"/>
      <c r="V35" s="549"/>
      <c r="W35" s="549"/>
      <c r="X35" s="554"/>
      <c r="Y35" s="554"/>
      <c r="Z35" s="554"/>
      <c r="AA35" s="554"/>
      <c r="AB35" s="554"/>
      <c r="AC35" s="685"/>
    </row>
    <row r="36" spans="2:33">
      <c r="B36" s="459" t="s">
        <v>805</v>
      </c>
      <c r="C36" s="240" t="s">
        <v>474</v>
      </c>
      <c r="D36" s="275">
        <f>'Haver Pivoted'!GO37</f>
        <v>733.6</v>
      </c>
      <c r="E36" s="234">
        <f>'Haver Pivoted'!GP37</f>
        <v>744.2</v>
      </c>
      <c r="F36" s="234">
        <f>'Haver Pivoted'!GQ37</f>
        <v>762.1</v>
      </c>
      <c r="G36" s="234">
        <f>'Haver Pivoted'!GR37</f>
        <v>772.2</v>
      </c>
      <c r="H36" s="234">
        <f>'Haver Pivoted'!GS37</f>
        <v>772.4</v>
      </c>
      <c r="I36" s="234">
        <f>'Haver Pivoted'!GT37</f>
        <v>761.7</v>
      </c>
      <c r="J36" s="234">
        <f>'Haver Pivoted'!GU37</f>
        <v>812.1</v>
      </c>
      <c r="K36" s="234">
        <f>'Haver Pivoted'!GV37</f>
        <v>850.2</v>
      </c>
      <c r="L36" s="234">
        <f>'Haver Pivoted'!GW37</f>
        <v>838.8</v>
      </c>
      <c r="M36" s="234">
        <f>'Haver Pivoted'!GX37</f>
        <v>866.1</v>
      </c>
      <c r="N36" s="234">
        <f>'Haver Pivoted'!GY37</f>
        <v>908</v>
      </c>
      <c r="O36" s="234">
        <f>'Haver Pivoted'!GZ37</f>
        <v>915.6</v>
      </c>
      <c r="P36" s="234">
        <f>'Haver Pivoted'!HA37</f>
        <v>912.9</v>
      </c>
      <c r="Q36" s="234">
        <f>'Haver Pivoted'!HB37</f>
        <v>960.5</v>
      </c>
      <c r="R36" s="234">
        <f>'Haver Pivoted'!HC37</f>
        <v>995.3</v>
      </c>
      <c r="S36" s="632">
        <f>'Haver Pivoted'!HD37</f>
        <v>1015.5</v>
      </c>
      <c r="T36" s="632">
        <f>'Haver Pivoted'!HE37</f>
        <v>1078.2</v>
      </c>
      <c r="U36" s="632">
        <f>'Haver Pivoted'!HF37</f>
        <v>1055.7</v>
      </c>
      <c r="V36" s="662">
        <f>'Haver Pivoted'!HG37</f>
        <v>1087.5</v>
      </c>
      <c r="W36" s="662">
        <f>'Haver Pivoted'!HH37</f>
        <v>1057.5999999999999</v>
      </c>
      <c r="X36" s="662">
        <f>'Haver Pivoted'!HI37</f>
        <v>1045.2</v>
      </c>
      <c r="Y36" s="662">
        <f>'Haver Pivoted'!HJ37</f>
        <v>1094.8</v>
      </c>
      <c r="Z36" s="676"/>
      <c r="AA36" s="676"/>
      <c r="AB36" s="676"/>
      <c r="AC36" s="731"/>
    </row>
    <row r="37" spans="2:33">
      <c r="B37" s="548" t="s">
        <v>209</v>
      </c>
      <c r="C37" s="240"/>
      <c r="D37" s="592">
        <f>Medicaid!D27</f>
        <v>589.5</v>
      </c>
      <c r="E37" s="552">
        <f>Medicaid!E27</f>
        <v>598.70000000000005</v>
      </c>
      <c r="F37" s="552">
        <f>Medicaid!F27</f>
        <v>614.4</v>
      </c>
      <c r="G37" s="552">
        <f>Medicaid!G27</f>
        <v>622.4</v>
      </c>
      <c r="H37" s="552">
        <f>Medicaid!H27</f>
        <v>620.6</v>
      </c>
      <c r="I37" s="552">
        <f>Medicaid!I27</f>
        <v>606.4</v>
      </c>
      <c r="J37" s="552">
        <f>Medicaid!J27</f>
        <v>654.6</v>
      </c>
      <c r="K37" s="552">
        <f>Medicaid!K27</f>
        <v>690.8</v>
      </c>
      <c r="L37" s="552">
        <f>Medicaid!L27</f>
        <v>678.6</v>
      </c>
      <c r="M37" s="552">
        <f>Medicaid!M27</f>
        <v>705</v>
      </c>
      <c r="N37" s="552">
        <f>Medicaid!N27</f>
        <v>745.7</v>
      </c>
      <c r="O37" s="552">
        <f>Medicaid!O27</f>
        <v>749.2</v>
      </c>
      <c r="P37" s="552">
        <f>Medicaid!P27</f>
        <v>746.1</v>
      </c>
      <c r="Q37" s="552">
        <f>Medicaid!Q27</f>
        <v>791.4</v>
      </c>
      <c r="R37" s="552">
        <f>Medicaid!R27</f>
        <v>818.7</v>
      </c>
      <c r="S37" s="632">
        <f>Medicaid!S27</f>
        <v>819</v>
      </c>
      <c r="T37" s="552">
        <f>Medicaid!T27</f>
        <v>828.4</v>
      </c>
      <c r="U37" s="552">
        <f>Medicaid!U27</f>
        <v>871.5</v>
      </c>
      <c r="V37" s="552">
        <f>Medicaid!V27</f>
        <v>911.4</v>
      </c>
      <c r="W37" s="552">
        <f>Medicaid!W27</f>
        <v>880.6</v>
      </c>
      <c r="X37" s="673">
        <f>Medicaid!X27</f>
        <v>868.3</v>
      </c>
      <c r="Y37" s="673">
        <f>Medicaid!Y27</f>
        <v>916.9</v>
      </c>
      <c r="Z37" s="673">
        <f>Medicaid!Z27</f>
        <v>945.8279179001787</v>
      </c>
      <c r="AA37" s="673">
        <f>Medicaid!AA27</f>
        <v>951.94285981860958</v>
      </c>
      <c r="AB37" s="673">
        <f>Medicaid!AB27</f>
        <v>955.42071262795628</v>
      </c>
      <c r="AC37" s="718">
        <f>Medicaid!AC27</f>
        <v>958.91127151523483</v>
      </c>
    </row>
    <row r="38" spans="2:33" ht="14.9" customHeight="1">
      <c r="B38" s="580" t="s">
        <v>806</v>
      </c>
      <c r="C38" s="263"/>
      <c r="D38" s="591">
        <f>D36-D37</f>
        <v>144.10000000000002</v>
      </c>
      <c r="E38" s="549">
        <f t="shared" ref="E38:O38" si="13">E36-E37</f>
        <v>145.5</v>
      </c>
      <c r="F38" s="549">
        <f t="shared" si="13"/>
        <v>147.70000000000005</v>
      </c>
      <c r="G38" s="549">
        <f t="shared" si="13"/>
        <v>149.80000000000007</v>
      </c>
      <c r="H38" s="549">
        <f t="shared" si="13"/>
        <v>151.79999999999995</v>
      </c>
      <c r="I38" s="549">
        <f t="shared" si="13"/>
        <v>155.30000000000007</v>
      </c>
      <c r="J38" s="549">
        <f t="shared" si="13"/>
        <v>157.5</v>
      </c>
      <c r="K38" s="549">
        <f t="shared" si="13"/>
        <v>159.40000000000009</v>
      </c>
      <c r="L38" s="549">
        <f t="shared" si="13"/>
        <v>160.19999999999993</v>
      </c>
      <c r="M38" s="549">
        <f t="shared" si="13"/>
        <v>161.10000000000002</v>
      </c>
      <c r="N38" s="549">
        <f t="shared" si="13"/>
        <v>162.29999999999995</v>
      </c>
      <c r="O38" s="549">
        <f t="shared" si="13"/>
        <v>166.39999999999998</v>
      </c>
      <c r="P38" s="549">
        <f>P36-P37</f>
        <v>166.79999999999995</v>
      </c>
      <c r="Q38" s="549">
        <f>Q36-Q37</f>
        <v>169.10000000000002</v>
      </c>
      <c r="R38" s="549">
        <f>R36-R37</f>
        <v>176.59999999999991</v>
      </c>
      <c r="S38" s="632">
        <f>S36-S37</f>
        <v>196.5</v>
      </c>
      <c r="T38" s="632">
        <f>T36-T37</f>
        <v>249.80000000000007</v>
      </c>
      <c r="U38" s="549">
        <f>T38*(1+AVERAGE($F$40:$I$40))+U39</f>
        <v>183.90584224202988</v>
      </c>
      <c r="V38" s="549">
        <f>U38*(1+AVERAGE($F$40:$I$40))+V39</f>
        <v>186.92861396193939</v>
      </c>
      <c r="W38" s="549">
        <f t="shared" ref="W38:AA38" si="14">V38*(1+AVERAGE($F$40:$I$40))</f>
        <v>190.00106952418523</v>
      </c>
      <c r="X38" s="554">
        <f>W38*(1+AVERAGE($F$40:$I$40))</f>
        <v>193.12402555814535</v>
      </c>
      <c r="Y38" s="554">
        <f t="shared" si="14"/>
        <v>196.29831211574134</v>
      </c>
      <c r="Z38" s="554">
        <f t="shared" si="14"/>
        <v>199.52477289205825</v>
      </c>
      <c r="AA38" s="554">
        <f t="shared" si="14"/>
        <v>202.80426544959073</v>
      </c>
      <c r="AB38" s="554">
        <f>AA38*(1+AVERAGE($F$40:$I$40))</f>
        <v>206.137661446175</v>
      </c>
      <c r="AC38" s="554">
        <f t="shared" ref="AC38:AG38" si="15">AB38*(1+AVERAGE($F$40:$I$40))</f>
        <v>209.52584686666717</v>
      </c>
      <c r="AD38" s="554">
        <f t="shared" si="15"/>
        <v>212.9697222584295</v>
      </c>
      <c r="AE38" s="554">
        <f t="shared" si="15"/>
        <v>216.47020297068735</v>
      </c>
      <c r="AF38" s="554">
        <f t="shared" si="15"/>
        <v>220.02821939782032</v>
      </c>
      <c r="AG38" s="554">
        <f t="shared" si="15"/>
        <v>223.64471722665206</v>
      </c>
    </row>
    <row r="39" spans="2:33" ht="14.9" customHeight="1">
      <c r="B39" s="580" t="s">
        <v>1695</v>
      </c>
      <c r="C39" s="263"/>
      <c r="D39" s="591"/>
      <c r="E39" s="549"/>
      <c r="F39" s="549"/>
      <c r="G39" s="549"/>
      <c r="H39" s="549"/>
      <c r="I39" s="549"/>
      <c r="J39" s="549"/>
      <c r="K39" s="549"/>
      <c r="L39" s="549"/>
      <c r="M39" s="549"/>
      <c r="N39" s="549"/>
      <c r="O39" s="549"/>
      <c r="P39" s="549"/>
      <c r="Q39" s="549"/>
      <c r="R39" s="549"/>
      <c r="S39" s="632"/>
      <c r="T39" s="549"/>
      <c r="U39" s="549">
        <v>-70</v>
      </c>
      <c r="V39" s="549"/>
      <c r="W39" s="549"/>
      <c r="X39" s="554"/>
      <c r="Y39" s="554"/>
      <c r="Z39" s="554"/>
      <c r="AA39" s="554"/>
      <c r="AB39" s="554"/>
      <c r="AC39" s="685"/>
    </row>
    <row r="40" spans="2:33">
      <c r="B40" s="712" t="s">
        <v>807</v>
      </c>
      <c r="C40" s="358"/>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2">
        <f t="shared" si="17"/>
        <v>0.1126840317100799</v>
      </c>
      <c r="T40" s="551"/>
      <c r="U40" s="551"/>
      <c r="V40" s="551"/>
      <c r="W40" s="551"/>
      <c r="X40" s="587"/>
      <c r="Y40" s="587"/>
      <c r="Z40" s="587"/>
      <c r="AA40" s="587"/>
      <c r="AB40" s="587"/>
      <c r="AC40" s="684"/>
    </row>
    <row r="44" spans="2:33">
      <c r="P44" s="483"/>
      <c r="Q44" s="483"/>
    </row>
    <row r="45" spans="2:33">
      <c r="B45" s="514" t="s">
        <v>352</v>
      </c>
      <c r="D45" s="552"/>
      <c r="E45" s="552"/>
      <c r="F45" s="552"/>
      <c r="G45" s="552"/>
      <c r="H45" s="552"/>
      <c r="I45" s="552"/>
      <c r="J45" s="552"/>
      <c r="K45" s="552"/>
      <c r="L45" s="552"/>
      <c r="M45" s="552"/>
      <c r="N45" s="552"/>
      <c r="O45" s="552"/>
      <c r="P45" s="552"/>
      <c r="Q45" s="552"/>
      <c r="R45" s="552"/>
      <c r="S45" s="552"/>
      <c r="T45" s="552"/>
      <c r="U45" s="552"/>
      <c r="V45" s="552"/>
      <c r="W45" s="552"/>
      <c r="X45" s="552"/>
      <c r="Y45" s="552"/>
      <c r="Z45" s="552"/>
      <c r="AA45" s="552"/>
      <c r="AB45" s="552"/>
      <c r="AC45" s="552"/>
    </row>
    <row r="46" spans="2:33" ht="45.75" customHeight="1">
      <c r="B46" s="1395" t="s">
        <v>477</v>
      </c>
      <c r="C46" s="1395"/>
      <c r="D46" s="1395"/>
      <c r="E46" s="1395"/>
      <c r="F46" s="1395"/>
      <c r="G46" s="1395"/>
      <c r="H46" s="1395"/>
      <c r="I46" s="1395"/>
      <c r="J46" s="1395"/>
      <c r="K46" s="1395"/>
      <c r="L46" s="1395"/>
      <c r="M46" s="1395"/>
      <c r="N46" s="1395"/>
      <c r="O46" s="1395"/>
      <c r="P46" s="1395"/>
      <c r="Q46" s="1395"/>
      <c r="R46" s="1395"/>
      <c r="S46" s="1395"/>
      <c r="T46" s="1395"/>
      <c r="U46" s="1395"/>
      <c r="V46" s="1395"/>
      <c r="W46" s="1395"/>
      <c r="X46" s="1395"/>
      <c r="Y46" s="1395"/>
      <c r="Z46" s="1395"/>
      <c r="AA46" s="1395"/>
      <c r="AB46" s="1395"/>
      <c r="AC46" s="1395"/>
    </row>
    <row r="47" spans="2:33" ht="14.9" customHeight="1">
      <c r="B47" s="1304" t="s">
        <v>478</v>
      </c>
      <c r="C47" s="1305"/>
      <c r="D47" s="1368" t="s">
        <v>280</v>
      </c>
      <c r="E47" s="1369"/>
      <c r="F47" s="1369"/>
      <c r="G47" s="1369"/>
      <c r="H47" s="1369"/>
      <c r="I47" s="1369"/>
      <c r="J47" s="1369"/>
      <c r="K47" s="1369"/>
      <c r="L47" s="1369"/>
      <c r="M47" s="1369"/>
      <c r="N47" s="1369"/>
      <c r="O47" s="1369"/>
      <c r="P47" s="1369"/>
      <c r="Q47" s="1369"/>
      <c r="R47" s="1369"/>
      <c r="S47" s="1369"/>
      <c r="T47" s="1369"/>
      <c r="U47" s="1369"/>
      <c r="V47" s="1401"/>
      <c r="W47" s="1331" t="s">
        <v>281</v>
      </c>
      <c r="X47" s="1332"/>
      <c r="Y47" s="1332"/>
      <c r="Z47" s="1332"/>
      <c r="AA47" s="1332"/>
      <c r="AB47" s="1332"/>
      <c r="AC47" s="1332"/>
      <c r="AD47" s="1332"/>
      <c r="AE47" s="1332"/>
      <c r="AF47" s="1332"/>
      <c r="AG47" s="1332"/>
    </row>
    <row r="48" spans="2:33">
      <c r="B48" s="1304"/>
      <c r="C48" s="1305"/>
      <c r="D48" s="219">
        <v>2018</v>
      </c>
      <c r="E48" s="1311">
        <v>2019</v>
      </c>
      <c r="F48" s="1312"/>
      <c r="G48" s="1312"/>
      <c r="H48" s="1313"/>
      <c r="I48" s="1311">
        <v>2020</v>
      </c>
      <c r="J48" s="1312"/>
      <c r="K48" s="1312"/>
      <c r="L48" s="1312"/>
      <c r="M48" s="1311">
        <v>2021</v>
      </c>
      <c r="N48" s="1312"/>
      <c r="O48" s="1312"/>
      <c r="P48" s="1312"/>
      <c r="Q48" s="1311">
        <v>2022</v>
      </c>
      <c r="R48" s="1333"/>
      <c r="S48" s="1333"/>
      <c r="T48" s="1313"/>
      <c r="U48" s="288"/>
      <c r="V48" s="557">
        <v>2023</v>
      </c>
      <c r="W48" s="553"/>
      <c r="X48" s="260"/>
      <c r="Y48" s="1308">
        <v>2024</v>
      </c>
      <c r="Z48" s="1321"/>
      <c r="AA48" s="1321"/>
      <c r="AB48" s="1310"/>
      <c r="AC48" s="1308">
        <v>2025</v>
      </c>
      <c r="AD48" s="1321"/>
      <c r="AE48" s="1321"/>
      <c r="AF48" s="1310"/>
      <c r="AG48" s="503">
        <v>2026</v>
      </c>
    </row>
    <row r="49" spans="2:33">
      <c r="B49" s="1306"/>
      <c r="C49" s="1307"/>
      <c r="D49" s="214" t="s">
        <v>282</v>
      </c>
      <c r="E49" s="214" t="s">
        <v>283</v>
      </c>
      <c r="F49" s="215" t="s">
        <v>284</v>
      </c>
      <c r="G49" s="215" t="s">
        <v>238</v>
      </c>
      <c r="H49" s="216" t="s">
        <v>282</v>
      </c>
      <c r="I49" s="215" t="s">
        <v>283</v>
      </c>
      <c r="J49" s="215" t="s">
        <v>284</v>
      </c>
      <c r="K49" s="215" t="s">
        <v>238</v>
      </c>
      <c r="L49" s="215" t="s">
        <v>282</v>
      </c>
      <c r="M49" s="214" t="s">
        <v>283</v>
      </c>
      <c r="N49" s="215" t="s">
        <v>284</v>
      </c>
      <c r="O49" s="215" t="s">
        <v>238</v>
      </c>
      <c r="P49" s="215" t="s">
        <v>282</v>
      </c>
      <c r="Q49" s="214" t="s">
        <v>283</v>
      </c>
      <c r="R49" s="215" t="s">
        <v>284</v>
      </c>
      <c r="S49" s="215" t="s">
        <v>238</v>
      </c>
      <c r="T49" s="216" t="s">
        <v>282</v>
      </c>
      <c r="U49" s="215" t="s">
        <v>283</v>
      </c>
      <c r="V49" s="286" t="s">
        <v>284</v>
      </c>
      <c r="W49" s="270" t="s">
        <v>238</v>
      </c>
      <c r="X49" s="271" t="s">
        <v>282</v>
      </c>
      <c r="Y49" s="269" t="s">
        <v>283</v>
      </c>
      <c r="Z49" s="267" t="s">
        <v>284</v>
      </c>
      <c r="AA49" s="270" t="s">
        <v>238</v>
      </c>
      <c r="AB49" s="270" t="s">
        <v>282</v>
      </c>
      <c r="AC49" s="269" t="s">
        <v>283</v>
      </c>
      <c r="AD49" s="267" t="s">
        <v>284</v>
      </c>
      <c r="AE49" s="270" t="s">
        <v>238</v>
      </c>
      <c r="AF49" s="270" t="s">
        <v>282</v>
      </c>
      <c r="AG49" s="269" t="s">
        <v>283</v>
      </c>
    </row>
    <row r="50" spans="2:33">
      <c r="B50" s="548" t="s">
        <v>1434</v>
      </c>
      <c r="D50" s="253"/>
      <c r="E50" s="308"/>
      <c r="F50" s="308"/>
      <c r="G50" s="308"/>
      <c r="H50" s="308"/>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721">
        <f t="shared" ref="Z50:AC50" si="20">Y50</f>
        <v>38.275749999999995</v>
      </c>
      <c r="AA50" s="721">
        <f t="shared" si="20"/>
        <v>38.275749999999995</v>
      </c>
      <c r="AB50" s="721">
        <f t="shared" si="20"/>
        <v>38.275749999999995</v>
      </c>
      <c r="AC50" s="682">
        <f t="shared" si="20"/>
        <v>38.275749999999995</v>
      </c>
      <c r="AD50" s="721">
        <f t="shared" ref="AD50" si="21">AC50</f>
        <v>38.275749999999995</v>
      </c>
      <c r="AE50" s="721">
        <f t="shared" ref="AE50" si="22">AD50</f>
        <v>38.275749999999995</v>
      </c>
      <c r="AF50" s="721">
        <f t="shared" ref="AF50" si="23">AE50</f>
        <v>38.275749999999995</v>
      </c>
      <c r="AG50" s="721">
        <f t="shared" ref="AG50" si="24">AF50</f>
        <v>38.275749999999995</v>
      </c>
    </row>
    <row r="51" spans="2:33">
      <c r="B51" s="548" t="s">
        <v>160</v>
      </c>
      <c r="C51" s="240" t="s">
        <v>479</v>
      </c>
      <c r="D51" s="275">
        <f>'Haver Pivoted'!GO66</f>
        <v>57.017000000000003</v>
      </c>
      <c r="E51" s="234">
        <f>'Haver Pivoted'!GP66</f>
        <v>55.847999999999999</v>
      </c>
      <c r="F51" s="234">
        <f>'Haver Pivoted'!GQ66</f>
        <v>54.531999999999996</v>
      </c>
      <c r="G51" s="234">
        <f>'Haver Pivoted'!GR66</f>
        <v>54.451999999999998</v>
      </c>
      <c r="H51" s="234">
        <f>'Haver Pivoted'!GS66</f>
        <v>54.012999999999998</v>
      </c>
      <c r="I51" s="234">
        <f>'Haver Pivoted'!GT66</f>
        <v>61.353000000000002</v>
      </c>
      <c r="J51" s="234">
        <f>'Haver Pivoted'!GU66</f>
        <v>106.1</v>
      </c>
      <c r="K51" s="234">
        <f>'Haver Pivoted'!GV66</f>
        <v>110.04900000000001</v>
      </c>
      <c r="L51" s="234">
        <f>'Haver Pivoted'!GW66</f>
        <v>117.309</v>
      </c>
      <c r="M51" s="234">
        <f>'Haver Pivoted'!GX66</f>
        <v>142.78899999999999</v>
      </c>
      <c r="N51" s="234">
        <f>'Haver Pivoted'!GY66</f>
        <v>157.602</v>
      </c>
      <c r="O51" s="234">
        <f>'Haver Pivoted'!GZ66</f>
        <v>149.11600000000001</v>
      </c>
      <c r="P51" s="234">
        <f>'Haver Pivoted'!HA66</f>
        <v>146.631</v>
      </c>
      <c r="Q51" s="234">
        <f>'Haver Pivoted'!HB66</f>
        <v>134.809</v>
      </c>
      <c r="R51" s="234">
        <f>'Haver Pivoted'!HC66</f>
        <v>123.735</v>
      </c>
      <c r="S51" s="215">
        <f>'Haver Pivoted'!HD66</f>
        <v>116.06100000000001</v>
      </c>
      <c r="T51" s="215">
        <f>'Haver Pivoted'!HE66</f>
        <v>136.14500000000001</v>
      </c>
      <c r="U51" s="215">
        <f>'Haver Pivoted'!HF66</f>
        <v>130.17699999999999</v>
      </c>
      <c r="V51" s="215">
        <f>'Haver Pivoted'!HG66</f>
        <v>103.13</v>
      </c>
      <c r="W51" s="215">
        <f>'Haver Pivoted'!HH66</f>
        <v>103.06100000000001</v>
      </c>
      <c r="X51" s="215">
        <f>'Haver Pivoted'!HI66</f>
        <v>92.111999999999995</v>
      </c>
      <c r="Y51" s="215">
        <f>'Haver Pivoted'!HJ66</f>
        <v>92.986999999999995</v>
      </c>
      <c r="Z51" s="326"/>
      <c r="AA51" s="326"/>
      <c r="AB51" s="326"/>
      <c r="AC51" s="326"/>
      <c r="AD51" s="505"/>
      <c r="AE51" s="505"/>
      <c r="AF51" s="505"/>
      <c r="AG51" s="505"/>
    </row>
    <row r="52" spans="2:33" ht="29.15" customHeight="1">
      <c r="B52" s="357" t="s">
        <v>480</v>
      </c>
      <c r="C52" s="358"/>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6">
        <f t="shared" si="25"/>
        <v>62.048000000000009</v>
      </c>
      <c r="T52" s="286">
        <f t="shared" si="25"/>
        <v>82.132000000000005</v>
      </c>
      <c r="U52" s="286">
        <f t="shared" si="25"/>
        <v>76.163999999999987</v>
      </c>
      <c r="V52" s="286">
        <f t="shared" si="25"/>
        <v>49.116999999999997</v>
      </c>
      <c r="W52" s="286">
        <f t="shared" si="25"/>
        <v>49.048000000000009</v>
      </c>
      <c r="X52" s="286">
        <f t="shared" ref="X52:Y52" si="26">X51-$H51</f>
        <v>38.098999999999997</v>
      </c>
      <c r="Y52" s="286">
        <f t="shared" si="26"/>
        <v>38.973999999999997</v>
      </c>
      <c r="Z52" s="270"/>
      <c r="AA52" s="270"/>
      <c r="AB52" s="270"/>
      <c r="AC52" s="270"/>
      <c r="AD52" s="505"/>
      <c r="AE52" s="505"/>
      <c r="AF52" s="505"/>
      <c r="AG52" s="505"/>
    </row>
    <row r="53" spans="2:33" ht="29.15" customHeight="1">
      <c r="B53" s="240"/>
      <c r="C53" s="240"/>
      <c r="D53" s="234"/>
      <c r="E53" s="234"/>
      <c r="F53" s="234"/>
      <c r="G53" s="234"/>
      <c r="H53" s="234"/>
      <c r="I53" s="234"/>
      <c r="J53" s="234"/>
      <c r="K53" s="234"/>
      <c r="L53" s="234"/>
      <c r="M53" s="234"/>
      <c r="N53" s="234"/>
      <c r="O53" s="234"/>
      <c r="P53" s="234"/>
      <c r="Q53" s="234"/>
      <c r="R53" s="234"/>
      <c r="S53" s="234"/>
      <c r="T53" s="234"/>
      <c r="U53" s="234"/>
      <c r="V53" s="234"/>
      <c r="W53" s="234"/>
      <c r="X53" s="234"/>
      <c r="Y53" s="234"/>
      <c r="Z53" s="234"/>
      <c r="AA53" s="234"/>
      <c r="AB53" s="234"/>
      <c r="AC53" s="234"/>
    </row>
    <row r="54" spans="2:33" ht="29.15" customHeight="1">
      <c r="B54" s="240"/>
      <c r="C54" s="240"/>
      <c r="D54" s="234"/>
      <c r="E54" s="234"/>
      <c r="F54" s="234"/>
      <c r="G54" s="234"/>
      <c r="H54" s="234"/>
      <c r="I54" s="234"/>
      <c r="J54" s="234"/>
      <c r="K54" s="234"/>
      <c r="L54" s="234"/>
      <c r="M54" s="234"/>
      <c r="N54" s="234"/>
      <c r="O54" s="234"/>
      <c r="P54" s="234"/>
      <c r="Q54" s="234"/>
      <c r="R54" s="234"/>
      <c r="S54" s="234"/>
      <c r="T54" s="234"/>
      <c r="U54" s="234"/>
      <c r="V54" s="234"/>
      <c r="W54" s="234"/>
      <c r="X54" s="234"/>
      <c r="Y54" s="234"/>
      <c r="Z54" s="234"/>
      <c r="AA54" s="234"/>
      <c r="AB54" s="234"/>
      <c r="AC54" s="234"/>
    </row>
    <row r="55" spans="2:33" ht="29.15" customHeight="1">
      <c r="B55" s="240"/>
      <c r="C55" s="240"/>
      <c r="D55" s="234"/>
      <c r="E55" s="234"/>
      <c r="F55" s="234"/>
      <c r="G55" s="234"/>
      <c r="H55" s="234"/>
      <c r="I55" s="234"/>
      <c r="J55" s="234"/>
      <c r="K55" s="234"/>
      <c r="L55" s="234"/>
      <c r="M55" s="234"/>
      <c r="N55" s="234"/>
      <c r="O55" s="234"/>
      <c r="P55" s="234"/>
      <c r="Q55" s="234"/>
      <c r="R55" s="234"/>
      <c r="S55" s="234"/>
      <c r="T55" s="234"/>
      <c r="U55" s="234"/>
      <c r="V55" s="234"/>
      <c r="W55" s="234"/>
      <c r="X55" s="234"/>
      <c r="Y55" s="234"/>
      <c r="Z55" s="234"/>
      <c r="AA55" s="234"/>
      <c r="AB55" s="234"/>
      <c r="AC55" s="234"/>
    </row>
    <row r="56" spans="2:33" ht="35.9" customHeight="1"/>
    <row r="57" spans="2:33">
      <c r="B57" s="514" t="s">
        <v>365</v>
      </c>
    </row>
    <row r="58" spans="2:33">
      <c r="B58" s="1396" t="s">
        <v>804</v>
      </c>
      <c r="C58" s="1397"/>
      <c r="D58" s="1306" t="s">
        <v>280</v>
      </c>
      <c r="E58" s="1319"/>
      <c r="F58" s="1319"/>
      <c r="G58" s="1319"/>
      <c r="H58" s="1319"/>
      <c r="I58" s="1319"/>
      <c r="J58" s="1319"/>
      <c r="K58" s="1319"/>
      <c r="L58" s="1319"/>
      <c r="M58" s="1319"/>
      <c r="N58" s="1319"/>
      <c r="O58" s="1319"/>
      <c r="P58" s="1319"/>
      <c r="Q58" s="1319"/>
      <c r="R58" s="1319"/>
      <c r="S58" s="1319"/>
      <c r="T58" s="1319"/>
      <c r="U58" s="1319"/>
      <c r="V58" s="1307"/>
      <c r="W58" s="1331" t="s">
        <v>281</v>
      </c>
      <c r="X58" s="1332"/>
      <c r="Y58" s="1332"/>
      <c r="Z58" s="1332"/>
      <c r="AA58" s="1332"/>
      <c r="AB58" s="1332"/>
      <c r="AC58" s="1332"/>
      <c r="AD58" s="1332"/>
      <c r="AE58" s="1332"/>
      <c r="AF58" s="1332"/>
      <c r="AG58" s="1332"/>
    </row>
    <row r="59" spans="2:33">
      <c r="B59" s="1398"/>
      <c r="C59" s="1399"/>
      <c r="D59" s="219">
        <v>2018</v>
      </c>
      <c r="E59" s="1311">
        <v>2019</v>
      </c>
      <c r="F59" s="1312"/>
      <c r="G59" s="1312"/>
      <c r="H59" s="1313"/>
      <c r="I59" s="1311">
        <v>2020</v>
      </c>
      <c r="J59" s="1312"/>
      <c r="K59" s="1312"/>
      <c r="L59" s="1312"/>
      <c r="M59" s="1311">
        <v>2021</v>
      </c>
      <c r="N59" s="1312"/>
      <c r="O59" s="1312"/>
      <c r="P59" s="1312"/>
      <c r="Q59" s="1311">
        <v>2022</v>
      </c>
      <c r="R59" s="1333"/>
      <c r="S59" s="1333"/>
      <c r="T59" s="1313"/>
      <c r="U59" s="288"/>
      <c r="V59" s="557">
        <v>2023</v>
      </c>
      <c r="W59" s="553"/>
      <c r="X59" s="260"/>
      <c r="Y59" s="1308">
        <v>2024</v>
      </c>
      <c r="Z59" s="1321"/>
      <c r="AA59" s="1321"/>
      <c r="AB59" s="1310"/>
      <c r="AC59" s="1308">
        <v>2025</v>
      </c>
      <c r="AD59" s="1321"/>
      <c r="AE59" s="1321"/>
      <c r="AF59" s="1310"/>
      <c r="AG59" s="503">
        <v>2026</v>
      </c>
    </row>
    <row r="60" spans="2:33">
      <c r="B60" s="1398"/>
      <c r="C60" s="1399"/>
      <c r="D60" s="214" t="s">
        <v>282</v>
      </c>
      <c r="E60" s="214" t="s">
        <v>283</v>
      </c>
      <c r="F60" s="215" t="s">
        <v>284</v>
      </c>
      <c r="G60" s="215" t="s">
        <v>238</v>
      </c>
      <c r="H60" s="216" t="s">
        <v>282</v>
      </c>
      <c r="I60" s="215" t="s">
        <v>283</v>
      </c>
      <c r="J60" s="215" t="s">
        <v>284</v>
      </c>
      <c r="K60" s="215" t="s">
        <v>238</v>
      </c>
      <c r="L60" s="215" t="s">
        <v>282</v>
      </c>
      <c r="M60" s="214" t="s">
        <v>283</v>
      </c>
      <c r="N60" s="215" t="s">
        <v>284</v>
      </c>
      <c r="O60" s="215" t="s">
        <v>238</v>
      </c>
      <c r="P60" s="215" t="s">
        <v>282</v>
      </c>
      <c r="Q60" s="214" t="s">
        <v>283</v>
      </c>
      <c r="R60" s="215" t="s">
        <v>284</v>
      </c>
      <c r="S60" s="215" t="s">
        <v>238</v>
      </c>
      <c r="T60" s="216" t="s">
        <v>282</v>
      </c>
      <c r="U60" s="215" t="s">
        <v>283</v>
      </c>
      <c r="V60" s="286" t="s">
        <v>284</v>
      </c>
      <c r="W60" s="270" t="s">
        <v>238</v>
      </c>
      <c r="X60" s="271" t="s">
        <v>282</v>
      </c>
      <c r="Y60" s="269" t="s">
        <v>283</v>
      </c>
      <c r="Z60" s="267" t="s">
        <v>284</v>
      </c>
      <c r="AA60" s="270" t="s">
        <v>238</v>
      </c>
      <c r="AB60" s="270" t="s">
        <v>282</v>
      </c>
      <c r="AC60" s="269" t="s">
        <v>283</v>
      </c>
      <c r="AD60" s="267" t="s">
        <v>284</v>
      </c>
      <c r="AE60" s="270" t="s">
        <v>238</v>
      </c>
      <c r="AF60" s="270" t="s">
        <v>282</v>
      </c>
      <c r="AG60" s="269" t="s">
        <v>283</v>
      </c>
    </row>
    <row r="61" spans="2:33" ht="25.75" customHeight="1">
      <c r="B61" s="672" t="s">
        <v>467</v>
      </c>
      <c r="C61" s="441" t="s">
        <v>468</v>
      </c>
      <c r="D61" s="366">
        <f>'Haver Pivoted'!GO31</f>
        <v>2223</v>
      </c>
      <c r="E61" s="367">
        <f>'Haver Pivoted'!GP31</f>
        <v>2303.6</v>
      </c>
      <c r="F61" s="367">
        <f>'Haver Pivoted'!GQ31</f>
        <v>2320.1</v>
      </c>
      <c r="G61" s="367">
        <f>'Haver Pivoted'!GR31</f>
        <v>2332.9</v>
      </c>
      <c r="H61" s="367">
        <f>'Haver Pivoted'!GS31</f>
        <v>2346.6</v>
      </c>
      <c r="I61" s="367">
        <f>'Haver Pivoted'!GT31</f>
        <v>2412.6</v>
      </c>
      <c r="J61" s="367">
        <f>'Haver Pivoted'!GU31</f>
        <v>4652.1000000000004</v>
      </c>
      <c r="K61" s="367">
        <f>'Haver Pivoted'!GV31</f>
        <v>3508</v>
      </c>
      <c r="L61" s="367">
        <f>'Haver Pivoted'!GW31</f>
        <v>2895.4</v>
      </c>
      <c r="M61" s="367">
        <f>'Haver Pivoted'!GX31</f>
        <v>5127.3999999999996</v>
      </c>
      <c r="N61" s="367">
        <f>'Haver Pivoted'!GY31</f>
        <v>3403.8</v>
      </c>
      <c r="O61" s="367">
        <f>'Haver Pivoted'!GZ31</f>
        <v>3135</v>
      </c>
      <c r="P61" s="367">
        <f>'Haver Pivoted'!HA31</f>
        <v>2947.7</v>
      </c>
      <c r="Q61" s="367">
        <f>'Haver Pivoted'!HB31</f>
        <v>2903.2</v>
      </c>
      <c r="R61" s="367">
        <f>'Haver Pivoted'!HC31</f>
        <v>2895.2</v>
      </c>
      <c r="S61" s="368">
        <f>'Haver Pivoted'!HD31</f>
        <v>2867.4</v>
      </c>
      <c r="T61" s="683">
        <f>'Haver Pivoted'!HE31</f>
        <v>2896.7</v>
      </c>
      <c r="U61" s="368">
        <f>'Haver Pivoted'!HF31</f>
        <v>2945.8</v>
      </c>
      <c r="V61" s="368">
        <f>'Haver Pivoted'!HG31</f>
        <v>2929.7</v>
      </c>
      <c r="W61" s="368">
        <f>'Haver Pivoted'!HH31</f>
        <v>2930.1</v>
      </c>
      <c r="X61" s="368">
        <f>'Haver Pivoted'!HI31</f>
        <v>2934</v>
      </c>
      <c r="Y61" s="368">
        <f>'Haver Pivoted'!HJ31</f>
        <v>3040.2</v>
      </c>
      <c r="Z61" s="693"/>
      <c r="AA61" s="693"/>
      <c r="AB61" s="693"/>
      <c r="AC61" s="735"/>
      <c r="AD61" s="735"/>
      <c r="AE61" s="735"/>
      <c r="AF61" s="735"/>
      <c r="AG61" s="505"/>
    </row>
    <row r="62" spans="2:33" ht="25.75" customHeight="1">
      <c r="B62" s="478" t="s">
        <v>1850</v>
      </c>
      <c r="C62" s="240"/>
      <c r="D62" s="711">
        <f>D63+D64</f>
        <v>812.1</v>
      </c>
      <c r="E62" s="439">
        <f>E63+E64</f>
        <v>832.4</v>
      </c>
      <c r="F62" s="439">
        <f>F63+F64</f>
        <v>843</v>
      </c>
      <c r="G62" s="439">
        <f t="shared" ref="G62:N62" si="27">G63+G64</f>
        <v>848.9</v>
      </c>
      <c r="H62" s="439">
        <f t="shared" si="27"/>
        <v>854.6</v>
      </c>
      <c r="I62" s="439">
        <f t="shared" si="27"/>
        <v>875.94174999999996</v>
      </c>
      <c r="J62" s="439">
        <f t="shared" si="27"/>
        <v>3140.0887499999999</v>
      </c>
      <c r="K62" s="439">
        <f t="shared" si="27"/>
        <v>1866.1377500000001</v>
      </c>
      <c r="L62" s="439">
        <f t="shared" si="27"/>
        <v>1314.69775</v>
      </c>
      <c r="M62" s="439">
        <f t="shared" si="27"/>
        <v>3522.1777499999998</v>
      </c>
      <c r="N62" s="439">
        <f t="shared" si="27"/>
        <v>1820.5125900000003</v>
      </c>
      <c r="O62" s="439">
        <f>O63+O64</f>
        <v>1547.208243333333</v>
      </c>
      <c r="P62" s="439">
        <f t="shared" ref="P62" si="28">P63+P64</f>
        <v>1369.7290833333329</v>
      </c>
      <c r="Q62" s="439">
        <f t="shared" ref="Q62" si="29">Q63+Q64</f>
        <v>1218.1737499999999</v>
      </c>
      <c r="R62" s="439">
        <f t="shared" ref="R62" si="30">R63+R64</f>
        <v>1201.89975</v>
      </c>
      <c r="S62" s="678">
        <f>S63+S64</f>
        <v>1182.4037500000002</v>
      </c>
      <c r="T62" s="678">
        <f t="shared" ref="T62" si="31">T63+T64</f>
        <v>1190.2397500000002</v>
      </c>
      <c r="U62" s="678">
        <f t="shared" ref="U62" si="32">U63+U64</f>
        <v>1104.87175</v>
      </c>
      <c r="V62" s="678">
        <f>V63+V64</f>
        <v>1082.2533214285713</v>
      </c>
      <c r="W62" s="678">
        <f>W63+W64</f>
        <v>1086.5843214285715</v>
      </c>
      <c r="X62" s="678">
        <f>X63+X64</f>
        <v>1066.5407499999999</v>
      </c>
      <c r="Y62" s="678">
        <f>Y63+Y64</f>
        <v>1081.4157499999999</v>
      </c>
      <c r="Z62" s="438"/>
      <c r="AA62" s="438"/>
      <c r="AB62" s="438"/>
      <c r="AC62" s="438"/>
      <c r="AD62" s="438"/>
      <c r="AE62" s="438"/>
      <c r="AF62" s="438"/>
      <c r="AG62" s="505"/>
    </row>
    <row r="63" spans="2:33" ht="25.75" customHeight="1">
      <c r="B63" s="425" t="s">
        <v>1848</v>
      </c>
      <c r="C63" s="240"/>
      <c r="D63" s="711">
        <f t="shared" ref="D63:Y63" si="33">D14+D17+D27</f>
        <v>812.1</v>
      </c>
      <c r="E63" s="711">
        <f t="shared" si="33"/>
        <v>832.4</v>
      </c>
      <c r="F63" s="439">
        <f t="shared" si="33"/>
        <v>843</v>
      </c>
      <c r="G63" s="439">
        <f t="shared" si="33"/>
        <v>848.9</v>
      </c>
      <c r="H63" s="439">
        <f t="shared" si="33"/>
        <v>854.6</v>
      </c>
      <c r="I63" s="439">
        <f t="shared" si="33"/>
        <v>869.3</v>
      </c>
      <c r="J63" s="439">
        <f t="shared" si="33"/>
        <v>1792.5</v>
      </c>
      <c r="K63" s="439">
        <f t="shared" si="33"/>
        <v>1655.6000000000001</v>
      </c>
      <c r="L63" s="439">
        <f t="shared" si="33"/>
        <v>1188.2</v>
      </c>
      <c r="M63" s="439">
        <f t="shared" si="33"/>
        <v>1467.3000000000002</v>
      </c>
      <c r="N63" s="439">
        <f t="shared" si="33"/>
        <v>1351.8000000000002</v>
      </c>
      <c r="O63" s="439">
        <f t="shared" si="33"/>
        <v>1328.333333333333</v>
      </c>
      <c r="P63" s="439">
        <f t="shared" si="33"/>
        <v>1157.333333333333</v>
      </c>
      <c r="Q63" s="439">
        <f t="shared" si="33"/>
        <v>1038.7</v>
      </c>
      <c r="R63" s="439">
        <f t="shared" si="33"/>
        <v>1040.4000000000001</v>
      </c>
      <c r="S63" s="678">
        <f t="shared" si="33"/>
        <v>1041.1000000000001</v>
      </c>
      <c r="T63" s="678">
        <f t="shared" si="33"/>
        <v>1050.6000000000001</v>
      </c>
      <c r="U63" s="678">
        <f t="shared" si="33"/>
        <v>994.1</v>
      </c>
      <c r="V63" s="678">
        <f t="shared" si="33"/>
        <v>998.52857142857135</v>
      </c>
      <c r="W63" s="678">
        <f t="shared" si="33"/>
        <v>1002.9285714285713</v>
      </c>
      <c r="X63" s="678">
        <f t="shared" si="33"/>
        <v>1008</v>
      </c>
      <c r="Y63" s="678">
        <f t="shared" si="33"/>
        <v>1022</v>
      </c>
      <c r="Z63" s="438"/>
      <c r="AA63" s="438"/>
      <c r="AB63" s="438"/>
      <c r="AC63" s="438"/>
      <c r="AD63" s="438"/>
      <c r="AE63" s="438"/>
      <c r="AF63" s="438"/>
      <c r="AG63" s="438"/>
    </row>
    <row r="64" spans="2:33" ht="36" customHeight="1">
      <c r="B64" s="425" t="s">
        <v>1849</v>
      </c>
      <c r="C64" s="240"/>
      <c r="D64" s="439">
        <f t="shared" ref="D64:AG64" si="34">D18+D21+D24+D25+D26+D28+D32</f>
        <v>0</v>
      </c>
      <c r="E64" s="439">
        <f t="shared" si="34"/>
        <v>0</v>
      </c>
      <c r="F64" s="439">
        <f t="shared" si="34"/>
        <v>0</v>
      </c>
      <c r="G64" s="439">
        <f t="shared" si="34"/>
        <v>0</v>
      </c>
      <c r="H64" s="439">
        <f t="shared" si="34"/>
        <v>0</v>
      </c>
      <c r="I64" s="439">
        <f t="shared" si="34"/>
        <v>6.6417500000000018</v>
      </c>
      <c r="J64" s="439">
        <f t="shared" si="34"/>
        <v>1347.5887500000001</v>
      </c>
      <c r="K64" s="439">
        <f t="shared" si="34"/>
        <v>210.53775000000002</v>
      </c>
      <c r="L64" s="439">
        <f t="shared" si="34"/>
        <v>126.49775</v>
      </c>
      <c r="M64" s="439">
        <f t="shared" si="34"/>
        <v>2054.8777499999997</v>
      </c>
      <c r="N64" s="439">
        <f t="shared" si="34"/>
        <v>468.71259000000009</v>
      </c>
      <c r="O64" s="439">
        <f t="shared" si="34"/>
        <v>218.87491000000009</v>
      </c>
      <c r="P64" s="439">
        <f t="shared" si="34"/>
        <v>212.39574999999999</v>
      </c>
      <c r="Q64" s="439">
        <f t="shared" si="34"/>
        <v>179.47375</v>
      </c>
      <c r="R64" s="439">
        <f t="shared" si="34"/>
        <v>161.49975000000001</v>
      </c>
      <c r="S64" s="439">
        <f t="shared" si="34"/>
        <v>141.30375000000001</v>
      </c>
      <c r="T64" s="439">
        <f t="shared" si="34"/>
        <v>139.63974999999999</v>
      </c>
      <c r="U64" s="439">
        <f t="shared" si="34"/>
        <v>110.77174999999998</v>
      </c>
      <c r="V64" s="439">
        <f t="shared" si="34"/>
        <v>83.72475</v>
      </c>
      <c r="W64" s="439">
        <f t="shared" si="34"/>
        <v>83.655750000000012</v>
      </c>
      <c r="X64" s="438">
        <f t="shared" si="34"/>
        <v>58.540749999999996</v>
      </c>
      <c r="Y64" s="438">
        <f t="shared" si="34"/>
        <v>59.415749999999996</v>
      </c>
      <c r="Z64" s="438">
        <f t="shared" si="34"/>
        <v>59.415749999999996</v>
      </c>
      <c r="AA64" s="438">
        <f t="shared" si="34"/>
        <v>59.415749999999996</v>
      </c>
      <c r="AB64" s="438">
        <f t="shared" si="34"/>
        <v>59.244749999999996</v>
      </c>
      <c r="AC64" s="438">
        <f t="shared" si="34"/>
        <v>59.244749999999996</v>
      </c>
      <c r="AD64" s="438">
        <f t="shared" si="34"/>
        <v>59.244749999999996</v>
      </c>
      <c r="AE64" s="438">
        <f t="shared" si="34"/>
        <v>59.244749999999996</v>
      </c>
      <c r="AF64" s="438">
        <f t="shared" si="34"/>
        <v>41.164749999999998</v>
      </c>
      <c r="AG64" s="438">
        <f t="shared" si="34"/>
        <v>39.003749999999997</v>
      </c>
    </row>
    <row r="65" spans="2:33" ht="25.75" customHeight="1">
      <c r="B65" s="478" t="s">
        <v>801</v>
      </c>
      <c r="C65" s="240"/>
      <c r="D65" s="678">
        <f t="shared" ref="D65:U65" si="35">D61-D62</f>
        <v>1410.9</v>
      </c>
      <c r="E65" s="678">
        <f t="shared" si="35"/>
        <v>1471.1999999999998</v>
      </c>
      <c r="F65" s="678">
        <f t="shared" si="35"/>
        <v>1477.1</v>
      </c>
      <c r="G65" s="678">
        <f t="shared" si="35"/>
        <v>1484</v>
      </c>
      <c r="H65" s="678">
        <f t="shared" si="35"/>
        <v>1492</v>
      </c>
      <c r="I65" s="678">
        <f t="shared" si="35"/>
        <v>1536.65825</v>
      </c>
      <c r="J65" s="678">
        <f t="shared" si="35"/>
        <v>1512.0112500000005</v>
      </c>
      <c r="K65" s="678">
        <f t="shared" si="35"/>
        <v>1641.8622499999999</v>
      </c>
      <c r="L65" s="678">
        <f t="shared" si="35"/>
        <v>1580.70225</v>
      </c>
      <c r="M65" s="678">
        <f t="shared" si="35"/>
        <v>1605.2222499999998</v>
      </c>
      <c r="N65" s="678">
        <f t="shared" si="35"/>
        <v>1583.2874099999999</v>
      </c>
      <c r="O65" s="678">
        <f t="shared" si="35"/>
        <v>1587.791756666667</v>
      </c>
      <c r="P65" s="678">
        <f t="shared" si="35"/>
        <v>1577.9709166666669</v>
      </c>
      <c r="Q65" s="678">
        <f t="shared" si="35"/>
        <v>1685.0262499999999</v>
      </c>
      <c r="R65" s="678">
        <f t="shared" si="35"/>
        <v>1693.3002499999998</v>
      </c>
      <c r="S65" s="678">
        <f t="shared" si="35"/>
        <v>1684.9962499999999</v>
      </c>
      <c r="T65" s="678">
        <f t="shared" si="35"/>
        <v>1706.4602499999996</v>
      </c>
      <c r="U65" s="678">
        <f t="shared" si="35"/>
        <v>1840.9282500000002</v>
      </c>
      <c r="V65" s="678">
        <f>V61-V62</f>
        <v>1847.4466785714285</v>
      </c>
      <c r="W65" s="678">
        <f>W61-W62</f>
        <v>1843.5156785714285</v>
      </c>
      <c r="X65" s="678">
        <f>X61-X62</f>
        <v>1867.4592500000001</v>
      </c>
      <c r="Y65" s="678">
        <f>Y61-Y62</f>
        <v>1958.7842499999999</v>
      </c>
      <c r="Z65" s="438"/>
      <c r="AA65" s="438"/>
      <c r="AB65" s="438"/>
      <c r="AC65" s="438"/>
      <c r="AD65" s="438"/>
      <c r="AE65" s="438"/>
      <c r="AF65" s="438"/>
      <c r="AG65" s="505"/>
    </row>
    <row r="66" spans="2:33" ht="20.5" customHeight="1">
      <c r="B66" s="694" t="s">
        <v>802</v>
      </c>
      <c r="C66" s="695"/>
      <c r="D66" s="701">
        <f t="shared" ref="D66:I66" si="36">D12-D14-D17-D27</f>
        <v>1410.9</v>
      </c>
      <c r="E66" s="664">
        <f t="shared" si="36"/>
        <v>1471.1999999999998</v>
      </c>
      <c r="F66" s="664">
        <f t="shared" si="36"/>
        <v>1477.1000000000001</v>
      </c>
      <c r="G66" s="664">
        <f t="shared" si="36"/>
        <v>1484</v>
      </c>
      <c r="H66" s="664">
        <f t="shared" si="36"/>
        <v>1492</v>
      </c>
      <c r="I66" s="664">
        <f t="shared" si="36"/>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7">V66+W67</f>
        <v>1836.4551116666673</v>
      </c>
      <c r="X66" s="696">
        <f t="shared" si="37"/>
        <v>1843.3884450000007</v>
      </c>
      <c r="Y66" s="696">
        <f t="shared" si="37"/>
        <v>1895.9675063333341</v>
      </c>
      <c r="Z66" s="696">
        <f t="shared" si="37"/>
        <v>1902.9008396666675</v>
      </c>
      <c r="AA66" s="696">
        <f t="shared" si="37"/>
        <v>1909.8341730000009</v>
      </c>
      <c r="AB66" s="696">
        <f t="shared" si="37"/>
        <v>1916.7675063333343</v>
      </c>
      <c r="AC66" s="696">
        <f t="shared" si="37"/>
        <v>1958.5494476076676</v>
      </c>
      <c r="AD66" s="696">
        <f t="shared" ref="AD66" si="38">AC66+AD67</f>
        <v>1965.482780941001</v>
      </c>
      <c r="AE66" s="696">
        <f t="shared" ref="AE66" si="39">AD66+AE67</f>
        <v>1972.4161142743344</v>
      </c>
      <c r="AF66" s="696">
        <f>AE66+AF67</f>
        <v>1979.3494476076678</v>
      </c>
      <c r="AG66" s="696">
        <f>AF66+AG67</f>
        <v>2023.3367118646443</v>
      </c>
    </row>
    <row r="67" spans="2:33" ht="20.5" customHeight="1">
      <c r="B67" s="697" t="s">
        <v>1808</v>
      </c>
      <c r="C67" s="240"/>
      <c r="D67" s="711"/>
      <c r="E67" s="439"/>
      <c r="F67" s="439"/>
      <c r="G67" s="439"/>
      <c r="H67" s="439"/>
      <c r="I67" s="439"/>
      <c r="J67" s="679"/>
      <c r="K67" s="679"/>
      <c r="L67" s="679"/>
      <c r="M67" s="704"/>
      <c r="N67" s="679"/>
      <c r="O67" s="679"/>
      <c r="P67" s="679"/>
      <c r="Q67" s="704"/>
      <c r="R67" s="679"/>
      <c r="S67" s="679"/>
      <c r="T67" s="679"/>
      <c r="U67" s="679">
        <f>U68+U69</f>
        <v>113.58097833333339</v>
      </c>
      <c r="V67" s="679">
        <f>V68+V69</f>
        <v>6.933333333333394</v>
      </c>
      <c r="W67" s="679">
        <f>W68+W69</f>
        <v>6.933333333333394</v>
      </c>
      <c r="X67" s="438">
        <f t="shared" ref="X67:AC67" si="40">X68+X73*X70</f>
        <v>6.933333333333394</v>
      </c>
      <c r="Y67" s="438">
        <f t="shared" si="40"/>
        <v>52.579061333333399</v>
      </c>
      <c r="Z67" s="438">
        <f t="shared" si="40"/>
        <v>6.933333333333394</v>
      </c>
      <c r="AA67" s="438">
        <f t="shared" si="40"/>
        <v>6.933333333333394</v>
      </c>
      <c r="AB67" s="438">
        <f t="shared" si="40"/>
        <v>6.933333333333394</v>
      </c>
      <c r="AC67" s="438">
        <f t="shared" si="40"/>
        <v>41.781941274333398</v>
      </c>
      <c r="AD67" s="438">
        <f t="shared" ref="AD67:AE67" si="41">AD68+AD73*AD70</f>
        <v>6.933333333333394</v>
      </c>
      <c r="AE67" s="438">
        <f t="shared" si="41"/>
        <v>6.933333333333394</v>
      </c>
      <c r="AF67" s="438">
        <f>AF68+AF73*AF70</f>
        <v>6.933333333333394</v>
      </c>
      <c r="AG67" s="438">
        <f>AG68+AG73*AG70</f>
        <v>43.987264256976395</v>
      </c>
    </row>
    <row r="68" spans="2:33" ht="28.4" customHeight="1">
      <c r="B68" s="698" t="s">
        <v>1805</v>
      </c>
      <c r="C68" s="240"/>
      <c r="D68" s="711"/>
      <c r="E68" s="439"/>
      <c r="F68" s="439"/>
      <c r="G68" s="439"/>
      <c r="H68" s="439"/>
      <c r="I68" s="439"/>
      <c r="J68" s="679"/>
      <c r="K68" s="679"/>
      <c r="L68" s="679"/>
      <c r="M68" s="704"/>
      <c r="N68" s="679"/>
      <c r="O68" s="679"/>
      <c r="P68" s="679"/>
      <c r="Q68" s="704"/>
      <c r="R68" s="679"/>
      <c r="S68" s="679"/>
      <c r="T68" s="679"/>
      <c r="U68" s="679">
        <f>($H$66-$E$66)/3</f>
        <v>6.933333333333394</v>
      </c>
      <c r="V68" s="679">
        <f>($H$66-$E$66)/3</f>
        <v>6.933333333333394</v>
      </c>
      <c r="W68" s="679">
        <f>($H$66-$E$66)/3</f>
        <v>6.933333333333394</v>
      </c>
      <c r="X68" s="438">
        <f t="shared" ref="X68:AC68" si="42">W68</f>
        <v>6.933333333333394</v>
      </c>
      <c r="Y68" s="438">
        <f t="shared" si="42"/>
        <v>6.933333333333394</v>
      </c>
      <c r="Z68" s="438">
        <f t="shared" si="42"/>
        <v>6.933333333333394</v>
      </c>
      <c r="AA68" s="438">
        <f t="shared" si="42"/>
        <v>6.933333333333394</v>
      </c>
      <c r="AB68" s="438">
        <f t="shared" si="42"/>
        <v>6.933333333333394</v>
      </c>
      <c r="AC68" s="438">
        <f t="shared" si="42"/>
        <v>6.933333333333394</v>
      </c>
      <c r="AD68" s="438">
        <f t="shared" ref="AD68" si="43">AC68</f>
        <v>6.933333333333394</v>
      </c>
      <c r="AE68" s="438">
        <f t="shared" ref="AE68" si="44">AD68</f>
        <v>6.933333333333394</v>
      </c>
      <c r="AF68" s="438">
        <f>AE68</f>
        <v>6.933333333333394</v>
      </c>
      <c r="AG68" s="438">
        <f>AF68</f>
        <v>6.933333333333394</v>
      </c>
    </row>
    <row r="69" spans="2:33" ht="30.65" customHeight="1">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5">W73*V70</f>
        <v>0</v>
      </c>
      <c r="X69" s="708">
        <f t="shared" si="45"/>
        <v>0</v>
      </c>
      <c r="Y69" s="708">
        <f>Y73*X70</f>
        <v>43.975904</v>
      </c>
      <c r="Z69" s="708">
        <f t="shared" si="45"/>
        <v>0</v>
      </c>
      <c r="AA69" s="708">
        <f t="shared" si="45"/>
        <v>0</v>
      </c>
      <c r="AB69" s="708">
        <f t="shared" si="45"/>
        <v>0</v>
      </c>
      <c r="AC69" s="708">
        <f>AC73*AB70</f>
        <v>33.727867000000003</v>
      </c>
      <c r="AD69" s="708">
        <f t="shared" ref="AD69" si="46">AD73*AC70</f>
        <v>0</v>
      </c>
      <c r="AE69" s="708">
        <f t="shared" ref="AE69" si="47">AE73*AD70</f>
        <v>0</v>
      </c>
      <c r="AF69" s="708">
        <f t="shared" ref="AF69" si="48">AF73*AE70</f>
        <v>0</v>
      </c>
      <c r="AG69" s="708">
        <f>AG73*AF70</f>
        <v>35.883607941000001</v>
      </c>
    </row>
    <row r="70" spans="2:33" ht="17.5" customHeight="1">
      <c r="B70" s="548" t="s">
        <v>475</v>
      </c>
      <c r="C70" s="240" t="s">
        <v>476</v>
      </c>
      <c r="D70" s="711">
        <f>'Haver Pivoted'!GO88/1000</f>
        <v>983.86099999999999</v>
      </c>
      <c r="E70" s="439">
        <f>'Haver Pivoted'!GP88/1000</f>
        <v>1019.17</v>
      </c>
      <c r="F70" s="439">
        <f>'Haver Pivoted'!GQ88/1000</f>
        <v>1026.74</v>
      </c>
      <c r="G70" s="439">
        <f>'Haver Pivoted'!GR88/1000</f>
        <v>1034.364</v>
      </c>
      <c r="H70" s="439">
        <f>'Haver Pivoted'!GS88/1000</f>
        <v>1042.6969999999999</v>
      </c>
      <c r="I70" s="439">
        <f>'Haver Pivoted'!GT88/1000</f>
        <v>1068.172</v>
      </c>
      <c r="J70" s="439">
        <f>'Haver Pivoted'!GU88/1000</f>
        <v>1075.0809999999999</v>
      </c>
      <c r="K70" s="439">
        <f>'Haver Pivoted'!GV88/1000</f>
        <v>1080.296</v>
      </c>
      <c r="L70" s="439">
        <f>'Haver Pivoted'!GW88/1000</f>
        <v>1088.164</v>
      </c>
      <c r="M70" s="439">
        <f>'Haver Pivoted'!GX88/1000</f>
        <v>1105.684</v>
      </c>
      <c r="N70" s="439">
        <f>'Haver Pivoted'!GY88/1000</f>
        <v>1109.6220000000001</v>
      </c>
      <c r="O70" s="439">
        <f>'Haver Pivoted'!GZ88/1000</f>
        <v>1116.8399999999999</v>
      </c>
      <c r="P70" s="439">
        <f>'Haver Pivoted'!HA88/1000</f>
        <v>1126.2539999999999</v>
      </c>
      <c r="Q70" s="439">
        <f>'Haver Pivoted'!HB88/1000</f>
        <v>1198.68</v>
      </c>
      <c r="R70" s="439">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438">
        <f t="shared" ref="Z70:AC70" si="49">Y70+Z71</f>
        <v>1439.4290000000001</v>
      </c>
      <c r="AA70" s="438">
        <f t="shared" si="49"/>
        <v>1452.4290000000001</v>
      </c>
      <c r="AB70" s="438">
        <f t="shared" si="49"/>
        <v>1466.4290000000001</v>
      </c>
      <c r="AC70" s="438">
        <f t="shared" si="49"/>
        <v>1515.1568670000001</v>
      </c>
      <c r="AD70" s="438">
        <f t="shared" ref="AD70" si="50">AC70+AD71</f>
        <v>1530.1568670000001</v>
      </c>
      <c r="AE70" s="438">
        <f t="shared" ref="AE70" si="51">AD70+AE71</f>
        <v>1545.1568670000001</v>
      </c>
      <c r="AF70" s="438">
        <f>AE70+AF71</f>
        <v>1560.1568670000001</v>
      </c>
      <c r="AG70" s="438">
        <f>AF70+AG71</f>
        <v>1611.0404749410002</v>
      </c>
    </row>
    <row r="71" spans="2:33" ht="17.5" customHeight="1">
      <c r="B71" s="425" t="s">
        <v>1807</v>
      </c>
      <c r="C71" s="240"/>
      <c r="D71" s="711"/>
      <c r="E71" s="439"/>
      <c r="F71" s="439"/>
      <c r="G71" s="439"/>
      <c r="H71" s="439"/>
      <c r="I71" s="439"/>
      <c r="J71" s="439"/>
      <c r="K71" s="439"/>
      <c r="L71" s="439"/>
      <c r="M71" s="439"/>
      <c r="N71" s="439"/>
      <c r="O71" s="439"/>
      <c r="P71" s="439"/>
      <c r="Q71" s="439"/>
      <c r="R71" s="439"/>
      <c r="S71" s="678"/>
      <c r="T71" s="678"/>
      <c r="U71" s="678">
        <f>U69+U72</f>
        <v>114.647645</v>
      </c>
      <c r="V71" s="439">
        <f>V69+V72</f>
        <v>8</v>
      </c>
      <c r="W71" s="439">
        <f t="shared" ref="W71:AC71" si="52">W69+W72</f>
        <v>11</v>
      </c>
      <c r="X71" s="438">
        <f>X69+X72</f>
        <v>14</v>
      </c>
      <c r="Y71" s="438">
        <f>Y69+Y72</f>
        <v>52.975904</v>
      </c>
      <c r="Z71" s="438">
        <f t="shared" si="52"/>
        <v>13</v>
      </c>
      <c r="AA71" s="438">
        <f t="shared" si="52"/>
        <v>13</v>
      </c>
      <c r="AB71" s="438">
        <f t="shared" si="52"/>
        <v>14</v>
      </c>
      <c r="AC71" s="438">
        <f t="shared" si="52"/>
        <v>48.727867000000003</v>
      </c>
      <c r="AD71" s="438">
        <f t="shared" ref="AD71:AE71" si="53">AD69+AD72</f>
        <v>15</v>
      </c>
      <c r="AE71" s="438">
        <f t="shared" si="53"/>
        <v>15</v>
      </c>
      <c r="AF71" s="438">
        <f>AF69+AF72</f>
        <v>15</v>
      </c>
      <c r="AG71" s="438">
        <f>AG69+AG72</f>
        <v>50.883607941000001</v>
      </c>
    </row>
    <row r="72" spans="2:33" ht="17.5" customHeight="1">
      <c r="B72" s="416" t="s">
        <v>1810</v>
      </c>
      <c r="C72" s="240"/>
      <c r="D72" s="711"/>
      <c r="E72" s="439"/>
      <c r="F72" s="678"/>
      <c r="G72" s="678"/>
      <c r="H72" s="678"/>
      <c r="I72" s="678"/>
      <c r="J72" s="678"/>
      <c r="K72" s="678"/>
      <c r="L72" s="678"/>
      <c r="M72" s="678"/>
      <c r="N72" s="678"/>
      <c r="O72" s="678"/>
      <c r="P72" s="678"/>
      <c r="Q72" s="678"/>
      <c r="R72" s="678"/>
      <c r="S72" s="678"/>
      <c r="T72" s="678"/>
      <c r="U72" s="678">
        <v>8</v>
      </c>
      <c r="V72" s="439">
        <v>8</v>
      </c>
      <c r="W72" s="439">
        <v>11</v>
      </c>
      <c r="X72" s="438">
        <v>14</v>
      </c>
      <c r="Y72" s="438">
        <v>9</v>
      </c>
      <c r="Z72" s="438">
        <v>13</v>
      </c>
      <c r="AA72" s="438">
        <v>13</v>
      </c>
      <c r="AB72" s="438">
        <v>14</v>
      </c>
      <c r="AC72" s="438">
        <v>15</v>
      </c>
      <c r="AD72" s="438">
        <v>15</v>
      </c>
      <c r="AE72" s="438">
        <v>15</v>
      </c>
      <c r="AF72" s="438">
        <v>15</v>
      </c>
      <c r="AG72" s="505">
        <v>15</v>
      </c>
    </row>
    <row r="73" spans="2:33" ht="39" customHeight="1">
      <c r="B73" s="416" t="s">
        <v>1811</v>
      </c>
      <c r="C73" s="240"/>
      <c r="D73" s="711"/>
      <c r="E73" s="439"/>
      <c r="F73" s="439"/>
      <c r="G73" s="439"/>
      <c r="H73" s="439"/>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row>
    <row r="74" spans="2:33" ht="49.75" customHeight="1">
      <c r="B74" s="478" t="s">
        <v>1432</v>
      </c>
      <c r="C74" s="240"/>
      <c r="D74" s="711">
        <f t="shared" ref="D74:T74" si="54">D65-D66</f>
        <v>0</v>
      </c>
      <c r="E74" s="439">
        <f t="shared" si="54"/>
        <v>0</v>
      </c>
      <c r="F74" s="439">
        <f t="shared" si="54"/>
        <v>0</v>
      </c>
      <c r="G74" s="439">
        <f t="shared" si="54"/>
        <v>0</v>
      </c>
      <c r="H74" s="439">
        <f t="shared" si="54"/>
        <v>0</v>
      </c>
      <c r="I74" s="439">
        <f t="shared" si="54"/>
        <v>-6.6417499999997744</v>
      </c>
      <c r="J74" s="439">
        <f t="shared" si="54"/>
        <v>-38.222083333332648</v>
      </c>
      <c r="K74" s="439">
        <f t="shared" si="54"/>
        <v>84.695583333333389</v>
      </c>
      <c r="L74" s="439">
        <f t="shared" si="54"/>
        <v>16.60225000000014</v>
      </c>
      <c r="M74" s="439">
        <f t="shared" si="54"/>
        <v>16.668916666666519</v>
      </c>
      <c r="N74" s="439">
        <f t="shared" si="54"/>
        <v>-12.19925666666677</v>
      </c>
      <c r="O74" s="439">
        <f t="shared" si="54"/>
        <v>-14.628243333333103</v>
      </c>
      <c r="P74" s="439">
        <f t="shared" si="54"/>
        <v>-31.382416666666586</v>
      </c>
      <c r="Q74" s="439">
        <f t="shared" si="54"/>
        <v>-3.1812166666670691</v>
      </c>
      <c r="R74" s="439">
        <f t="shared" si="54"/>
        <v>-1.8405500000005759</v>
      </c>
      <c r="S74" s="678">
        <f t="shared" si="54"/>
        <v>-17.07788333333383</v>
      </c>
      <c r="T74" s="678">
        <f t="shared" si="54"/>
        <v>-2.5472166666675093</v>
      </c>
      <c r="U74" s="678">
        <f>U65-U66</f>
        <v>18.339804999999615</v>
      </c>
      <c r="V74" s="678">
        <f>V65-V66</f>
        <v>17.924900238094551</v>
      </c>
      <c r="W74" s="678">
        <f>W65-W66</f>
        <v>7.0605669047611173</v>
      </c>
      <c r="X74" s="678">
        <f>X65-X66</f>
        <v>24.070804999999382</v>
      </c>
      <c r="Y74" s="678">
        <f>Y65-Y66</f>
        <v>62.816743666665843</v>
      </c>
      <c r="Z74" s="438">
        <f t="shared" ref="Z74:AC74" si="55">Y74</f>
        <v>62.816743666665843</v>
      </c>
      <c r="AA74" s="438">
        <f t="shared" si="55"/>
        <v>62.816743666665843</v>
      </c>
      <c r="AB74" s="438">
        <f t="shared" si="55"/>
        <v>62.816743666665843</v>
      </c>
      <c r="AC74" s="438">
        <f t="shared" si="55"/>
        <v>62.816743666665843</v>
      </c>
      <c r="AD74" s="438">
        <f t="shared" ref="AD74" si="56">AC74</f>
        <v>62.816743666665843</v>
      </c>
      <c r="AE74" s="438">
        <f t="shared" ref="AE74" si="57">AD74</f>
        <v>62.816743666665843</v>
      </c>
      <c r="AF74" s="438">
        <f t="shared" ref="AF74:AG74" si="58">AE74</f>
        <v>62.816743666665843</v>
      </c>
      <c r="AG74" s="438">
        <f t="shared" si="58"/>
        <v>62.816743666665843</v>
      </c>
    </row>
    <row r="75" spans="2:33" ht="29.5" customHeight="1">
      <c r="B75" s="283"/>
      <c r="C75" s="240"/>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spans="2:33" ht="16.75" customHeight="1">
      <c r="B76" s="240"/>
      <c r="C76" s="240"/>
      <c r="N76" s="240">
        <f>AVERAGE(P70:S70)</f>
        <v>1186.6085</v>
      </c>
      <c r="R76" s="240">
        <f>AVERAGE(T70:W70)</f>
        <v>1320.2137499999999</v>
      </c>
      <c r="S76" s="552"/>
      <c r="T76" s="552"/>
      <c r="U76" s="240"/>
      <c r="V76" s="240">
        <f>AVERAGE(X70:AA70)</f>
        <v>1423.1335000000001</v>
      </c>
      <c r="W76" s="240"/>
      <c r="X76" s="240"/>
      <c r="Y76" s="240"/>
      <c r="Z76" s="240">
        <f>AVERAGE(AB70:AE70)</f>
        <v>1514.2249002500002</v>
      </c>
      <c r="AA76" s="240"/>
      <c r="AB76" s="240"/>
      <c r="AC76" s="240"/>
      <c r="AD76" s="439">
        <f>AVERAGE(AF70:AI70)</f>
        <v>1585.5986709705003</v>
      </c>
    </row>
    <row r="77" spans="2:33" ht="16.75" customHeight="1">
      <c r="B77" s="240"/>
      <c r="C77" s="240"/>
      <c r="S77" s="223"/>
      <c r="T77" s="223"/>
      <c r="U77" s="240"/>
      <c r="V77" s="240"/>
      <c r="W77" s="240"/>
      <c r="X77" s="240"/>
      <c r="Y77" s="240"/>
      <c r="Z77" s="240"/>
      <c r="AA77" s="240"/>
      <c r="AB77" s="240"/>
      <c r="AC77" s="240">
        <f>Z76-V76</f>
        <v>91.091400250000106</v>
      </c>
    </row>
    <row r="78" spans="2:33" ht="16.75" customHeight="1">
      <c r="B78" s="240"/>
      <c r="C78" s="240"/>
      <c r="S78" s="223"/>
      <c r="T78" s="223"/>
      <c r="U78" s="240"/>
      <c r="V78" s="240"/>
      <c r="W78" s="240"/>
      <c r="X78" s="240"/>
      <c r="Y78" s="240"/>
      <c r="Z78" s="240"/>
      <c r="AA78" s="240"/>
      <c r="AB78" s="240"/>
      <c r="AC78" s="240"/>
    </row>
    <row r="79" spans="2:33" ht="16.75" customHeight="1">
      <c r="B79" s="240"/>
      <c r="C79" s="240"/>
      <c r="S79" s="223"/>
      <c r="T79" s="223"/>
      <c r="U79" s="439"/>
      <c r="V79" s="439"/>
      <c r="W79" s="439"/>
      <c r="X79" s="439"/>
      <c r="Y79" s="439"/>
      <c r="Z79" s="439"/>
      <c r="AA79" s="439"/>
      <c r="AB79" s="439"/>
      <c r="AC79" s="439"/>
      <c r="AD79" s="517"/>
    </row>
    <row r="80" spans="2:33" ht="16.75" customHeight="1">
      <c r="B80" s="469"/>
      <c r="C80" s="240"/>
      <c r="S80" s="223"/>
      <c r="T80" s="223"/>
      <c r="U80" s="223"/>
      <c r="V80" s="223"/>
      <c r="W80" s="223"/>
      <c r="X80" s="223"/>
      <c r="Y80" s="223"/>
      <c r="Z80" s="223"/>
      <c r="AA80" s="223"/>
      <c r="AB80" s="223"/>
      <c r="AC80" s="223"/>
      <c r="AD80" s="517"/>
    </row>
    <row r="81" spans="2:30" ht="16.75" customHeight="1">
      <c r="B81" s="469"/>
      <c r="C81" s="240"/>
      <c r="S81" s="223"/>
      <c r="T81" s="223"/>
      <c r="U81" s="223"/>
      <c r="V81" s="223"/>
      <c r="W81" s="223"/>
      <c r="X81" s="223"/>
      <c r="Y81" s="223"/>
      <c r="Z81" s="223"/>
      <c r="AA81" s="223"/>
      <c r="AB81" s="223"/>
      <c r="AC81" s="223"/>
      <c r="AD81" s="517"/>
    </row>
    <row r="82" spans="2:30" ht="16.75" customHeight="1">
      <c r="B82" s="469"/>
      <c r="C82" s="240"/>
      <c r="S82" s="223"/>
      <c r="T82" s="223"/>
      <c r="U82" s="223"/>
      <c r="V82" s="223"/>
      <c r="W82" s="223"/>
      <c r="X82" s="223"/>
      <c r="Y82" s="223"/>
      <c r="Z82" s="223"/>
      <c r="AA82" s="223"/>
      <c r="AB82" s="223"/>
      <c r="AC82" s="223"/>
      <c r="AD82" s="517"/>
    </row>
    <row r="83" spans="2:30" ht="16.75" customHeight="1">
      <c r="B83" s="240"/>
      <c r="C83" s="240"/>
      <c r="S83" s="240"/>
      <c r="T83" s="240"/>
      <c r="U83" s="439"/>
      <c r="V83" s="439"/>
      <c r="W83" s="439"/>
      <c r="X83" s="439"/>
      <c r="Y83" s="439"/>
      <c r="Z83" s="439"/>
      <c r="AA83" s="439"/>
      <c r="AB83" s="439"/>
      <c r="AC83" s="439"/>
      <c r="AD83" s="517"/>
    </row>
    <row r="84" spans="2:30" ht="16.75" customHeight="1">
      <c r="B84" s="469"/>
      <c r="C84" s="240"/>
      <c r="D84">
        <f>E91/D91</f>
        <v>1.0771335372462556</v>
      </c>
      <c r="S84" s="240"/>
      <c r="T84" s="240"/>
      <c r="U84" s="439"/>
      <c r="V84" s="439"/>
      <c r="W84" s="439"/>
      <c r="X84" s="439"/>
      <c r="Y84" s="439"/>
      <c r="Z84" s="439"/>
      <c r="AA84" s="439"/>
      <c r="AB84" s="439"/>
      <c r="AC84" s="439"/>
      <c r="AD84" s="517"/>
    </row>
    <row r="85" spans="2:30" ht="16.75" customHeight="1">
      <c r="B85" s="469"/>
      <c r="C85" s="240"/>
      <c r="S85" s="240"/>
      <c r="T85" s="240"/>
      <c r="U85" s="223"/>
      <c r="V85" s="223"/>
      <c r="W85" s="223"/>
      <c r="X85" s="223"/>
      <c r="Y85" s="223"/>
      <c r="Z85" s="223"/>
      <c r="AA85" s="223"/>
      <c r="AB85" s="223"/>
      <c r="AC85" s="223"/>
      <c r="AD85" s="517"/>
    </row>
    <row r="86" spans="2:30" ht="16.75" customHeight="1">
      <c r="B86" s="469"/>
      <c r="C86" s="240"/>
      <c r="S86" s="240"/>
      <c r="T86" s="240"/>
      <c r="U86" s="681"/>
      <c r="V86" s="681"/>
      <c r="W86" s="681"/>
      <c r="X86" s="681"/>
      <c r="Y86" s="681"/>
      <c r="Z86" s="681"/>
      <c r="AA86" s="681"/>
      <c r="AB86" s="681"/>
      <c r="AC86" s="681"/>
      <c r="AD86" s="517"/>
    </row>
    <row r="87" spans="2:30" ht="16.75" customHeight="1">
      <c r="B87" s="240"/>
      <c r="C87" s="240"/>
      <c r="S87" s="223"/>
      <c r="T87" s="223"/>
      <c r="U87" s="223"/>
      <c r="V87" s="223"/>
      <c r="W87" s="223"/>
      <c r="X87" s="223"/>
      <c r="Y87" s="223"/>
      <c r="Z87" s="223"/>
      <c r="AA87" s="223"/>
      <c r="AB87" s="223"/>
      <c r="AC87" s="223"/>
      <c r="AD87" s="517"/>
    </row>
    <row r="88" spans="2:30" ht="22.5" customHeight="1">
      <c r="B88" s="283"/>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0" ht="22.5" customHeight="1">
      <c r="B89" s="283"/>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0" ht="38.5" customHeight="1">
      <c r="B90" s="487"/>
      <c r="C90" s="713">
        <v>2022</v>
      </c>
      <c r="D90" s="714">
        <v>2023</v>
      </c>
      <c r="E90" s="714">
        <v>2024</v>
      </c>
      <c r="F90" s="715">
        <v>2025</v>
      </c>
      <c r="G90" s="223">
        <v>2026</v>
      </c>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0" ht="38.5" customHeight="1">
      <c r="B91" s="661" t="s">
        <v>1928</v>
      </c>
      <c r="C91" s="266">
        <v>1212.4870000000001</v>
      </c>
      <c r="D91" s="266">
        <v>1347.961</v>
      </c>
      <c r="E91" s="266">
        <v>1451.934</v>
      </c>
      <c r="F91" s="266">
        <v>1549.1100000000001</v>
      </c>
      <c r="G91" s="266">
        <v>1647.1120000000001</v>
      </c>
      <c r="H91" s="266">
        <v>1740.634</v>
      </c>
      <c r="I91" s="266">
        <v>1838.4829999999999</v>
      </c>
      <c r="J91" s="266">
        <v>1938.394</v>
      </c>
      <c r="K91" s="266">
        <v>2040.598</v>
      </c>
      <c r="L91" s="266">
        <v>2146.6759999999999</v>
      </c>
      <c r="M91" s="266">
        <v>2255.0050000000001</v>
      </c>
      <c r="N91" s="266">
        <v>2364.4049999999997</v>
      </c>
      <c r="O91" s="266">
        <v>2478.1</v>
      </c>
      <c r="P91" s="223"/>
      <c r="Q91" s="223"/>
      <c r="R91" s="223"/>
      <c r="S91" s="223"/>
      <c r="T91" s="223"/>
      <c r="U91" s="223"/>
      <c r="V91" s="223"/>
      <c r="W91" s="223"/>
      <c r="X91" s="223"/>
      <c r="Y91" s="223"/>
      <c r="Z91" s="223"/>
      <c r="AA91" s="223"/>
      <c r="AB91" s="223"/>
      <c r="AC91" s="223"/>
    </row>
    <row r="92" spans="2:30" ht="69" customHeight="1">
      <c r="B92" s="283"/>
      <c r="C92" s="240"/>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spans="2:30">
      <c r="B93" s="75" t="s">
        <v>1431</v>
      </c>
      <c r="D93" s="240"/>
      <c r="E93" s="240"/>
      <c r="F93" s="240"/>
      <c r="G93" s="240"/>
      <c r="H93" s="240"/>
      <c r="I93" s="240"/>
      <c r="J93" s="240"/>
      <c r="K93" s="240"/>
      <c r="L93" s="240"/>
      <c r="M93" s="223"/>
      <c r="N93" s="223"/>
      <c r="O93" s="223"/>
      <c r="P93" s="240"/>
    </row>
    <row r="94" spans="2:30">
      <c r="B94" s="562" t="s">
        <v>808</v>
      </c>
      <c r="C94" s="660"/>
      <c r="D94" s="727">
        <v>2021</v>
      </c>
      <c r="E94" s="727">
        <v>2022</v>
      </c>
      <c r="F94" s="727">
        <v>2023</v>
      </c>
      <c r="G94" s="728">
        <v>2024</v>
      </c>
      <c r="R94" s="517"/>
    </row>
    <row r="95" spans="2:30">
      <c r="B95" s="629" t="s">
        <v>809</v>
      </c>
      <c r="C95" s="734"/>
      <c r="D95" s="722">
        <v>3605.8330000000001</v>
      </c>
      <c r="E95" s="722">
        <v>2900</v>
      </c>
      <c r="F95" s="722">
        <f>E95*1.02</f>
        <v>2958</v>
      </c>
      <c r="G95" s="723">
        <f>F95*1.06</f>
        <v>3135.48</v>
      </c>
    </row>
    <row r="96" spans="2:30">
      <c r="B96" s="629" t="s">
        <v>812</v>
      </c>
      <c r="C96" s="724"/>
      <c r="D96" s="717">
        <f>AVERAGE(Medicare!L10:O10)</f>
        <v>858.02499999999998</v>
      </c>
      <c r="E96" s="717">
        <f>AVERAGE(Medicare!P10:S10)</f>
        <v>917.59999999999991</v>
      </c>
      <c r="F96" s="717">
        <f>AVERAGE(Medicare!T10:W10)</f>
        <v>940.125</v>
      </c>
      <c r="G96" s="732">
        <f>AVERAGE(Medicare!X10:AA10)</f>
        <v>973.33695177711047</v>
      </c>
    </row>
    <row r="97" spans="2:7" ht="13.4" customHeight="1">
      <c r="B97" s="629" t="s">
        <v>810</v>
      </c>
      <c r="C97" s="724"/>
      <c r="D97" s="717">
        <f>D95-D96</f>
        <v>2747.808</v>
      </c>
      <c r="E97" s="717">
        <f t="shared" ref="E97:G97" si="59">E95-E96</f>
        <v>1982.4</v>
      </c>
      <c r="F97" s="717">
        <f t="shared" si="59"/>
        <v>2017.875</v>
      </c>
      <c r="G97" s="732">
        <f t="shared" si="59"/>
        <v>2162.1430482228898</v>
      </c>
    </row>
    <row r="98" spans="2:7">
      <c r="B98" s="629" t="s">
        <v>813</v>
      </c>
      <c r="C98" s="724"/>
      <c r="D98" s="717">
        <f>AVERAGE(L12:O12)</f>
        <v>3640.3999999999996</v>
      </c>
      <c r="E98" s="717">
        <f>AVERAGE(P12:S12)</f>
        <v>2903.3749999999995</v>
      </c>
      <c r="F98" s="717">
        <f>AVERAGE(T12:W12)</f>
        <v>2925.5750000000003</v>
      </c>
      <c r="G98" s="732">
        <f>AVERAGE(X12:AA12)</f>
        <v>3022.5674517771104</v>
      </c>
    </row>
    <row r="99" spans="2:7">
      <c r="B99" s="629" t="s">
        <v>812</v>
      </c>
      <c r="C99" s="724"/>
      <c r="D99" s="717">
        <f>AVERAGE(Medicare!L10:O10)</f>
        <v>858.02499999999998</v>
      </c>
      <c r="E99" s="717">
        <f>AVERAGE(Medicare!P10:S10)</f>
        <v>917.59999999999991</v>
      </c>
      <c r="F99" s="717">
        <f>AVERAGE(Medicare!T10:W10)</f>
        <v>940.125</v>
      </c>
      <c r="G99" s="732">
        <f>AVERAGE(Medicare!X10:AA10)</f>
        <v>973.33695177711047</v>
      </c>
    </row>
    <row r="100" spans="2:7">
      <c r="B100" s="629" t="s">
        <v>532</v>
      </c>
      <c r="C100" s="724"/>
      <c r="D100" s="717">
        <f>AVERAGE(L31:O31)</f>
        <v>1587.6399999999999</v>
      </c>
      <c r="E100" s="717">
        <f>AVERAGE(P31:S31)</f>
        <v>1673.6939333333335</v>
      </c>
      <c r="F100" s="717">
        <f>AVERAGE(T31:W31)</f>
        <v>1799.3932004166672</v>
      </c>
      <c r="G100" s="732">
        <f>AVERAGE(X31:AA31)</f>
        <v>1888.0227410000009</v>
      </c>
    </row>
    <row r="101" spans="2:7" ht="27.65" customHeight="1">
      <c r="B101" s="725" t="s">
        <v>811</v>
      </c>
      <c r="C101" s="357"/>
      <c r="D101" s="619"/>
      <c r="E101" s="729">
        <v>1.157</v>
      </c>
      <c r="F101" s="729">
        <v>1.0109999999999999</v>
      </c>
      <c r="G101" s="733">
        <v>1.0529999999999999</v>
      </c>
    </row>
    <row r="102" spans="2:7">
      <c r="B102" s="240" t="s">
        <v>814</v>
      </c>
      <c r="D102" s="730">
        <f>D98-D95</f>
        <v>34.566999999999553</v>
      </c>
      <c r="E102" s="730">
        <f>E98-E95</f>
        <v>3.3749999999995453</v>
      </c>
      <c r="F102" s="730">
        <f>F98-F95</f>
        <v>-32.424999999999727</v>
      </c>
      <c r="G102" s="730">
        <f t="shared" ref="G102" si="60">G98-G95</f>
        <v>-112.91254822288965</v>
      </c>
    </row>
    <row r="104" spans="2:7">
      <c r="B104" t="s">
        <v>809</v>
      </c>
      <c r="D104">
        <v>3605.8330000000001</v>
      </c>
      <c r="E104">
        <v>2832.5949999999998</v>
      </c>
      <c r="F104">
        <v>2833.72</v>
      </c>
      <c r="G104">
        <v>2976.7339999999999</v>
      </c>
    </row>
  </sheetData>
  <mergeCells count="31">
    <mergeCell ref="W47:AG47"/>
    <mergeCell ref="W58:AG58"/>
    <mergeCell ref="Q48:T48"/>
    <mergeCell ref="D47:V47"/>
    <mergeCell ref="D58:V58"/>
    <mergeCell ref="B1:AC1"/>
    <mergeCell ref="B2:AC6"/>
    <mergeCell ref="E9:H9"/>
    <mergeCell ref="I9:L9"/>
    <mergeCell ref="Y9:AB9"/>
    <mergeCell ref="M9:P9"/>
    <mergeCell ref="Q9:T9"/>
    <mergeCell ref="P8:V8"/>
    <mergeCell ref="AC9:AF9"/>
    <mergeCell ref="W8:AG8"/>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D23" sqref="D23"/>
    </sheetView>
  </sheetViews>
  <sheetFormatPr defaultColWidth="10.81640625" defaultRowHeight="14.5" outlineLevelRow="1"/>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c r="B1" s="1400" t="s">
        <v>465</v>
      </c>
      <c r="C1" s="1400"/>
      <c r="D1" s="1400"/>
      <c r="E1" s="1400"/>
      <c r="F1" s="1400"/>
      <c r="G1" s="1400"/>
      <c r="H1" s="1400"/>
      <c r="I1" s="1400"/>
      <c r="J1" s="1400"/>
      <c r="K1" s="1400"/>
      <c r="L1" s="1400"/>
      <c r="M1" s="1400"/>
      <c r="N1" s="1400"/>
      <c r="O1" s="1400"/>
      <c r="P1" s="1400"/>
      <c r="Q1" s="1400"/>
      <c r="R1" s="1400"/>
      <c r="S1" s="1400"/>
      <c r="T1" s="1400"/>
      <c r="U1" s="1400"/>
      <c r="V1" s="1400"/>
      <c r="W1" s="1400"/>
      <c r="X1" s="1400"/>
      <c r="Y1" s="1400"/>
      <c r="Z1" s="1400"/>
      <c r="AA1" s="1400"/>
      <c r="AB1" s="1400"/>
      <c r="AC1" s="1400"/>
    </row>
    <row r="2" spans="1:29" ht="34.5" hidden="1" customHeight="1" outlineLevel="1">
      <c r="B2" s="1298" t="s">
        <v>861</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1:29" ht="3" hidden="1" customHeight="1" outlineLevel="1">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1:29" ht="10.4" hidden="1" customHeight="1" outlineLevel="1">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1:29" ht="14.25" hidden="1" customHeight="1" outlineLevel="1">
      <c r="B5" s="1349"/>
      <c r="C5" s="1349"/>
      <c r="D5" s="1349"/>
      <c r="E5" s="1349"/>
      <c r="F5" s="1349"/>
      <c r="G5" s="1349"/>
      <c r="H5" s="1349"/>
      <c r="I5" s="1349"/>
      <c r="J5" s="1349"/>
      <c r="K5" s="1349"/>
      <c r="L5" s="1349"/>
      <c r="M5" s="1349"/>
      <c r="N5" s="1349"/>
      <c r="O5" s="1349"/>
      <c r="P5" s="1349"/>
      <c r="Q5" s="1349"/>
      <c r="R5" s="1349"/>
      <c r="S5" s="1349"/>
      <c r="T5" s="1349"/>
      <c r="U5" s="1349"/>
      <c r="V5" s="1349"/>
      <c r="W5" s="1349"/>
      <c r="X5" s="1349"/>
      <c r="Y5" s="1349"/>
      <c r="Z5" s="1349"/>
      <c r="AA5" s="1349"/>
      <c r="AB5" s="1349"/>
      <c r="AC5" s="1349"/>
    </row>
    <row r="6" spans="1:29" ht="14.25" hidden="1" customHeight="1" outlineLevel="1">
      <c r="B6" s="1349"/>
      <c r="C6" s="1349"/>
      <c r="D6" s="1349"/>
      <c r="E6" s="1349"/>
      <c r="F6" s="1349"/>
      <c r="G6" s="1349"/>
      <c r="H6" s="1349"/>
      <c r="I6" s="1349"/>
      <c r="J6" s="1349"/>
      <c r="K6" s="1349"/>
      <c r="L6" s="1349"/>
      <c r="M6" s="1349"/>
      <c r="N6" s="1349"/>
      <c r="O6" s="1349"/>
      <c r="P6" s="1349"/>
      <c r="Q6" s="1349"/>
      <c r="R6" s="1349"/>
      <c r="S6" s="1349"/>
      <c r="T6" s="1349"/>
      <c r="U6" s="1349"/>
      <c r="V6" s="1349"/>
      <c r="W6" s="1349"/>
      <c r="X6" s="1349"/>
      <c r="Y6" s="1349"/>
      <c r="Z6" s="1349"/>
      <c r="AA6" s="1349"/>
      <c r="AB6" s="1349"/>
      <c r="AC6" s="1349"/>
    </row>
    <row r="7" spans="1:29">
      <c r="B7" s="726" t="s">
        <v>333</v>
      </c>
      <c r="C7" s="265"/>
      <c r="D7" s="265"/>
      <c r="E7" s="265"/>
      <c r="F7" s="265"/>
      <c r="G7" s="265"/>
      <c r="H7" s="266"/>
      <c r="I7" s="266"/>
      <c r="J7" s="266"/>
      <c r="K7" s="266"/>
      <c r="L7" s="266"/>
      <c r="M7" s="266"/>
      <c r="N7" s="266"/>
      <c r="O7" s="266"/>
      <c r="P7" s="266"/>
      <c r="Q7" s="266"/>
      <c r="R7" s="266"/>
      <c r="S7" s="266"/>
      <c r="T7" s="266"/>
      <c r="U7" s="266"/>
    </row>
    <row r="8" spans="1:29" ht="14.9" customHeight="1">
      <c r="B8" s="686" t="s">
        <v>304</v>
      </c>
      <c r="C8" s="687"/>
      <c r="D8" s="690" t="s">
        <v>280</v>
      </c>
      <c r="E8" s="691"/>
      <c r="F8" s="691"/>
      <c r="G8" s="691"/>
      <c r="H8" s="691"/>
      <c r="I8" s="691"/>
      <c r="J8" s="691"/>
      <c r="K8" s="691"/>
      <c r="L8" s="691"/>
      <c r="M8" s="691"/>
      <c r="N8" s="691"/>
      <c r="O8" s="691"/>
      <c r="P8" s="1319"/>
      <c r="Q8" s="1319"/>
      <c r="R8" s="1319"/>
      <c r="S8" s="1319"/>
      <c r="T8" s="1319"/>
      <c r="U8" s="1319"/>
      <c r="V8" s="1307"/>
      <c r="W8" s="1346" t="s">
        <v>281</v>
      </c>
      <c r="X8" s="1317"/>
      <c r="Y8" s="1317"/>
      <c r="Z8" s="1317"/>
      <c r="AA8" s="1317"/>
      <c r="AB8" s="1317"/>
      <c r="AC8" s="1347"/>
    </row>
    <row r="9" spans="1:29" ht="14.9" customHeight="1">
      <c r="B9" s="688"/>
      <c r="C9" s="689"/>
      <c r="D9" s="219">
        <v>2018</v>
      </c>
      <c r="E9" s="1311">
        <v>2019</v>
      </c>
      <c r="F9" s="1312"/>
      <c r="G9" s="1312"/>
      <c r="H9" s="1313"/>
      <c r="I9" s="1311">
        <v>2020</v>
      </c>
      <c r="J9" s="1312"/>
      <c r="K9" s="1312"/>
      <c r="L9" s="1312"/>
      <c r="M9" s="1311">
        <v>2021</v>
      </c>
      <c r="N9" s="1312"/>
      <c r="O9" s="1312"/>
      <c r="P9" s="1312"/>
      <c r="Q9" s="1311">
        <v>2022</v>
      </c>
      <c r="R9" s="1333"/>
      <c r="S9" s="1333"/>
      <c r="T9" s="1313"/>
      <c r="U9" s="288"/>
      <c r="V9" s="288">
        <v>2023</v>
      </c>
      <c r="W9" s="553"/>
      <c r="X9" s="260"/>
      <c r="Y9" s="1308">
        <v>2024</v>
      </c>
      <c r="Z9" s="1321"/>
      <c r="AA9" s="1321"/>
      <c r="AB9" s="1310"/>
      <c r="AC9" s="251">
        <v>2025</v>
      </c>
    </row>
    <row r="10" spans="1:29">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72" t="s">
        <v>283</v>
      </c>
    </row>
    <row r="11" spans="1:29" ht="15" customHeight="1">
      <c r="B11" s="1393" t="s">
        <v>466</v>
      </c>
      <c r="C11" s="1394"/>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1:29" ht="17.149999999999999" customHeight="1">
      <c r="A12" t="s">
        <v>1854</v>
      </c>
      <c r="B12" s="742"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673">
        <f t="shared" ref="W12:AC12" si="0">SUM(W14:W39)-W38</f>
        <v>3090.5375833333328</v>
      </c>
      <c r="X12" s="673">
        <f t="shared" si="0"/>
        <v>3095.0163452380957</v>
      </c>
      <c r="Y12" s="673">
        <f t="shared" si="0"/>
        <v>3158.6079007714293</v>
      </c>
      <c r="Z12" s="673">
        <f t="shared" si="0"/>
        <v>3180.6012670249911</v>
      </c>
      <c r="AA12" s="673">
        <f t="shared" si="0"/>
        <v>3203.1623416263087</v>
      </c>
      <c r="AB12" s="673">
        <f t="shared" si="0"/>
        <v>3221.474207569398</v>
      </c>
      <c r="AC12" s="718">
        <f t="shared" si="0"/>
        <v>3270.8492533452941</v>
      </c>
    </row>
    <row r="13" spans="1:29" ht="15.65" customHeight="1">
      <c r="A13" t="s">
        <v>1854</v>
      </c>
      <c r="B13" s="741" t="s">
        <v>798</v>
      </c>
      <c r="C13" s="240" t="s">
        <v>825</v>
      </c>
      <c r="D13" s="274">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673">
        <v>34</v>
      </c>
      <c r="V13" s="552">
        <v>34</v>
      </c>
      <c r="W13" s="673">
        <v>34</v>
      </c>
      <c r="X13" s="673">
        <v>34</v>
      </c>
      <c r="Y13" s="673">
        <v>34</v>
      </c>
      <c r="Z13" s="673">
        <v>34</v>
      </c>
      <c r="AA13" s="673">
        <v>34</v>
      </c>
      <c r="AB13" s="673">
        <v>34</v>
      </c>
      <c r="AC13" s="718">
        <v>34</v>
      </c>
    </row>
    <row r="14" spans="1:29" ht="15" customHeight="1">
      <c r="A14" t="s">
        <v>1851</v>
      </c>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1:29">
      <c r="B15" s="416" t="s">
        <v>203</v>
      </c>
      <c r="C15" s="240"/>
      <c r="D15" s="592"/>
      <c r="E15" s="552"/>
      <c r="F15" s="552"/>
      <c r="G15" s="552"/>
      <c r="H15" s="552"/>
      <c r="I15" s="552"/>
      <c r="J15" s="552"/>
      <c r="K15" s="552"/>
      <c r="L15" s="552"/>
      <c r="M15" s="552"/>
      <c r="N15" s="552"/>
      <c r="O15" s="552"/>
      <c r="P15" s="552"/>
      <c r="Q15" s="552"/>
      <c r="R15" s="552"/>
      <c r="S15" s="552"/>
      <c r="T15" s="552"/>
      <c r="U15" s="552"/>
      <c r="V15" s="552">
        <f>'Unemployment Insurance'!V19</f>
        <v>0</v>
      </c>
      <c r="W15" s="673"/>
      <c r="X15" s="673"/>
      <c r="Y15" s="673"/>
      <c r="Z15" s="673"/>
      <c r="AA15" s="673"/>
      <c r="AB15" s="673"/>
      <c r="AC15" s="718"/>
    </row>
    <row r="16" spans="1:29">
      <c r="B16" s="416" t="s">
        <v>205</v>
      </c>
      <c r="C16" s="240"/>
      <c r="D16" s="592"/>
      <c r="E16" s="552"/>
      <c r="F16" s="552"/>
      <c r="G16" s="552"/>
      <c r="H16" s="552"/>
      <c r="I16" s="552"/>
      <c r="J16" s="552"/>
      <c r="K16" s="552"/>
      <c r="L16" s="552"/>
      <c r="M16" s="552"/>
      <c r="N16" s="552"/>
      <c r="O16" s="552"/>
      <c r="P16" s="552"/>
      <c r="Q16" s="552"/>
      <c r="R16" s="552"/>
      <c r="S16" s="552"/>
      <c r="T16" s="552"/>
      <c r="U16" s="552"/>
      <c r="V16" s="552">
        <f>'Unemployment Insurance'!V20</f>
        <v>22.62857142857143</v>
      </c>
      <c r="W16" s="673"/>
      <c r="X16" s="673"/>
      <c r="Y16" s="673"/>
      <c r="Z16" s="673"/>
      <c r="AA16" s="673"/>
      <c r="AB16" s="673"/>
      <c r="AC16" s="718"/>
    </row>
    <row r="17" spans="1:101" ht="17.899999999999999" customHeight="1">
      <c r="A17" t="s">
        <v>1851</v>
      </c>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738">
        <f>Medicare!V10</f>
        <v>941.9</v>
      </c>
      <c r="W17" s="673">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1:101" ht="18" customHeight="1">
      <c r="A18" t="s">
        <v>1851</v>
      </c>
      <c r="B18" s="668" t="s">
        <v>469</v>
      </c>
      <c r="C18" s="240"/>
      <c r="D18" s="592"/>
      <c r="E18" s="552"/>
      <c r="F18" s="552"/>
      <c r="G18" s="552"/>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c r="B19" s="669" t="s">
        <v>1844</v>
      </c>
      <c r="C19" s="240"/>
      <c r="D19" s="592"/>
      <c r="E19" s="552"/>
      <c r="F19" s="552"/>
      <c r="G19" s="552"/>
      <c r="H19" s="552"/>
      <c r="I19" s="552"/>
      <c r="J19" s="552"/>
      <c r="K19" s="552"/>
      <c r="L19" s="552"/>
      <c r="M19" s="552"/>
      <c r="N19" s="552"/>
      <c r="O19" s="552"/>
      <c r="P19" s="552"/>
      <c r="Q19" s="552"/>
      <c r="R19" s="552"/>
      <c r="S19" s="552"/>
      <c r="T19" s="552"/>
      <c r="U19" s="552"/>
      <c r="V19" s="552">
        <v>0</v>
      </c>
      <c r="W19" s="673"/>
      <c r="X19" s="673"/>
      <c r="Y19" s="673"/>
      <c r="Z19" s="673"/>
      <c r="AA19" s="673"/>
      <c r="AB19" s="673"/>
      <c r="AC19" s="718"/>
    </row>
    <row r="20" spans="1:101" ht="18" customHeight="1">
      <c r="B20" s="669" t="s">
        <v>1845</v>
      </c>
      <c r="C20" s="240"/>
      <c r="D20" s="592"/>
      <c r="E20" s="552"/>
      <c r="F20" s="552"/>
      <c r="G20" s="552"/>
      <c r="H20" s="552"/>
      <c r="I20" s="552"/>
      <c r="J20" s="552"/>
      <c r="K20" s="552"/>
      <c r="L20" s="552"/>
      <c r="M20" s="552"/>
      <c r="N20" s="552"/>
      <c r="O20" s="552"/>
      <c r="P20" s="552"/>
      <c r="Q20" s="552"/>
      <c r="R20" s="552"/>
      <c r="S20" s="552"/>
      <c r="T20" s="552"/>
      <c r="U20" s="552"/>
      <c r="V20" s="552">
        <v>0</v>
      </c>
      <c r="W20" s="673"/>
      <c r="X20" s="673"/>
      <c r="Y20" s="673"/>
      <c r="Z20" s="673"/>
      <c r="AA20" s="673"/>
      <c r="AB20" s="673"/>
      <c r="AC20" s="718"/>
    </row>
    <row r="21" spans="1:101" ht="18" customHeight="1">
      <c r="A21" t="s">
        <v>1851</v>
      </c>
      <c r="B21" s="670" t="s">
        <v>49</v>
      </c>
      <c r="C21" s="240"/>
      <c r="D21" s="395">
        <f>'Provider Relief (expired)'!D11</f>
        <v>0</v>
      </c>
      <c r="E21" s="401">
        <f>'Provider Relief (expired)'!E11</f>
        <v>0</v>
      </c>
      <c r="F21" s="401">
        <f>'Provider Relief (expired)'!F11</f>
        <v>0</v>
      </c>
      <c r="G21" s="401">
        <f>'Provider Relief (expired)'!G11</f>
        <v>0</v>
      </c>
      <c r="H21" s="401">
        <f>'Provider Relief (expired)'!H11</f>
        <v>0</v>
      </c>
      <c r="I21" s="401">
        <f>'Provider Relief (expired)'!I11</f>
        <v>0</v>
      </c>
      <c r="J21" s="401">
        <f>'Provider Relief (expired)'!J11</f>
        <v>160.9</v>
      </c>
      <c r="K21" s="401">
        <f>'Provider Relief (expired)'!K11</f>
        <v>58.4</v>
      </c>
      <c r="L21" s="401">
        <f>'Provider Relief (expired)'!L11</f>
        <v>34.5</v>
      </c>
      <c r="M21" s="401">
        <f>'Provider Relief (expired)'!M11</f>
        <v>21.4</v>
      </c>
      <c r="N21" s="401">
        <f>'Provider Relief (expired)'!N11</f>
        <v>13.3</v>
      </c>
      <c r="O21" s="401">
        <f>'Provider Relief (expired)'!O11</f>
        <v>18.7</v>
      </c>
      <c r="P21" s="401">
        <f>'Provider Relief (expired)'!P11</f>
        <v>32.200000000000003</v>
      </c>
      <c r="Q21" s="401">
        <f>'Provider Relief (expired)'!Q11</f>
        <v>26.9</v>
      </c>
      <c r="R21" s="401">
        <f>'Provider Relief (expired)'!R11</f>
        <v>20</v>
      </c>
      <c r="S21" s="401">
        <f>'Provider Relief (expired)'!S11</f>
        <v>8.1</v>
      </c>
      <c r="T21" s="401">
        <f>'Provider Relief (expired)'!T11</f>
        <v>4.9000000000000004</v>
      </c>
      <c r="U21" s="401">
        <v>0</v>
      </c>
      <c r="V21" s="738">
        <v>0</v>
      </c>
      <c r="W21" s="673">
        <v>0</v>
      </c>
      <c r="X21" s="673">
        <v>0</v>
      </c>
      <c r="Y21" s="673">
        <v>0</v>
      </c>
      <c r="Z21" s="673">
        <v>0</v>
      </c>
      <c r="AA21" s="673">
        <v>0</v>
      </c>
      <c r="AB21" s="673">
        <v>0</v>
      </c>
      <c r="AC21" s="718">
        <v>0</v>
      </c>
    </row>
    <row r="22" spans="1:101" ht="21.65" customHeight="1">
      <c r="B22" s="425" t="s">
        <v>470</v>
      </c>
      <c r="C22" s="240"/>
      <c r="D22" s="592"/>
      <c r="E22" s="552"/>
      <c r="F22" s="552"/>
      <c r="G22" s="552"/>
      <c r="H22" s="552"/>
      <c r="I22" s="552"/>
      <c r="J22" s="552">
        <f>'PPP (expired)'!J53</f>
        <v>57.2</v>
      </c>
      <c r="K22" s="552">
        <f>'PPP (expired)'!K53</f>
        <v>81.2</v>
      </c>
      <c r="L22" s="552">
        <f>'PPP (expired)'!L53</f>
        <v>24.4</v>
      </c>
      <c r="M22" s="552">
        <f>'PPP (expired)'!M53</f>
        <v>11.7</v>
      </c>
      <c r="N22" s="552">
        <f>'PPP (expired)'!N53</f>
        <v>28.5</v>
      </c>
      <c r="O22" s="552">
        <f>'PPP (expired)'!O53</f>
        <v>18.8</v>
      </c>
      <c r="P22" s="552">
        <f>'PPP (expired)'!P53</f>
        <v>1.6</v>
      </c>
      <c r="Q22" s="552">
        <f>'PPP (expired)'!Q53</f>
        <v>0</v>
      </c>
      <c r="R22" s="552">
        <f>'PPP (expired)'!R53</f>
        <v>0</v>
      </c>
      <c r="S22" s="552">
        <f>'PPP (expired)'!S53</f>
        <v>0</v>
      </c>
      <c r="T22" s="552">
        <f>'PPP (expired)'!T53</f>
        <v>0</v>
      </c>
      <c r="U22" s="552">
        <f>'PPP (expired)'!U53</f>
        <v>0</v>
      </c>
      <c r="V22" s="552">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4" customHeight="1">
      <c r="B23" s="425" t="s">
        <v>218</v>
      </c>
      <c r="C23" s="677"/>
      <c r="D23" s="395"/>
      <c r="E23" s="401"/>
      <c r="F23" s="401"/>
      <c r="G23" s="401"/>
      <c r="H23" s="401"/>
      <c r="I23" s="401"/>
      <c r="J23" s="401"/>
      <c r="K23" s="401"/>
      <c r="L23" s="401"/>
      <c r="M23" s="552">
        <f>'ARP Quarterly'!C4</f>
        <v>0</v>
      </c>
      <c r="N23" s="552">
        <f>'ARP Quarterly'!D4</f>
        <v>0</v>
      </c>
      <c r="O23" s="552">
        <f>'ARP Quarterly'!E4</f>
        <v>3.1040000000000418</v>
      </c>
      <c r="P23" s="552">
        <f>'ARP Quarterly'!F4</f>
        <v>19.719000000000005</v>
      </c>
      <c r="Q23" s="552">
        <f>'ARP Quarterly'!G4</f>
        <v>19.719000000000005</v>
      </c>
      <c r="R23" s="552">
        <f>'ARP Quarterly'!H4</f>
        <v>19.719000000000005</v>
      </c>
      <c r="S23" s="552">
        <f>'ARP Quarterly'!I4</f>
        <v>19.719000000000005</v>
      </c>
      <c r="T23" s="552">
        <f>'ARP Quarterly'!J4</f>
        <v>1.4159999999999999</v>
      </c>
      <c r="U23" s="552">
        <f>'ARP Quarterly'!K4</f>
        <v>1.4159999999999999</v>
      </c>
      <c r="V23" s="552">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5" customHeight="1">
      <c r="B24" s="248" t="s">
        <v>1433</v>
      </c>
      <c r="C24" s="240"/>
      <c r="D24" s="592">
        <f>D85</f>
        <v>0</v>
      </c>
      <c r="E24" s="552">
        <f t="shared" ref="E24:AC24" si="1">E85</f>
        <v>0</v>
      </c>
      <c r="F24" s="552">
        <f t="shared" si="1"/>
        <v>0</v>
      </c>
      <c r="G24" s="552">
        <f t="shared" si="1"/>
        <v>0</v>
      </c>
      <c r="H24" s="552">
        <f t="shared" si="1"/>
        <v>0</v>
      </c>
      <c r="I24" s="552">
        <f t="shared" si="1"/>
        <v>6.6417500000000018</v>
      </c>
      <c r="J24" s="552">
        <f t="shared" si="1"/>
        <v>51.388749999999995</v>
      </c>
      <c r="K24" s="552">
        <f t="shared" si="1"/>
        <v>55.337750000000007</v>
      </c>
      <c r="L24" s="552">
        <f t="shared" si="1"/>
        <v>62.597749999999998</v>
      </c>
      <c r="M24" s="552">
        <f t="shared" si="1"/>
        <v>88.07774999999998</v>
      </c>
      <c r="N24" s="552">
        <f t="shared" si="1"/>
        <v>102.89075</v>
      </c>
      <c r="O24" s="552">
        <f t="shared" si="1"/>
        <v>94.404750000000007</v>
      </c>
      <c r="P24" s="552">
        <f t="shared" si="1"/>
        <v>91.919749999999993</v>
      </c>
      <c r="Q24" s="552">
        <f t="shared" si="1"/>
        <v>80.097749999999991</v>
      </c>
      <c r="R24" s="552">
        <f t="shared" si="1"/>
        <v>69.023750000000007</v>
      </c>
      <c r="S24" s="552">
        <f t="shared" si="1"/>
        <v>61.349750000000007</v>
      </c>
      <c r="T24" s="552">
        <f t="shared" si="1"/>
        <v>81.433750000000003</v>
      </c>
      <c r="U24" s="552">
        <f t="shared" si="1"/>
        <v>75.465749999999986</v>
      </c>
      <c r="V24" s="552">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49999999999999" customHeight="1">
      <c r="A25" t="s">
        <v>1854</v>
      </c>
      <c r="B25" s="742" t="s">
        <v>467</v>
      </c>
      <c r="C25" s="240" t="s">
        <v>468</v>
      </c>
      <c r="D25" s="552">
        <f>'Haver Pivoted'!GO31</f>
        <v>2223</v>
      </c>
      <c r="E25" s="552">
        <f>'Haver Pivoted'!GP31</f>
        <v>2303.6</v>
      </c>
      <c r="F25" s="552">
        <f>'Haver Pivoted'!GQ31</f>
        <v>2320.1</v>
      </c>
      <c r="G25" s="552">
        <f>'Haver Pivoted'!GR31</f>
        <v>2332.9</v>
      </c>
      <c r="H25" s="552">
        <f>'Haver Pivoted'!GS31</f>
        <v>2346.6</v>
      </c>
      <c r="I25" s="552">
        <f>'Haver Pivoted'!GT31</f>
        <v>2412.6</v>
      </c>
      <c r="J25" s="552">
        <f>'Haver Pivoted'!GU31</f>
        <v>4652.1000000000004</v>
      </c>
      <c r="K25" s="552">
        <f>'Haver Pivoted'!GV31</f>
        <v>3508</v>
      </c>
      <c r="L25" s="552">
        <f>'Haver Pivoted'!GW31</f>
        <v>2895.4</v>
      </c>
      <c r="M25" s="552">
        <f>'Haver Pivoted'!GX31</f>
        <v>5127.3999999999996</v>
      </c>
      <c r="N25" s="552">
        <f>'Haver Pivoted'!GY31</f>
        <v>3403.8</v>
      </c>
      <c r="O25" s="552">
        <f>'Haver Pivoted'!GZ31</f>
        <v>3135</v>
      </c>
      <c r="P25" s="552">
        <f>'Haver Pivoted'!HA31</f>
        <v>2947.7</v>
      </c>
      <c r="Q25" s="552">
        <f>'Haver Pivoted'!HB31</f>
        <v>2903.2</v>
      </c>
      <c r="R25" s="552">
        <f>'Haver Pivoted'!HC31</f>
        <v>2895.2</v>
      </c>
      <c r="S25" s="552">
        <f>'Haver Pivoted'!HD31</f>
        <v>2867.4</v>
      </c>
      <c r="T25" s="552">
        <f>'Haver Pivoted'!HE31</f>
        <v>2896.7</v>
      </c>
      <c r="U25" s="552">
        <f>'Haver Pivoted'!HF31</f>
        <v>2945.8</v>
      </c>
      <c r="V25" s="552">
        <f>'Haver Pivoted'!HG31</f>
        <v>2929.7</v>
      </c>
      <c r="W25" s="673"/>
      <c r="X25" s="673"/>
      <c r="Y25" s="673"/>
      <c r="Z25" s="673"/>
      <c r="AA25" s="673"/>
      <c r="AB25" s="673"/>
      <c r="AC25" s="673"/>
    </row>
    <row r="26" spans="1:101" ht="17.149999999999999" customHeight="1">
      <c r="B26" s="265" t="s">
        <v>1853</v>
      </c>
      <c r="C26" s="240"/>
      <c r="D26" s="552">
        <f>D27+D28</f>
        <v>812.1</v>
      </c>
      <c r="E26" s="552">
        <f t="shared" ref="E26:V26" si="2">E27+E28</f>
        <v>832.4</v>
      </c>
      <c r="F26" s="552">
        <f t="shared" si="2"/>
        <v>843</v>
      </c>
      <c r="G26" s="552">
        <f t="shared" si="2"/>
        <v>848.9</v>
      </c>
      <c r="H26" s="552">
        <f t="shared" si="2"/>
        <v>854.6</v>
      </c>
      <c r="I26" s="552">
        <f t="shared" si="2"/>
        <v>875.94174999999996</v>
      </c>
      <c r="J26" s="552">
        <f t="shared" si="2"/>
        <v>2979.1887500000003</v>
      </c>
      <c r="K26" s="552">
        <f t="shared" si="2"/>
        <v>1807.73775</v>
      </c>
      <c r="L26" s="552">
        <f t="shared" si="2"/>
        <v>1280.19775</v>
      </c>
      <c r="M26" s="552">
        <f>M27+M28</f>
        <v>3500.7777499999997</v>
      </c>
      <c r="N26" s="552">
        <f t="shared" si="2"/>
        <v>1773.2907500000001</v>
      </c>
      <c r="O26" s="552">
        <f t="shared" si="2"/>
        <v>1483.542083333333</v>
      </c>
      <c r="P26" s="552">
        <f t="shared" si="2"/>
        <v>1284.7720833333331</v>
      </c>
      <c r="Q26" s="552">
        <f t="shared" si="2"/>
        <v>1138.51675</v>
      </c>
      <c r="R26" s="552">
        <f t="shared" si="2"/>
        <v>1129.1427500000002</v>
      </c>
      <c r="S26" s="552">
        <f t="shared" si="2"/>
        <v>1122.16875</v>
      </c>
      <c r="T26" s="552">
        <f t="shared" si="2"/>
        <v>1133.4497500000002</v>
      </c>
      <c r="U26" s="552">
        <f t="shared" si="2"/>
        <v>1070.9817499999999</v>
      </c>
      <c r="V26" s="552">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49999999999999" customHeight="1">
      <c r="B27" s="416" t="s">
        <v>1852</v>
      </c>
      <c r="C27" s="240"/>
      <c r="D27" s="592">
        <f t="shared" ref="D27:V27" si="9">D13+D14+D17</f>
        <v>812.1</v>
      </c>
      <c r="E27" s="552">
        <f t="shared" si="9"/>
        <v>832.4</v>
      </c>
      <c r="F27" s="552">
        <f t="shared" si="9"/>
        <v>843</v>
      </c>
      <c r="G27" s="552">
        <f t="shared" si="9"/>
        <v>848.9</v>
      </c>
      <c r="H27" s="552">
        <f t="shared" si="9"/>
        <v>854.6</v>
      </c>
      <c r="I27" s="552">
        <f t="shared" si="9"/>
        <v>869.3</v>
      </c>
      <c r="J27" s="552">
        <f t="shared" si="9"/>
        <v>1792.5</v>
      </c>
      <c r="K27" s="552">
        <f t="shared" si="9"/>
        <v>1655.6</v>
      </c>
      <c r="L27" s="552">
        <f t="shared" si="9"/>
        <v>1188.2</v>
      </c>
      <c r="M27" s="552">
        <f t="shared" si="9"/>
        <v>1467.3</v>
      </c>
      <c r="N27" s="552">
        <f t="shared" si="9"/>
        <v>1351.8</v>
      </c>
      <c r="O27" s="552">
        <f t="shared" si="9"/>
        <v>1328.333333333333</v>
      </c>
      <c r="P27" s="552">
        <f t="shared" si="9"/>
        <v>1157.333333333333</v>
      </c>
      <c r="Q27" s="552">
        <f t="shared" si="9"/>
        <v>1038.7</v>
      </c>
      <c r="R27" s="552">
        <f t="shared" si="9"/>
        <v>1040.4000000000001</v>
      </c>
      <c r="S27" s="552">
        <f t="shared" si="9"/>
        <v>1041.1000000000001</v>
      </c>
      <c r="T27" s="552">
        <f t="shared" si="9"/>
        <v>1050.6000000000001</v>
      </c>
      <c r="U27" s="552">
        <f t="shared" si="9"/>
        <v>994.1</v>
      </c>
      <c r="V27" s="552">
        <f t="shared" si="9"/>
        <v>998.52857142857147</v>
      </c>
      <c r="W27" s="673"/>
      <c r="X27" s="673"/>
      <c r="Y27" s="673"/>
      <c r="Z27" s="673"/>
      <c r="AA27" s="673"/>
      <c r="AB27" s="673"/>
      <c r="AC27" s="718"/>
    </row>
    <row r="28" spans="1:101" ht="28.5" customHeight="1">
      <c r="B28" s="416" t="s">
        <v>1849</v>
      </c>
      <c r="C28" s="240"/>
      <c r="D28" s="395">
        <f t="shared" ref="D28:AC28" si="10">D18+D23+D24+D22</f>
        <v>0</v>
      </c>
      <c r="E28" s="401">
        <f t="shared" si="10"/>
        <v>0</v>
      </c>
      <c r="F28" s="401">
        <f t="shared" si="10"/>
        <v>0</v>
      </c>
      <c r="G28" s="401">
        <f t="shared" si="10"/>
        <v>0</v>
      </c>
      <c r="H28" s="401">
        <f t="shared" si="10"/>
        <v>0</v>
      </c>
      <c r="I28" s="401">
        <f t="shared" si="10"/>
        <v>6.6417500000000018</v>
      </c>
      <c r="J28" s="401">
        <f t="shared" si="10"/>
        <v>1186.68875</v>
      </c>
      <c r="K28" s="401">
        <f t="shared" si="10"/>
        <v>152.13775000000001</v>
      </c>
      <c r="L28" s="401">
        <f t="shared" si="10"/>
        <v>91.997749999999996</v>
      </c>
      <c r="M28" s="401">
        <f t="shared" si="10"/>
        <v>2033.4777499999998</v>
      </c>
      <c r="N28" s="401">
        <f t="shared" si="10"/>
        <v>421.49075000000005</v>
      </c>
      <c r="O28" s="401">
        <f t="shared" si="10"/>
        <v>155.20875000000007</v>
      </c>
      <c r="P28" s="401">
        <f t="shared" si="10"/>
        <v>127.43875</v>
      </c>
      <c r="Q28" s="401">
        <f t="shared" si="10"/>
        <v>99.816749999999999</v>
      </c>
      <c r="R28" s="401">
        <f t="shared" si="10"/>
        <v>88.742750000000015</v>
      </c>
      <c r="S28" s="401">
        <f t="shared" si="10"/>
        <v>81.068750000000009</v>
      </c>
      <c r="T28" s="401">
        <f t="shared" si="10"/>
        <v>82.84975</v>
      </c>
      <c r="U28" s="401">
        <f t="shared" si="10"/>
        <v>76.881749999999982</v>
      </c>
      <c r="V28" s="401">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c r="B29" s="425" t="s">
        <v>1855</v>
      </c>
      <c r="C29" s="240"/>
      <c r="D29" s="401">
        <f>D25-D26</f>
        <v>1410.9</v>
      </c>
      <c r="E29" s="401">
        <f t="shared" ref="E29:V29" si="11">E25-E26</f>
        <v>1471.1999999999998</v>
      </c>
      <c r="F29" s="401">
        <f t="shared" si="11"/>
        <v>1477.1</v>
      </c>
      <c r="G29" s="401">
        <f t="shared" si="11"/>
        <v>1484</v>
      </c>
      <c r="H29" s="401">
        <f t="shared" si="11"/>
        <v>1492</v>
      </c>
      <c r="I29" s="401">
        <f t="shared" si="11"/>
        <v>1536.65825</v>
      </c>
      <c r="J29" s="401">
        <f t="shared" si="11"/>
        <v>1672.9112500000001</v>
      </c>
      <c r="K29" s="401">
        <f t="shared" si="11"/>
        <v>1700.26225</v>
      </c>
      <c r="L29" s="401">
        <f t="shared" si="11"/>
        <v>1615.20225</v>
      </c>
      <c r="M29" s="401">
        <f t="shared" si="11"/>
        <v>1626.6222499999999</v>
      </c>
      <c r="N29" s="401">
        <f t="shared" si="11"/>
        <v>1630.5092500000001</v>
      </c>
      <c r="O29" s="401">
        <f t="shared" si="11"/>
        <v>1651.457916666667</v>
      </c>
      <c r="P29" s="401">
        <f t="shared" si="11"/>
        <v>1662.9279166666668</v>
      </c>
      <c r="Q29" s="401">
        <f t="shared" si="11"/>
        <v>1764.6832499999998</v>
      </c>
      <c r="R29" s="401">
        <f t="shared" si="11"/>
        <v>1766.0572499999996</v>
      </c>
      <c r="S29" s="401">
        <f t="shared" si="11"/>
        <v>1745.23125</v>
      </c>
      <c r="T29" s="401">
        <f t="shared" si="11"/>
        <v>1763.2502499999996</v>
      </c>
      <c r="U29" s="401">
        <f t="shared" si="11"/>
        <v>1874.8182500000003</v>
      </c>
      <c r="V29" s="401">
        <f t="shared" si="11"/>
        <v>1881.3366785714284</v>
      </c>
      <c r="W29" s="346"/>
      <c r="X29" s="346"/>
      <c r="Y29" s="346"/>
      <c r="Z29" s="346"/>
      <c r="AA29" s="346"/>
      <c r="AB29" s="346"/>
      <c r="AC29" s="346"/>
    </row>
    <row r="30" spans="1:101" ht="18" customHeight="1">
      <c r="B30" s="459" t="s">
        <v>1846</v>
      </c>
      <c r="C30" s="240"/>
      <c r="D30" s="274"/>
      <c r="E30" s="230"/>
      <c r="F30" s="230"/>
      <c r="G30" s="230"/>
      <c r="H30" s="230"/>
      <c r="I30" s="230"/>
      <c r="J30" s="230"/>
      <c r="K30" s="230"/>
      <c r="L30" s="230"/>
      <c r="M30" s="230"/>
      <c r="N30" s="230"/>
      <c r="O30" s="230"/>
      <c r="P30" s="230"/>
      <c r="Q30" s="230"/>
      <c r="R30" s="230"/>
      <c r="S30" s="230"/>
      <c r="T30" s="230"/>
      <c r="U30" s="230"/>
      <c r="V30" s="552"/>
      <c r="W30" s="673"/>
      <c r="X30" s="673"/>
      <c r="Y30" s="673"/>
      <c r="Z30" s="673"/>
      <c r="AA30" s="673"/>
      <c r="AB30" s="673"/>
      <c r="AC30" s="718"/>
    </row>
    <row r="31" spans="1:101" ht="18" customHeight="1">
      <c r="B31" s="459" t="s">
        <v>1847</v>
      </c>
      <c r="C31" s="240"/>
      <c r="D31" s="274"/>
      <c r="E31" s="230"/>
      <c r="F31" s="230"/>
      <c r="G31" s="230"/>
      <c r="H31" s="230"/>
      <c r="I31" s="230"/>
      <c r="J31" s="230"/>
      <c r="K31" s="230"/>
      <c r="L31" s="230"/>
      <c r="M31" s="230"/>
      <c r="N31" s="230"/>
      <c r="O31" s="230"/>
      <c r="P31" s="230"/>
      <c r="Q31" s="230"/>
      <c r="R31" s="230"/>
      <c r="S31" s="230"/>
      <c r="T31" s="230"/>
      <c r="U31" s="230"/>
      <c r="V31" s="552"/>
      <c r="W31" s="673"/>
      <c r="X31" s="673"/>
      <c r="Y31" s="673"/>
      <c r="Z31" s="673"/>
      <c r="AA31" s="673"/>
      <c r="AB31" s="673"/>
      <c r="AC31" s="718"/>
    </row>
    <row r="32" spans="1:101" ht="20.149999999999999" customHeight="1">
      <c r="B32" s="268" t="s">
        <v>472</v>
      </c>
      <c r="C32" s="263"/>
      <c r="D32" s="720"/>
      <c r="E32" s="633"/>
      <c r="F32" s="633"/>
      <c r="G32" s="63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9">
        <f>'ARP Quarterly'!L5</f>
        <v>12</v>
      </c>
      <c r="W32" s="554">
        <f>'ARP Quarterly'!M5</f>
        <v>12</v>
      </c>
      <c r="X32" s="554">
        <f>'ARP Quarterly'!N5</f>
        <v>4.2219999999999995</v>
      </c>
      <c r="Y32" s="554">
        <f>'ARP Quarterly'!O5</f>
        <v>4.2219999999999995</v>
      </c>
      <c r="Z32" s="554">
        <f>'ARP Quarterly'!P5</f>
        <v>4.2219999999999995</v>
      </c>
      <c r="AA32" s="554">
        <f>'ARP Quarterly'!Q5</f>
        <v>4.2219999999999995</v>
      </c>
      <c r="AB32" s="554">
        <f>'ARP Quarterly'!R5</f>
        <v>2.3719999999999999</v>
      </c>
      <c r="AC32" s="685">
        <f>'ARP Quarterly'!S5</f>
        <v>2.3719999999999999</v>
      </c>
    </row>
    <row r="33" spans="2:101" ht="22.4" customHeight="1">
      <c r="B33" s="248" t="s">
        <v>218</v>
      </c>
      <c r="C33" s="677"/>
      <c r="D33" s="274"/>
      <c r="E33" s="230"/>
      <c r="F33" s="230"/>
      <c r="G33" s="230"/>
      <c r="H33" s="230"/>
      <c r="I33" s="230"/>
      <c r="J33" s="230"/>
      <c r="K33" s="230"/>
      <c r="L33" s="230"/>
      <c r="M33" s="552">
        <f>'ARP Quarterly'!C4</f>
        <v>0</v>
      </c>
      <c r="N33" s="552">
        <f>'ARP Quarterly'!D4</f>
        <v>0</v>
      </c>
      <c r="O33" s="552">
        <f>'ARP Quarterly'!E4</f>
        <v>3.1040000000000418</v>
      </c>
      <c r="P33" s="552">
        <f>'ARP Quarterly'!F4</f>
        <v>19.719000000000005</v>
      </c>
      <c r="Q33" s="552">
        <f>'ARP Quarterly'!G4</f>
        <v>19.719000000000005</v>
      </c>
      <c r="R33" s="552">
        <f>'ARP Quarterly'!H4</f>
        <v>19.719000000000005</v>
      </c>
      <c r="S33" s="552">
        <f>'ARP Quarterly'!I4</f>
        <v>19.719000000000005</v>
      </c>
      <c r="T33" s="552">
        <f>'ARP Quarterly'!J4</f>
        <v>1.4159999999999999</v>
      </c>
      <c r="U33" s="552">
        <f>'ARP Quarterly'!K4</f>
        <v>1.4159999999999999</v>
      </c>
      <c r="V33" s="552">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5" customHeight="1">
      <c r="B34" s="248" t="s">
        <v>1433</v>
      </c>
      <c r="C34" s="240"/>
      <c r="D34" s="275">
        <f>D85</f>
        <v>0</v>
      </c>
      <c r="E34" s="234">
        <f t="shared" ref="E34:AC34" si="12">E85</f>
        <v>0</v>
      </c>
      <c r="F34" s="234">
        <f t="shared" si="12"/>
        <v>0</v>
      </c>
      <c r="G34" s="234">
        <f t="shared" si="12"/>
        <v>0</v>
      </c>
      <c r="H34" s="234">
        <f t="shared" si="12"/>
        <v>0</v>
      </c>
      <c r="I34" s="552">
        <f t="shared" si="12"/>
        <v>6.6417500000000018</v>
      </c>
      <c r="J34" s="552">
        <f t="shared" si="12"/>
        <v>51.388749999999995</v>
      </c>
      <c r="K34" s="552">
        <f t="shared" si="12"/>
        <v>55.337750000000007</v>
      </c>
      <c r="L34" s="552">
        <f t="shared" si="12"/>
        <v>62.597749999999998</v>
      </c>
      <c r="M34" s="552">
        <f t="shared" si="12"/>
        <v>88.07774999999998</v>
      </c>
      <c r="N34" s="552">
        <f t="shared" si="12"/>
        <v>102.89075</v>
      </c>
      <c r="O34" s="552">
        <f t="shared" si="12"/>
        <v>94.404750000000007</v>
      </c>
      <c r="P34" s="552">
        <f t="shared" si="12"/>
        <v>91.919749999999993</v>
      </c>
      <c r="Q34" s="552">
        <f t="shared" si="12"/>
        <v>80.097749999999991</v>
      </c>
      <c r="R34" s="552">
        <f t="shared" si="12"/>
        <v>69.023750000000007</v>
      </c>
      <c r="S34" s="552">
        <f t="shared" si="12"/>
        <v>61.349750000000007</v>
      </c>
      <c r="T34" s="552">
        <f t="shared" si="12"/>
        <v>81.433750000000003</v>
      </c>
      <c r="U34" s="552">
        <f t="shared" si="12"/>
        <v>75.465749999999986</v>
      </c>
      <c r="V34" s="552">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5" customHeight="1">
      <c r="B35" s="740" t="s">
        <v>798</v>
      </c>
      <c r="C35" s="240" t="s">
        <v>825</v>
      </c>
      <c r="D35" s="274">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40">
        <f>'Haver Pivoted'!HD89</f>
        <v>94.3</v>
      </c>
      <c r="T35" s="440">
        <f>'Haver Pivoted'!HE89</f>
        <v>94.3</v>
      </c>
      <c r="U35" s="673">
        <v>34</v>
      </c>
      <c r="V35" s="552">
        <v>34</v>
      </c>
      <c r="W35" s="673">
        <v>34</v>
      </c>
      <c r="X35" s="673">
        <v>34</v>
      </c>
      <c r="Y35" s="673">
        <v>34</v>
      </c>
      <c r="Z35" s="673">
        <v>34</v>
      </c>
      <c r="AA35" s="673">
        <v>34</v>
      </c>
      <c r="AB35" s="673">
        <v>34</v>
      </c>
      <c r="AC35" s="718">
        <v>34</v>
      </c>
    </row>
    <row r="36" spans="2:101" ht="21.65" customHeight="1">
      <c r="B36" s="248" t="s">
        <v>470</v>
      </c>
      <c r="C36" s="240"/>
      <c r="D36" s="275"/>
      <c r="E36" s="234"/>
      <c r="F36" s="234"/>
      <c r="G36" s="234"/>
      <c r="H36" s="552"/>
      <c r="I36" s="552"/>
      <c r="J36" s="552">
        <f>'PPP (expired)'!J53</f>
        <v>57.2</v>
      </c>
      <c r="K36" s="552">
        <f>'PPP (expired)'!K53</f>
        <v>81.2</v>
      </c>
      <c r="L36" s="552">
        <f>'PPP (expired)'!L53</f>
        <v>24.4</v>
      </c>
      <c r="M36" s="552">
        <f>'PPP (expired)'!M53</f>
        <v>11.7</v>
      </c>
      <c r="N36" s="552">
        <f>'PPP (expired)'!N53</f>
        <v>28.5</v>
      </c>
      <c r="O36" s="552">
        <f>'PPP (expired)'!O53</f>
        <v>18.8</v>
      </c>
      <c r="P36" s="552">
        <f>'PPP (expired)'!P53</f>
        <v>1.6</v>
      </c>
      <c r="Q36" s="552">
        <f>'PPP (expired)'!Q53</f>
        <v>0</v>
      </c>
      <c r="R36" s="552">
        <f>'PPP (expired)'!Q61</f>
        <v>0</v>
      </c>
      <c r="S36" s="552">
        <f>'PPP (expired)'!S53</f>
        <v>0</v>
      </c>
      <c r="T36" s="552">
        <f>'PPP (expired)'!T53</f>
        <v>0</v>
      </c>
      <c r="U36" s="552">
        <f>'PPP (expired)'!U53</f>
        <v>0</v>
      </c>
      <c r="V36" s="552">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5" customHeight="1">
      <c r="B37" s="459" t="s">
        <v>799</v>
      </c>
      <c r="C37" s="240"/>
      <c r="D37" s="592">
        <f t="shared" ref="D37:AC37" si="13">D109</f>
        <v>0</v>
      </c>
      <c r="E37" s="552">
        <f t="shared" si="13"/>
        <v>0</v>
      </c>
      <c r="F37" s="552">
        <f t="shared" si="13"/>
        <v>0</v>
      </c>
      <c r="G37" s="552">
        <f t="shared" si="13"/>
        <v>0</v>
      </c>
      <c r="H37" s="552">
        <f t="shared" si="13"/>
        <v>0</v>
      </c>
      <c r="I37" s="552">
        <f t="shared" si="13"/>
        <v>-6.6417499999997744</v>
      </c>
      <c r="J37" s="552">
        <f t="shared" si="13"/>
        <v>-38.222083333332648</v>
      </c>
      <c r="K37" s="552">
        <f t="shared" si="13"/>
        <v>84.695583333333389</v>
      </c>
      <c r="L37" s="552">
        <f t="shared" si="13"/>
        <v>16.60225000000014</v>
      </c>
      <c r="M37" s="552">
        <f t="shared" si="13"/>
        <v>16.668916666666519</v>
      </c>
      <c r="N37" s="552">
        <f t="shared" si="13"/>
        <v>-12.19925666666677</v>
      </c>
      <c r="O37" s="552">
        <f t="shared" si="13"/>
        <v>-14.628243333333103</v>
      </c>
      <c r="P37" s="552">
        <f t="shared" si="13"/>
        <v>-31.382416666666586</v>
      </c>
      <c r="Q37" s="552">
        <f t="shared" si="13"/>
        <v>-3.1812166666670691</v>
      </c>
      <c r="R37" s="552">
        <f t="shared" si="13"/>
        <v>-1.8405500000005759</v>
      </c>
      <c r="S37" s="552">
        <f t="shared" si="13"/>
        <v>-17.699883333333901</v>
      </c>
      <c r="T37" s="552">
        <f t="shared" si="13"/>
        <v>19.342783333332591</v>
      </c>
      <c r="U37" s="737">
        <f t="shared" si="13"/>
        <v>40.229804999999715</v>
      </c>
      <c r="V37" s="552">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c r="B38" s="268" t="s">
        <v>796</v>
      </c>
      <c r="C38" s="263"/>
      <c r="D38" s="720">
        <f t="shared" ref="D38:AC38" si="14">D33+D21</f>
        <v>0</v>
      </c>
      <c r="E38" s="633">
        <f t="shared" si="14"/>
        <v>0</v>
      </c>
      <c r="F38" s="633">
        <f t="shared" si="14"/>
        <v>0</v>
      </c>
      <c r="G38" s="633">
        <f t="shared" si="14"/>
        <v>0</v>
      </c>
      <c r="H38" s="633">
        <f t="shared" si="14"/>
        <v>0</v>
      </c>
      <c r="I38" s="633">
        <f t="shared" si="14"/>
        <v>0</v>
      </c>
      <c r="J38" s="633">
        <f t="shared" si="14"/>
        <v>160.9</v>
      </c>
      <c r="K38" s="633">
        <f t="shared" si="14"/>
        <v>58.4</v>
      </c>
      <c r="L38" s="633">
        <f t="shared" si="14"/>
        <v>34.5</v>
      </c>
      <c r="M38" s="633">
        <f t="shared" si="14"/>
        <v>21.4</v>
      </c>
      <c r="N38" s="633">
        <f t="shared" si="14"/>
        <v>13.3</v>
      </c>
      <c r="O38" s="633">
        <f t="shared" si="14"/>
        <v>21.804000000000041</v>
      </c>
      <c r="P38" s="549">
        <f t="shared" si="14"/>
        <v>51.919000000000011</v>
      </c>
      <c r="Q38" s="633">
        <f t="shared" si="14"/>
        <v>46.619</v>
      </c>
      <c r="R38" s="633">
        <f t="shared" si="14"/>
        <v>39.719000000000008</v>
      </c>
      <c r="S38" s="633">
        <f t="shared" si="14"/>
        <v>27.819000000000003</v>
      </c>
      <c r="T38" s="549">
        <f t="shared" si="14"/>
        <v>6.3160000000000007</v>
      </c>
      <c r="U38" s="549">
        <f t="shared" si="14"/>
        <v>1.4159999999999999</v>
      </c>
      <c r="V38" s="739">
        <f t="shared" si="14"/>
        <v>1.4159999999999999</v>
      </c>
      <c r="W38" s="554">
        <f t="shared" si="14"/>
        <v>1.4159999999999999</v>
      </c>
      <c r="X38" s="554">
        <f t="shared" si="14"/>
        <v>1.4790000000000001</v>
      </c>
      <c r="Y38" s="554">
        <f t="shared" si="14"/>
        <v>1.4790000000000001</v>
      </c>
      <c r="Z38" s="554">
        <f t="shared" si="14"/>
        <v>1.4790000000000001</v>
      </c>
      <c r="AA38" s="554">
        <f t="shared" si="14"/>
        <v>1.4790000000000001</v>
      </c>
      <c r="AB38" s="554">
        <f t="shared" si="14"/>
        <v>1.63</v>
      </c>
      <c r="AC38" s="554">
        <f t="shared" si="14"/>
        <v>1.63</v>
      </c>
    </row>
    <row r="39" spans="2:101" ht="44.9" customHeight="1">
      <c r="B39" s="248" t="s">
        <v>803</v>
      </c>
      <c r="C39" s="240"/>
      <c r="D39" s="592">
        <f t="shared" ref="D39:AC39" si="15">D101</f>
        <v>1410.9</v>
      </c>
      <c r="E39" s="552">
        <f t="shared" si="15"/>
        <v>1471.1999999999998</v>
      </c>
      <c r="F39" s="552">
        <f t="shared" si="15"/>
        <v>1477.1000000000001</v>
      </c>
      <c r="G39" s="552">
        <f t="shared" si="15"/>
        <v>1484</v>
      </c>
      <c r="H39" s="552">
        <f t="shared" si="15"/>
        <v>1492</v>
      </c>
      <c r="I39" s="552">
        <f t="shared" si="15"/>
        <v>1543.2999999999997</v>
      </c>
      <c r="J39" s="552">
        <f t="shared" si="15"/>
        <v>1550.2333333333331</v>
      </c>
      <c r="K39" s="552">
        <f t="shared" si="15"/>
        <v>1557.1666666666665</v>
      </c>
      <c r="L39" s="552">
        <f t="shared" si="15"/>
        <v>1564.1</v>
      </c>
      <c r="M39" s="552">
        <f t="shared" si="15"/>
        <v>1588.5533333333333</v>
      </c>
      <c r="N39" s="552">
        <f t="shared" si="15"/>
        <v>1595.4866666666667</v>
      </c>
      <c r="O39" s="552">
        <f t="shared" si="15"/>
        <v>1602.42</v>
      </c>
      <c r="P39" s="552">
        <f t="shared" si="15"/>
        <v>1609.3533333333335</v>
      </c>
      <c r="Q39" s="552">
        <f t="shared" si="15"/>
        <v>1688.207466666667</v>
      </c>
      <c r="R39" s="552">
        <f t="shared" si="15"/>
        <v>1695.1408000000004</v>
      </c>
      <c r="S39" s="552">
        <f t="shared" si="15"/>
        <v>1702.0741333333337</v>
      </c>
      <c r="T39" s="552">
        <f t="shared" si="15"/>
        <v>1709.0074666666671</v>
      </c>
      <c r="U39" s="552">
        <f t="shared" si="15"/>
        <v>1822.5884450000005</v>
      </c>
      <c r="V39" s="552">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9" customHeight="1">
      <c r="B40" s="426" t="s">
        <v>1185</v>
      </c>
      <c r="D40" s="592"/>
      <c r="E40" s="552"/>
      <c r="F40" s="552"/>
      <c r="G40" s="552"/>
      <c r="H40" s="552"/>
      <c r="I40" s="552"/>
      <c r="J40" s="552"/>
      <c r="K40" s="552"/>
      <c r="L40" s="552"/>
      <c r="M40" s="552"/>
      <c r="N40" s="552"/>
      <c r="O40" s="552"/>
      <c r="P40" s="552"/>
      <c r="Q40" s="552"/>
      <c r="R40" s="552"/>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4" customHeight="1">
      <c r="B41" s="580" t="s">
        <v>800</v>
      </c>
      <c r="C41" s="263"/>
      <c r="D41" s="549">
        <f t="shared" ref="D41:R41" si="16">D39+SUM(D34:D37)+D40</f>
        <v>1440.9</v>
      </c>
      <c r="E41" s="549">
        <f t="shared" si="16"/>
        <v>1501.1999999999998</v>
      </c>
      <c r="F41" s="549">
        <f t="shared" si="16"/>
        <v>1507.1000000000001</v>
      </c>
      <c r="G41" s="549">
        <f t="shared" si="16"/>
        <v>1514</v>
      </c>
      <c r="H41" s="549">
        <f t="shared" si="16"/>
        <v>1522</v>
      </c>
      <c r="I41" s="549">
        <f t="shared" si="16"/>
        <v>1573.3</v>
      </c>
      <c r="J41" s="549">
        <f t="shared" si="16"/>
        <v>1650.6000000000004</v>
      </c>
      <c r="K41" s="549">
        <f t="shared" si="16"/>
        <v>1808.6</v>
      </c>
      <c r="L41" s="549">
        <f t="shared" si="16"/>
        <v>1697.9</v>
      </c>
      <c r="M41" s="549">
        <f t="shared" si="16"/>
        <v>1739.3999999999999</v>
      </c>
      <c r="N41" s="549">
        <f t="shared" si="16"/>
        <v>1749.07816</v>
      </c>
      <c r="O41" s="549">
        <f t="shared" si="16"/>
        <v>1919.92984</v>
      </c>
      <c r="P41" s="549">
        <f t="shared" si="16"/>
        <v>1894.6239999999998</v>
      </c>
      <c r="Q41" s="549">
        <f t="shared" si="16"/>
        <v>1859.424</v>
      </c>
      <c r="R41" s="549">
        <f t="shared" si="16"/>
        <v>1856.6239999999998</v>
      </c>
      <c r="S41" s="549">
        <f>S39+SUM(S34:S37)+S40</f>
        <v>1839.4019999999998</v>
      </c>
      <c r="T41" s="692">
        <f>T39+SUM(T34:T37)+T40</f>
        <v>1925.9739999999999</v>
      </c>
      <c r="U41" s="692">
        <f>U39+SUM(U34:U37)+U40</f>
        <v>1994.1740000000004</v>
      </c>
      <c r="V41" s="739">
        <f>V39+SUM(V34:V37)+V40</f>
        <v>1973.6454285714285</v>
      </c>
      <c r="W41" s="554">
        <f t="shared" ref="W41:AC41" si="17">W39+SUM(W34:W37)+W40</f>
        <v>1980.5787619047619</v>
      </c>
      <c r="X41" s="554">
        <f t="shared" si="17"/>
        <v>1981.0610952380953</v>
      </c>
      <c r="Y41" s="554">
        <f t="shared" si="17"/>
        <v>2030.6526507714286</v>
      </c>
      <c r="Z41" s="554">
        <f t="shared" si="17"/>
        <v>2037.585984104762</v>
      </c>
      <c r="AA41" s="554">
        <f t="shared" si="17"/>
        <v>2044.5193174380954</v>
      </c>
      <c r="AB41" s="554">
        <f t="shared" si="17"/>
        <v>2052.9806507714288</v>
      </c>
      <c r="AC41" s="554">
        <f t="shared" si="17"/>
        <v>2089.5711752007619</v>
      </c>
    </row>
    <row r="42" spans="2:101" ht="31.4" customHeight="1">
      <c r="B42" s="580"/>
      <c r="C42" s="263"/>
      <c r="D42" s="549"/>
      <c r="E42" s="549"/>
      <c r="F42" s="549"/>
      <c r="G42" s="549"/>
      <c r="H42" s="549"/>
      <c r="I42" s="549"/>
      <c r="J42" s="549"/>
      <c r="K42" s="549"/>
      <c r="L42" s="549"/>
      <c r="M42" s="549"/>
      <c r="N42" s="549"/>
      <c r="O42" s="549"/>
      <c r="P42" s="549"/>
      <c r="Q42" s="549"/>
      <c r="R42" s="549"/>
      <c r="S42" s="549"/>
      <c r="T42" s="549"/>
      <c r="U42" s="549"/>
      <c r="V42" s="549">
        <f>V12-SUM(V14,V17,V18,V21,V32,V33,V34,V35)+V40</f>
        <v>1891.2266785714285</v>
      </c>
      <c r="W42" s="554"/>
      <c r="X42" s="554"/>
      <c r="Y42" s="554"/>
      <c r="Z42" s="554"/>
      <c r="AA42" s="554"/>
      <c r="AB42" s="554"/>
      <c r="AC42" s="554"/>
    </row>
    <row r="43" spans="2:101" ht="31.4" customHeight="1">
      <c r="B43" s="1393" t="s">
        <v>473</v>
      </c>
      <c r="C43" s="1394"/>
      <c r="D43" s="575"/>
      <c r="E43" s="576"/>
      <c r="F43" s="576"/>
      <c r="G43" s="576"/>
      <c r="H43" s="576"/>
      <c r="I43" s="576"/>
      <c r="J43" s="576"/>
      <c r="K43" s="576"/>
      <c r="L43" s="576"/>
      <c r="M43" s="576"/>
      <c r="N43" s="576"/>
      <c r="O43" s="576"/>
      <c r="P43" s="576"/>
      <c r="Q43" s="576"/>
      <c r="R43" s="576"/>
      <c r="S43" s="576"/>
      <c r="T43" s="549"/>
      <c r="U43" s="576"/>
      <c r="V43" s="549">
        <f>V39+V37</f>
        <v>1869.3366785714284</v>
      </c>
      <c r="W43" s="554"/>
      <c r="X43" s="554"/>
      <c r="Y43" s="554"/>
      <c r="Z43" s="554"/>
      <c r="AA43" s="554"/>
      <c r="AB43" s="554"/>
      <c r="AC43" s="685"/>
    </row>
    <row r="44" spans="2:101">
      <c r="B44" s="459" t="s">
        <v>805</v>
      </c>
      <c r="C44" s="240" t="s">
        <v>474</v>
      </c>
      <c r="D44" s="275">
        <f>'Haver Pivoted'!GO37</f>
        <v>733.6</v>
      </c>
      <c r="E44" s="234">
        <f>'Haver Pivoted'!GP37</f>
        <v>744.2</v>
      </c>
      <c r="F44" s="234">
        <f>'Haver Pivoted'!GQ37</f>
        <v>762.1</v>
      </c>
      <c r="G44" s="234">
        <f>'Haver Pivoted'!GR37</f>
        <v>772.2</v>
      </c>
      <c r="H44" s="234">
        <f>'Haver Pivoted'!GS37</f>
        <v>772.4</v>
      </c>
      <c r="I44" s="234">
        <f>'Haver Pivoted'!GT37</f>
        <v>761.7</v>
      </c>
      <c r="J44" s="234">
        <f>'Haver Pivoted'!GU37</f>
        <v>812.1</v>
      </c>
      <c r="K44" s="234">
        <f>'Haver Pivoted'!GV37</f>
        <v>850.2</v>
      </c>
      <c r="L44" s="234">
        <f>'Haver Pivoted'!GW37</f>
        <v>838.8</v>
      </c>
      <c r="M44" s="234">
        <f>'Haver Pivoted'!GX37</f>
        <v>866.1</v>
      </c>
      <c r="N44" s="234">
        <f>'Haver Pivoted'!GY37</f>
        <v>908</v>
      </c>
      <c r="O44" s="234">
        <f>'Haver Pivoted'!GZ37</f>
        <v>915.6</v>
      </c>
      <c r="P44" s="234">
        <f>'Haver Pivoted'!HA37</f>
        <v>912.9</v>
      </c>
      <c r="Q44" s="234">
        <f>'Haver Pivoted'!HB37</f>
        <v>960.5</v>
      </c>
      <c r="R44" s="234">
        <f>'Haver Pivoted'!HC37</f>
        <v>995.3</v>
      </c>
      <c r="S44" s="632">
        <f>'Haver Pivoted'!HD37</f>
        <v>1015.5</v>
      </c>
      <c r="T44" s="632">
        <f>'Haver Pivoted'!HE37</f>
        <v>1078.2</v>
      </c>
      <c r="U44" s="632">
        <f>'Haver Pivoted'!HF37</f>
        <v>1055.7</v>
      </c>
      <c r="V44" s="632">
        <f>'Haver Pivoted'!HG37</f>
        <v>1087.5</v>
      </c>
      <c r="W44" s="676"/>
      <c r="X44" s="676"/>
      <c r="Y44" s="676"/>
      <c r="Z44" s="676"/>
      <c r="AA44" s="676"/>
      <c r="AB44" s="676"/>
      <c r="AC44" s="731"/>
    </row>
    <row r="45" spans="2:101">
      <c r="B45" s="548" t="s">
        <v>209</v>
      </c>
      <c r="C45" s="240"/>
      <c r="D45" s="592">
        <f>Medicaid!D27</f>
        <v>589.5</v>
      </c>
      <c r="E45" s="552">
        <f>Medicaid!E27</f>
        <v>598.70000000000005</v>
      </c>
      <c r="F45" s="552">
        <f>Medicaid!F27</f>
        <v>614.4</v>
      </c>
      <c r="G45" s="552">
        <f>Medicaid!G27</f>
        <v>622.4</v>
      </c>
      <c r="H45" s="552">
        <f>Medicaid!H27</f>
        <v>620.6</v>
      </c>
      <c r="I45" s="552">
        <f>Medicaid!I27</f>
        <v>606.4</v>
      </c>
      <c r="J45" s="552">
        <f>Medicaid!J27</f>
        <v>654.6</v>
      </c>
      <c r="K45" s="552">
        <f>Medicaid!K27</f>
        <v>690.8</v>
      </c>
      <c r="L45" s="552">
        <f>Medicaid!L27</f>
        <v>678.6</v>
      </c>
      <c r="M45" s="552">
        <f>Medicaid!M27</f>
        <v>705</v>
      </c>
      <c r="N45" s="552">
        <f>Medicaid!N27</f>
        <v>745.7</v>
      </c>
      <c r="O45" s="552">
        <f>Medicaid!O27</f>
        <v>749.2</v>
      </c>
      <c r="P45" s="552">
        <f>Medicaid!P27</f>
        <v>746.1</v>
      </c>
      <c r="Q45" s="552">
        <f>Medicaid!Q27</f>
        <v>791.4</v>
      </c>
      <c r="R45" s="552">
        <f>Medicaid!R27</f>
        <v>818.7</v>
      </c>
      <c r="S45" s="632">
        <f>Medicaid!S27</f>
        <v>819</v>
      </c>
      <c r="T45" s="552">
        <f>Medicaid!T27</f>
        <v>828.4</v>
      </c>
      <c r="U45" s="552">
        <f>Medicaid!U27</f>
        <v>871.5</v>
      </c>
      <c r="V45" s="552">
        <f>Medicaid!V27</f>
        <v>911.4</v>
      </c>
      <c r="W45" s="673">
        <f>Medicaid!W27</f>
        <v>880.6</v>
      </c>
      <c r="X45" s="673">
        <f>Medicaid!X27</f>
        <v>868.3</v>
      </c>
      <c r="Y45" s="673">
        <f>Medicaid!Y27</f>
        <v>916.9</v>
      </c>
      <c r="Z45" s="673">
        <f>Medicaid!Z27</f>
        <v>945.8279179001787</v>
      </c>
      <c r="AA45" s="673">
        <f>Medicaid!AA27</f>
        <v>951.94285981860958</v>
      </c>
      <c r="AB45" s="673">
        <f>Medicaid!AB27</f>
        <v>955.42071262795628</v>
      </c>
      <c r="AC45" s="718">
        <f>Medicaid!AC27</f>
        <v>958.91127151523483</v>
      </c>
    </row>
    <row r="46" spans="2:101" ht="14.9" customHeight="1">
      <c r="B46" s="580" t="s">
        <v>806</v>
      </c>
      <c r="C46" s="263"/>
      <c r="D46" s="591">
        <f>D44-D45</f>
        <v>144.10000000000002</v>
      </c>
      <c r="E46" s="549">
        <f t="shared" ref="E46:O46" si="18">E44-E45</f>
        <v>145.5</v>
      </c>
      <c r="F46" s="549">
        <f t="shared" si="18"/>
        <v>147.70000000000005</v>
      </c>
      <c r="G46" s="549">
        <f t="shared" si="18"/>
        <v>149.80000000000007</v>
      </c>
      <c r="H46" s="549">
        <f t="shared" si="18"/>
        <v>151.79999999999995</v>
      </c>
      <c r="I46" s="549">
        <f t="shared" si="18"/>
        <v>155.30000000000007</v>
      </c>
      <c r="J46" s="549">
        <f t="shared" si="18"/>
        <v>157.5</v>
      </c>
      <c r="K46" s="549">
        <f t="shared" si="18"/>
        <v>159.40000000000009</v>
      </c>
      <c r="L46" s="549">
        <f t="shared" si="18"/>
        <v>160.19999999999993</v>
      </c>
      <c r="M46" s="549">
        <f t="shared" si="18"/>
        <v>161.10000000000002</v>
      </c>
      <c r="N46" s="549">
        <f t="shared" si="18"/>
        <v>162.29999999999995</v>
      </c>
      <c r="O46" s="549">
        <f t="shared" si="18"/>
        <v>166.39999999999998</v>
      </c>
      <c r="P46" s="549">
        <f>P44-P45</f>
        <v>166.79999999999995</v>
      </c>
      <c r="Q46" s="549">
        <f>Q44-Q45</f>
        <v>169.10000000000002</v>
      </c>
      <c r="R46" s="549">
        <f>R44-R45</f>
        <v>176.59999999999991</v>
      </c>
      <c r="S46" s="632">
        <f>S44-S45</f>
        <v>196.5</v>
      </c>
      <c r="T46" s="632">
        <f>T44-T45</f>
        <v>249.80000000000007</v>
      </c>
      <c r="U46" s="549">
        <f>T46*(1+AVERAGE($F$48:$I$48))+U47</f>
        <v>183.90584224202988</v>
      </c>
      <c r="V46" s="739">
        <f>U46*(1+AVERAGE($F$48:$I$48))+V47</f>
        <v>186.92861396193939</v>
      </c>
      <c r="W46" s="554">
        <f t="shared" ref="W46:AC46" si="19">V46*(1+AVERAGE($F$48:$I$48))</f>
        <v>190.00106952418523</v>
      </c>
      <c r="X46" s="554">
        <f t="shared" si="19"/>
        <v>193.12402555814535</v>
      </c>
      <c r="Y46" s="554">
        <f t="shared" si="19"/>
        <v>196.29831211574134</v>
      </c>
      <c r="Z46" s="554">
        <f t="shared" si="19"/>
        <v>199.52477289205825</v>
      </c>
      <c r="AA46" s="554">
        <f t="shared" si="19"/>
        <v>202.80426544959073</v>
      </c>
      <c r="AB46" s="554">
        <f t="shared" si="19"/>
        <v>206.137661446175</v>
      </c>
      <c r="AC46" s="685">
        <f t="shared" si="19"/>
        <v>209.52584686666717</v>
      </c>
    </row>
    <row r="47" spans="2:101" ht="14.9" customHeight="1">
      <c r="B47" s="580" t="s">
        <v>1695</v>
      </c>
      <c r="C47" s="263"/>
      <c r="D47" s="591"/>
      <c r="E47" s="549"/>
      <c r="F47" s="549"/>
      <c r="G47" s="549"/>
      <c r="H47" s="549"/>
      <c r="I47" s="549"/>
      <c r="J47" s="549"/>
      <c r="K47" s="549"/>
      <c r="L47" s="549"/>
      <c r="M47" s="549"/>
      <c r="N47" s="549"/>
      <c r="O47" s="549"/>
      <c r="P47" s="549"/>
      <c r="Q47" s="549"/>
      <c r="R47" s="549"/>
      <c r="S47" s="632"/>
      <c r="T47" s="549"/>
      <c r="U47" s="549">
        <v>-70</v>
      </c>
      <c r="V47" s="549"/>
      <c r="W47" s="554"/>
      <c r="X47" s="554"/>
      <c r="Y47" s="554"/>
      <c r="Z47" s="554"/>
      <c r="AA47" s="554"/>
      <c r="AB47" s="554"/>
      <c r="AC47" s="685"/>
    </row>
    <row r="48" spans="2:101">
      <c r="B48" s="712" t="s">
        <v>807</v>
      </c>
      <c r="C48" s="358"/>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2">
        <f t="shared" si="21"/>
        <v>0.1126840317100799</v>
      </c>
      <c r="T48" s="551"/>
      <c r="U48" s="551"/>
      <c r="V48" s="551"/>
      <c r="W48" s="587"/>
      <c r="X48" s="587"/>
      <c r="Y48" s="587"/>
      <c r="Z48" s="587"/>
      <c r="AA48" s="587"/>
      <c r="AB48" s="587"/>
      <c r="AC48" s="684"/>
    </row>
    <row r="51" spans="2:39">
      <c r="B51" s="1338"/>
      <c r="C51" s="1338"/>
      <c r="U51" s="234"/>
      <c r="V51" s="234"/>
      <c r="W51" s="234"/>
      <c r="X51" s="234"/>
      <c r="Y51" s="234"/>
      <c r="Z51" s="234"/>
      <c r="AA51" s="234"/>
      <c r="AB51" s="234"/>
      <c r="AC51" s="234"/>
    </row>
    <row r="52" spans="2:39">
      <c r="B52" s="469"/>
      <c r="C52" s="240"/>
      <c r="U52" s="552"/>
      <c r="V52" s="552">
        <f>V40+V39+V34+V35+V36+V37</f>
        <v>1973.6454285714285</v>
      </c>
      <c r="W52" s="552"/>
      <c r="X52" s="552"/>
      <c r="Y52" s="552"/>
      <c r="Z52" s="552"/>
      <c r="AA52" s="552"/>
      <c r="AB52" s="552"/>
      <c r="AC52" s="552"/>
      <c r="AD52" s="517"/>
      <c r="AE52" s="517"/>
      <c r="AF52" s="517"/>
      <c r="AG52" s="517"/>
      <c r="AH52" s="517"/>
      <c r="AI52" s="517"/>
      <c r="AJ52" s="517"/>
      <c r="AK52" s="517"/>
      <c r="AL52" s="517"/>
      <c r="AM52" s="517"/>
    </row>
    <row r="53" spans="2:39">
      <c r="B53" s="469"/>
      <c r="C53" s="240"/>
      <c r="U53" s="234"/>
      <c r="V53" s="234"/>
      <c r="W53" s="234"/>
      <c r="X53" s="234"/>
      <c r="Y53" s="234"/>
      <c r="Z53" s="234"/>
      <c r="AA53" s="234"/>
      <c r="AB53" s="234"/>
      <c r="AC53" s="234"/>
      <c r="AD53" s="517"/>
      <c r="AE53" s="517"/>
      <c r="AF53" s="517"/>
      <c r="AG53" s="517"/>
      <c r="AH53" s="517"/>
      <c r="AI53" s="517"/>
      <c r="AJ53" s="517"/>
      <c r="AK53" s="517"/>
      <c r="AL53" s="517"/>
      <c r="AM53" s="517"/>
    </row>
    <row r="54" spans="2:39" ht="28.5" customHeight="1">
      <c r="B54" s="249"/>
      <c r="C54" s="240"/>
      <c r="U54" s="552"/>
      <c r="V54" s="552"/>
      <c r="W54" s="552"/>
      <c r="X54" s="552"/>
      <c r="Y54" s="552"/>
      <c r="Z54" s="552"/>
      <c r="AA54" s="552"/>
      <c r="AB54" s="552"/>
      <c r="AC54" s="552"/>
      <c r="AD54" s="517"/>
      <c r="AE54" s="517"/>
      <c r="AF54" s="517"/>
      <c r="AG54" s="517"/>
      <c r="AH54" s="517"/>
      <c r="AI54" s="517"/>
      <c r="AJ54" s="517"/>
      <c r="AK54" s="517"/>
      <c r="AL54" s="517"/>
      <c r="AM54" s="517"/>
    </row>
    <row r="55" spans="2:39">
      <c r="B55" s="249"/>
      <c r="C55" s="240"/>
      <c r="U55" s="552"/>
      <c r="V55" s="552"/>
      <c r="W55" s="552"/>
      <c r="X55" s="552"/>
      <c r="Y55" s="552"/>
      <c r="Z55" s="552"/>
      <c r="AA55" s="552"/>
      <c r="AB55" s="552"/>
      <c r="AC55" s="552"/>
      <c r="AD55" s="517"/>
      <c r="AE55" s="517"/>
      <c r="AF55" s="517"/>
      <c r="AG55" s="517"/>
      <c r="AH55" s="517"/>
      <c r="AI55" s="517"/>
      <c r="AJ55" s="517"/>
      <c r="AK55" s="517"/>
      <c r="AL55" s="517"/>
      <c r="AM55" s="517"/>
    </row>
    <row r="56" spans="2:39">
      <c r="B56" s="469"/>
      <c r="C56" s="240"/>
      <c r="U56" s="552"/>
      <c r="V56" s="552"/>
      <c r="W56" s="552"/>
      <c r="X56" s="552"/>
      <c r="Y56" s="552"/>
      <c r="Z56" s="552"/>
      <c r="AA56" s="552"/>
      <c r="AB56" s="552"/>
      <c r="AC56" s="552"/>
      <c r="AD56" s="517"/>
      <c r="AE56" s="517"/>
      <c r="AF56" s="517"/>
      <c r="AG56" s="517"/>
      <c r="AH56" s="517"/>
      <c r="AI56" s="517"/>
      <c r="AJ56" s="517"/>
      <c r="AK56" s="517"/>
      <c r="AL56" s="517"/>
      <c r="AM56" s="517"/>
    </row>
    <row r="57" spans="2:39">
      <c r="B57" s="255"/>
      <c r="C57" s="263"/>
      <c r="U57" s="549"/>
      <c r="V57" s="549"/>
      <c r="W57" s="549"/>
      <c r="X57" s="549"/>
      <c r="Y57" s="549"/>
      <c r="Z57" s="549"/>
      <c r="AA57" s="549"/>
      <c r="AB57" s="549"/>
      <c r="AC57" s="549"/>
      <c r="AD57" s="517"/>
      <c r="AE57" s="517"/>
      <c r="AF57" s="517"/>
      <c r="AG57" s="517"/>
      <c r="AH57" s="517"/>
      <c r="AI57" s="517"/>
      <c r="AJ57" s="517"/>
      <c r="AK57" s="517"/>
      <c r="AL57" s="517"/>
      <c r="AM57" s="517"/>
    </row>
    <row r="58" spans="2:39">
      <c r="B58" s="249"/>
      <c r="C58" s="677"/>
      <c r="U58" s="552"/>
      <c r="V58" s="552"/>
      <c r="W58" s="552"/>
      <c r="X58" s="552"/>
      <c r="Y58" s="552"/>
      <c r="Z58" s="552"/>
      <c r="AA58" s="552"/>
      <c r="AB58" s="552"/>
      <c r="AC58" s="552"/>
      <c r="AD58" s="517"/>
      <c r="AE58" s="517"/>
      <c r="AF58" s="517"/>
      <c r="AG58" s="517"/>
      <c r="AH58" s="517"/>
      <c r="AI58" s="517"/>
      <c r="AJ58" s="517"/>
      <c r="AK58" s="517"/>
      <c r="AL58" s="517"/>
      <c r="AM58" s="517"/>
    </row>
    <row r="59" spans="2:39">
      <c r="B59" s="249"/>
      <c r="C59" s="677"/>
      <c r="U59" s="230"/>
      <c r="V59" s="230"/>
      <c r="W59" s="230"/>
      <c r="X59" s="230"/>
      <c r="Y59" s="230"/>
      <c r="Z59" s="230"/>
      <c r="AA59" s="230"/>
      <c r="AB59" s="230"/>
      <c r="AC59" s="230"/>
      <c r="AD59" s="517"/>
      <c r="AE59" s="517"/>
      <c r="AF59" s="517"/>
      <c r="AG59" s="517"/>
      <c r="AH59" s="517"/>
      <c r="AI59" s="517"/>
      <c r="AJ59" s="517"/>
      <c r="AK59" s="517"/>
      <c r="AL59" s="517"/>
      <c r="AM59" s="517"/>
    </row>
    <row r="60" spans="2:39">
      <c r="B60" s="249"/>
      <c r="C60" s="240"/>
      <c r="U60" s="552"/>
      <c r="V60" s="552"/>
      <c r="W60" s="552"/>
      <c r="X60" s="552"/>
      <c r="Y60" s="552"/>
      <c r="Z60" s="552"/>
      <c r="AA60" s="552"/>
      <c r="AB60" s="552"/>
      <c r="AC60" s="552"/>
      <c r="AD60" s="517"/>
      <c r="AE60" s="517"/>
      <c r="AF60" s="517"/>
      <c r="AG60" s="517"/>
      <c r="AH60" s="517"/>
      <c r="AI60" s="517"/>
      <c r="AJ60" s="517"/>
      <c r="AK60" s="517"/>
      <c r="AL60" s="517"/>
      <c r="AM60" s="517"/>
    </row>
    <row r="61" spans="2:39">
      <c r="B61" s="249"/>
      <c r="C61" s="240"/>
      <c r="U61" s="552"/>
      <c r="V61" s="552"/>
      <c r="W61" s="552"/>
      <c r="X61" s="552"/>
      <c r="Y61" s="552"/>
      <c r="Z61" s="552"/>
      <c r="AA61" s="552"/>
      <c r="AB61" s="552"/>
      <c r="AC61" s="552"/>
      <c r="AD61" s="517"/>
      <c r="AE61" s="517"/>
      <c r="AF61" s="517"/>
      <c r="AG61" s="517"/>
      <c r="AH61" s="517"/>
      <c r="AI61" s="517"/>
      <c r="AJ61" s="517"/>
      <c r="AK61" s="517"/>
      <c r="AL61" s="517"/>
      <c r="AM61" s="517"/>
    </row>
    <row r="62" spans="2:39">
      <c r="B62" s="249"/>
      <c r="C62" s="240"/>
      <c r="U62" s="552"/>
      <c r="V62" s="552"/>
      <c r="W62" s="552"/>
      <c r="X62" s="552"/>
      <c r="Y62" s="552"/>
      <c r="Z62" s="552"/>
      <c r="AA62" s="552"/>
      <c r="AB62" s="552"/>
      <c r="AC62" s="552"/>
      <c r="AD62" s="517"/>
      <c r="AE62" s="517"/>
      <c r="AF62" s="517"/>
      <c r="AG62" s="517"/>
      <c r="AH62" s="517"/>
      <c r="AI62" s="517"/>
      <c r="AJ62" s="517"/>
      <c r="AK62" s="517"/>
      <c r="AL62" s="517"/>
      <c r="AM62" s="517"/>
    </row>
    <row r="63" spans="2:39">
      <c r="B63" s="469"/>
      <c r="C63" s="240"/>
      <c r="U63" s="552"/>
      <c r="V63" s="552"/>
      <c r="W63" s="552"/>
      <c r="X63" s="552"/>
      <c r="Y63" s="552"/>
      <c r="Z63" s="552"/>
      <c r="AA63" s="552"/>
      <c r="AB63" s="552"/>
      <c r="AC63" s="552"/>
      <c r="AD63" s="517"/>
      <c r="AE63" s="517"/>
      <c r="AF63" s="517"/>
      <c r="AG63" s="517"/>
      <c r="AH63" s="517"/>
      <c r="AI63" s="517"/>
      <c r="AJ63" s="517"/>
      <c r="AK63" s="517"/>
      <c r="AL63" s="517"/>
      <c r="AM63" s="517"/>
    </row>
    <row r="64" spans="2:39">
      <c r="B64" s="255"/>
      <c r="C64" s="263"/>
      <c r="U64" s="633"/>
      <c r="V64" s="633"/>
      <c r="W64" s="633"/>
      <c r="X64" s="633"/>
      <c r="Y64" s="633"/>
      <c r="Z64" s="633"/>
      <c r="AA64" s="633"/>
      <c r="AB64" s="633"/>
      <c r="AC64" s="633"/>
      <c r="AD64" s="517"/>
      <c r="AE64" s="517"/>
      <c r="AF64" s="517"/>
      <c r="AG64" s="517"/>
      <c r="AH64" s="517"/>
      <c r="AI64" s="517"/>
      <c r="AJ64" s="517"/>
      <c r="AK64" s="517"/>
      <c r="AL64" s="517"/>
      <c r="AM64" s="517"/>
    </row>
    <row r="65" spans="2:39" ht="28.5" customHeight="1">
      <c r="B65" s="249"/>
      <c r="C65" s="240"/>
      <c r="U65" s="552"/>
      <c r="V65" s="552"/>
      <c r="W65" s="552"/>
      <c r="X65" s="552"/>
      <c r="Y65" s="552"/>
      <c r="Z65" s="552"/>
      <c r="AA65" s="552"/>
      <c r="AB65" s="552"/>
      <c r="AC65" s="552"/>
      <c r="AD65" s="517"/>
      <c r="AE65" s="517"/>
      <c r="AF65" s="517"/>
      <c r="AG65" s="517"/>
      <c r="AH65" s="517"/>
      <c r="AI65" s="517"/>
      <c r="AJ65" s="517"/>
      <c r="AK65" s="517"/>
      <c r="AL65" s="517"/>
      <c r="AM65" s="517"/>
    </row>
    <row r="66" spans="2:39">
      <c r="B66" s="379"/>
      <c r="C66" s="56"/>
      <c r="U66" s="663"/>
      <c r="V66" s="663"/>
      <c r="W66" s="663"/>
      <c r="X66" s="663"/>
      <c r="Y66" s="663"/>
      <c r="Z66" s="663"/>
      <c r="AA66" s="663"/>
      <c r="AB66" s="663"/>
      <c r="AC66" s="663"/>
      <c r="AD66" s="517"/>
      <c r="AE66" s="517"/>
      <c r="AF66" s="517"/>
      <c r="AG66" s="517"/>
      <c r="AH66" s="517"/>
      <c r="AI66" s="517"/>
      <c r="AJ66" s="517"/>
      <c r="AK66" s="517"/>
      <c r="AL66" s="517"/>
      <c r="AM66" s="517"/>
    </row>
    <row r="67" spans="2:39">
      <c r="B67" s="263"/>
      <c r="C67" s="263"/>
      <c r="U67" s="549"/>
      <c r="V67" s="549"/>
      <c r="W67" s="549"/>
      <c r="X67" s="549"/>
      <c r="Y67" s="549"/>
      <c r="Z67" s="549"/>
      <c r="AA67" s="549"/>
      <c r="AB67" s="549"/>
      <c r="AC67" s="549"/>
      <c r="AD67" s="517"/>
      <c r="AE67" s="517"/>
      <c r="AF67" s="517"/>
      <c r="AG67" s="517"/>
      <c r="AH67" s="517"/>
      <c r="AI67" s="517"/>
      <c r="AJ67" s="517"/>
      <c r="AK67" s="517"/>
      <c r="AL67" s="517"/>
      <c r="AM67" s="517"/>
    </row>
    <row r="68" spans="2:39">
      <c r="B68" s="1338"/>
      <c r="C68" s="1338"/>
      <c r="U68" s="549"/>
      <c r="V68" s="549"/>
      <c r="W68" s="549"/>
      <c r="X68" s="549"/>
      <c r="Y68" s="549"/>
      <c r="Z68" s="549"/>
      <c r="AA68" s="549"/>
      <c r="AB68" s="549"/>
      <c r="AC68" s="549"/>
      <c r="AD68" s="517"/>
      <c r="AE68" s="517"/>
      <c r="AF68" s="517"/>
      <c r="AG68" s="517"/>
      <c r="AH68" s="517"/>
      <c r="AI68" s="517"/>
      <c r="AJ68" s="517"/>
      <c r="AK68" s="517"/>
      <c r="AL68" s="517"/>
      <c r="AM68" s="517"/>
    </row>
    <row r="69" spans="2:39">
      <c r="B69" s="469"/>
      <c r="C69" s="240"/>
      <c r="U69" s="240"/>
      <c r="V69" s="240"/>
      <c r="W69" s="240"/>
      <c r="X69" s="240"/>
      <c r="Y69" s="240"/>
      <c r="Z69" s="240"/>
      <c r="AA69" s="240"/>
      <c r="AB69" s="240"/>
      <c r="AC69" s="240"/>
      <c r="AD69" s="517"/>
      <c r="AE69" s="517"/>
      <c r="AF69" s="517"/>
      <c r="AG69" s="517"/>
      <c r="AH69" s="517"/>
      <c r="AI69" s="517"/>
      <c r="AJ69" s="517"/>
      <c r="AK69" s="517"/>
      <c r="AL69" s="517"/>
      <c r="AM69" s="517"/>
    </row>
    <row r="70" spans="2:39">
      <c r="B70" s="240"/>
      <c r="C70" s="240"/>
      <c r="U70" s="552"/>
      <c r="V70" s="552"/>
      <c r="W70" s="552"/>
      <c r="X70" s="552"/>
      <c r="Y70" s="552"/>
      <c r="Z70" s="552"/>
      <c r="AA70" s="552"/>
      <c r="AB70" s="552"/>
      <c r="AC70" s="552"/>
      <c r="AD70" s="517"/>
      <c r="AE70" s="517"/>
      <c r="AF70" s="517"/>
      <c r="AG70" s="517"/>
      <c r="AH70" s="517"/>
      <c r="AI70" s="517"/>
      <c r="AJ70" s="517"/>
      <c r="AK70" s="517"/>
      <c r="AL70" s="517"/>
      <c r="AM70" s="517"/>
    </row>
    <row r="71" spans="2:39">
      <c r="B71" s="263"/>
      <c r="C71" s="263"/>
      <c r="U71" s="549"/>
      <c r="V71" s="549"/>
      <c r="W71" s="549"/>
      <c r="X71" s="549"/>
      <c r="Y71" s="549"/>
      <c r="Z71" s="549"/>
      <c r="AA71" s="549"/>
      <c r="AB71" s="549"/>
      <c r="AC71" s="549"/>
      <c r="AD71" s="517"/>
      <c r="AE71" s="517"/>
      <c r="AF71" s="517"/>
      <c r="AG71" s="517"/>
      <c r="AH71" s="517"/>
      <c r="AI71" s="517"/>
      <c r="AJ71" s="517"/>
      <c r="AK71" s="517"/>
      <c r="AL71" s="517"/>
      <c r="AM71" s="517"/>
    </row>
    <row r="72" spans="2:39">
      <c r="B72" s="263"/>
      <c r="C72" s="263"/>
      <c r="U72" s="549"/>
      <c r="V72" s="549"/>
      <c r="W72" s="549"/>
      <c r="X72" s="549"/>
      <c r="Y72" s="549"/>
      <c r="Z72" s="549"/>
      <c r="AA72" s="549"/>
      <c r="AB72" s="549"/>
      <c r="AC72" s="549"/>
      <c r="AD72" s="517"/>
      <c r="AE72" s="517"/>
      <c r="AF72" s="517"/>
      <c r="AG72" s="517"/>
      <c r="AH72" s="517"/>
      <c r="AI72" s="517"/>
      <c r="AJ72" s="517"/>
      <c r="AK72" s="517"/>
      <c r="AL72" s="517"/>
      <c r="AM72" s="517"/>
    </row>
    <row r="73" spans="2:39">
      <c r="B73" s="736"/>
      <c r="C73" s="240"/>
      <c r="U73" s="552"/>
      <c r="V73" s="552"/>
      <c r="W73" s="552"/>
      <c r="X73" s="552"/>
      <c r="Y73" s="552"/>
      <c r="Z73" s="552"/>
      <c r="AA73" s="552"/>
      <c r="AB73" s="552"/>
      <c r="AC73" s="552"/>
      <c r="AD73" s="517"/>
      <c r="AE73" s="517"/>
      <c r="AF73" s="517"/>
      <c r="AG73" s="517"/>
      <c r="AH73" s="517"/>
      <c r="AI73" s="517"/>
      <c r="AJ73" s="517"/>
      <c r="AK73" s="517"/>
      <c r="AL73" s="517"/>
      <c r="AM73" s="517"/>
    </row>
    <row r="75" spans="2:39">
      <c r="U75" s="1402"/>
      <c r="V75" s="1402"/>
      <c r="W75" s="1402"/>
      <c r="X75" s="1402"/>
    </row>
    <row r="76" spans="2:39">
      <c r="U76" s="1402"/>
      <c r="V76" s="1402"/>
      <c r="W76" s="1402"/>
      <c r="X76" s="1402"/>
    </row>
    <row r="77" spans="2:39">
      <c r="U77" s="1402"/>
      <c r="V77" s="1402"/>
      <c r="W77" s="1402"/>
      <c r="X77" s="1402"/>
    </row>
    <row r="79" spans="2:39">
      <c r="P79" s="483"/>
      <c r="Q79" s="483"/>
    </row>
    <row r="80" spans="2:39">
      <c r="B80" s="514" t="s">
        <v>352</v>
      </c>
      <c r="D80" s="552"/>
      <c r="E80" s="552"/>
      <c r="F80" s="552"/>
      <c r="G80" s="552"/>
      <c r="H80" s="552"/>
      <c r="I80" s="552"/>
      <c r="J80" s="552"/>
      <c r="K80" s="552"/>
      <c r="L80" s="552"/>
      <c r="M80" s="552"/>
      <c r="N80" s="552"/>
      <c r="O80" s="552"/>
      <c r="P80" s="552"/>
      <c r="Q80" s="552"/>
      <c r="R80" s="552"/>
      <c r="S80" s="552"/>
      <c r="T80" s="552"/>
      <c r="U80" s="552"/>
      <c r="V80" s="552"/>
      <c r="W80" s="552"/>
      <c r="X80" s="552"/>
      <c r="Y80" s="552"/>
      <c r="Z80" s="552"/>
      <c r="AA80" s="552"/>
      <c r="AB80" s="552"/>
      <c r="AC80" s="552"/>
    </row>
    <row r="81" spans="2:33" ht="45.75" customHeight="1">
      <c r="B81" s="1395" t="s">
        <v>477</v>
      </c>
      <c r="C81" s="1395"/>
      <c r="D81" s="1395"/>
      <c r="E81" s="1395"/>
      <c r="F81" s="1395"/>
      <c r="G81" s="1395"/>
      <c r="H81" s="1395"/>
      <c r="I81" s="1395"/>
      <c r="J81" s="1395"/>
      <c r="K81" s="1395"/>
      <c r="L81" s="1395"/>
      <c r="M81" s="1395"/>
      <c r="N81" s="1395"/>
      <c r="O81" s="1395"/>
      <c r="P81" s="1395"/>
      <c r="Q81" s="1395"/>
      <c r="R81" s="1395"/>
      <c r="S81" s="1395"/>
      <c r="T81" s="1395"/>
      <c r="U81" s="1395"/>
      <c r="V81" s="1395"/>
      <c r="W81" s="1395"/>
      <c r="X81" s="1395"/>
      <c r="Y81" s="1395"/>
      <c r="Z81" s="1395"/>
      <c r="AA81" s="1395"/>
      <c r="AB81" s="1395"/>
      <c r="AC81" s="1395"/>
    </row>
    <row r="82" spans="2:33" ht="14.9" customHeight="1">
      <c r="B82" s="1304" t="s">
        <v>478</v>
      </c>
      <c r="C82" s="1305"/>
      <c r="D82" s="1368" t="s">
        <v>280</v>
      </c>
      <c r="E82" s="1369"/>
      <c r="F82" s="1369"/>
      <c r="G82" s="1369"/>
      <c r="H82" s="1369"/>
      <c r="I82" s="1369"/>
      <c r="J82" s="1369"/>
      <c r="K82" s="1369"/>
      <c r="L82" s="1369"/>
      <c r="M82" s="1369"/>
      <c r="N82" s="1369"/>
      <c r="O82" s="1369"/>
      <c r="P82" s="1369"/>
      <c r="Q82" s="1369"/>
      <c r="R82" s="1369"/>
      <c r="S82" s="1369"/>
      <c r="T82" s="1369"/>
      <c r="U82" s="1369"/>
      <c r="V82" s="1401"/>
      <c r="W82" s="1331" t="s">
        <v>281</v>
      </c>
      <c r="X82" s="1332"/>
      <c r="Y82" s="1332"/>
      <c r="Z82" s="1332"/>
      <c r="AA82" s="1332"/>
      <c r="AB82" s="1332"/>
      <c r="AC82" s="1332"/>
      <c r="AD82" s="1332"/>
      <c r="AE82" s="1332"/>
      <c r="AF82" s="1332"/>
      <c r="AG82" s="1332"/>
    </row>
    <row r="83" spans="2:33">
      <c r="B83" s="1304"/>
      <c r="C83" s="1305"/>
      <c r="D83" s="219">
        <v>2018</v>
      </c>
      <c r="E83" s="1311">
        <v>2019</v>
      </c>
      <c r="F83" s="1312"/>
      <c r="G83" s="1312"/>
      <c r="H83" s="1313"/>
      <c r="I83" s="1311">
        <v>2020</v>
      </c>
      <c r="J83" s="1312"/>
      <c r="K83" s="1312"/>
      <c r="L83" s="1312"/>
      <c r="M83" s="1311">
        <v>2021</v>
      </c>
      <c r="N83" s="1312"/>
      <c r="O83" s="1312"/>
      <c r="P83" s="1312"/>
      <c r="Q83" s="1311">
        <v>2022</v>
      </c>
      <c r="R83" s="1333"/>
      <c r="S83" s="1333"/>
      <c r="T83" s="1313"/>
      <c r="U83" s="288"/>
      <c r="V83" s="557">
        <v>2023</v>
      </c>
      <c r="W83" s="553"/>
      <c r="X83" s="260"/>
      <c r="Y83" s="1308">
        <v>2024</v>
      </c>
      <c r="Z83" s="1321"/>
      <c r="AA83" s="1321"/>
      <c r="AB83" s="1310"/>
      <c r="AC83" s="1308">
        <v>2025</v>
      </c>
      <c r="AD83" s="1321"/>
      <c r="AE83" s="1321"/>
      <c r="AF83" s="1310"/>
      <c r="AG83" s="503">
        <v>2026</v>
      </c>
    </row>
    <row r="84" spans="2:33">
      <c r="B84" s="1306"/>
      <c r="C84" s="1307"/>
      <c r="D84" s="214" t="s">
        <v>282</v>
      </c>
      <c r="E84" s="214" t="s">
        <v>283</v>
      </c>
      <c r="F84" s="215" t="s">
        <v>284</v>
      </c>
      <c r="G84" s="215" t="s">
        <v>238</v>
      </c>
      <c r="H84" s="216" t="s">
        <v>282</v>
      </c>
      <c r="I84" s="215" t="s">
        <v>283</v>
      </c>
      <c r="J84" s="215" t="s">
        <v>284</v>
      </c>
      <c r="K84" s="215" t="s">
        <v>238</v>
      </c>
      <c r="L84" s="215" t="s">
        <v>282</v>
      </c>
      <c r="M84" s="214" t="s">
        <v>283</v>
      </c>
      <c r="N84" s="215" t="s">
        <v>284</v>
      </c>
      <c r="O84" s="215" t="s">
        <v>238</v>
      </c>
      <c r="P84" s="215" t="s">
        <v>282</v>
      </c>
      <c r="Q84" s="214" t="s">
        <v>283</v>
      </c>
      <c r="R84" s="215" t="s">
        <v>284</v>
      </c>
      <c r="S84" s="215" t="s">
        <v>238</v>
      </c>
      <c r="T84" s="216" t="s">
        <v>282</v>
      </c>
      <c r="U84" s="215" t="s">
        <v>283</v>
      </c>
      <c r="V84" s="286" t="s">
        <v>284</v>
      </c>
      <c r="W84" s="270" t="s">
        <v>238</v>
      </c>
      <c r="X84" s="271" t="s">
        <v>282</v>
      </c>
      <c r="Y84" s="269" t="s">
        <v>283</v>
      </c>
      <c r="Z84" s="267" t="s">
        <v>284</v>
      </c>
      <c r="AA84" s="270" t="s">
        <v>238</v>
      </c>
      <c r="AB84" s="270" t="s">
        <v>282</v>
      </c>
      <c r="AC84" s="269" t="s">
        <v>283</v>
      </c>
      <c r="AD84" s="267" t="s">
        <v>284</v>
      </c>
      <c r="AE84" s="270" t="s">
        <v>238</v>
      </c>
      <c r="AF84" s="270" t="s">
        <v>282</v>
      </c>
      <c r="AG84" s="269" t="s">
        <v>283</v>
      </c>
    </row>
    <row r="85" spans="2:33">
      <c r="B85" s="548" t="s">
        <v>1434</v>
      </c>
      <c r="D85" s="253"/>
      <c r="E85" s="308"/>
      <c r="F85" s="308"/>
      <c r="G85" s="308"/>
      <c r="H85" s="308"/>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c r="B86" s="548" t="s">
        <v>160</v>
      </c>
      <c r="C86" s="240" t="s">
        <v>479</v>
      </c>
      <c r="D86" s="275">
        <f>'Haver Pivoted'!GO66</f>
        <v>57.017000000000003</v>
      </c>
      <c r="E86" s="234">
        <f>'Haver Pivoted'!GP66</f>
        <v>55.847999999999999</v>
      </c>
      <c r="F86" s="234">
        <f>'Haver Pivoted'!GQ66</f>
        <v>54.531999999999996</v>
      </c>
      <c r="G86" s="234">
        <f>'Haver Pivoted'!GR66</f>
        <v>54.451999999999998</v>
      </c>
      <c r="H86" s="234">
        <f>'Haver Pivoted'!GS66</f>
        <v>54.012999999999998</v>
      </c>
      <c r="I86" s="234">
        <f>'Haver Pivoted'!GT66</f>
        <v>61.353000000000002</v>
      </c>
      <c r="J86" s="234">
        <f>'Haver Pivoted'!GU66</f>
        <v>106.1</v>
      </c>
      <c r="K86" s="234">
        <f>'Haver Pivoted'!GV66</f>
        <v>110.04900000000001</v>
      </c>
      <c r="L86" s="234">
        <f>'Haver Pivoted'!GW66</f>
        <v>117.309</v>
      </c>
      <c r="M86" s="234">
        <f>'Haver Pivoted'!GX66</f>
        <v>142.78899999999999</v>
      </c>
      <c r="N86" s="234">
        <f>'Haver Pivoted'!GY66</f>
        <v>157.602</v>
      </c>
      <c r="O86" s="234">
        <f>'Haver Pivoted'!GZ66</f>
        <v>149.11600000000001</v>
      </c>
      <c r="P86" s="234">
        <f>'Haver Pivoted'!HA66</f>
        <v>146.631</v>
      </c>
      <c r="Q86" s="234">
        <f>'Haver Pivoted'!HB66</f>
        <v>134.809</v>
      </c>
      <c r="R86" s="234">
        <f>'Haver Pivoted'!HC66</f>
        <v>123.735</v>
      </c>
      <c r="S86" s="215">
        <f>'Haver Pivoted'!HD66</f>
        <v>116.06100000000001</v>
      </c>
      <c r="T86" s="215">
        <f>'Haver Pivoted'!HE66</f>
        <v>136.14500000000001</v>
      </c>
      <c r="U86" s="215">
        <f>'Haver Pivoted'!HF66</f>
        <v>130.17699999999999</v>
      </c>
      <c r="V86" s="215">
        <f>'Haver Pivoted'!HG66</f>
        <v>103.13</v>
      </c>
      <c r="W86" s="326"/>
      <c r="X86" s="326"/>
      <c r="Y86" s="326"/>
      <c r="Z86" s="326"/>
      <c r="AA86" s="326"/>
      <c r="AB86" s="326"/>
      <c r="AC86" s="326"/>
      <c r="AD86" s="505"/>
      <c r="AE86" s="505"/>
      <c r="AF86" s="505"/>
      <c r="AG86" s="505"/>
    </row>
    <row r="87" spans="2:33" ht="29.15" customHeight="1">
      <c r="B87" s="357" t="s">
        <v>480</v>
      </c>
      <c r="C87" s="358"/>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6">
        <f t="shared" si="24"/>
        <v>62.048000000000009</v>
      </c>
      <c r="T87" s="286">
        <f t="shared" si="24"/>
        <v>82.132000000000005</v>
      </c>
      <c r="U87" s="286">
        <f t="shared" si="24"/>
        <v>76.163999999999987</v>
      </c>
      <c r="V87" s="286">
        <f t="shared" si="24"/>
        <v>49.116999999999997</v>
      </c>
      <c r="W87" s="270"/>
      <c r="X87" s="270"/>
      <c r="Y87" s="270"/>
      <c r="Z87" s="270"/>
      <c r="AA87" s="270"/>
      <c r="AB87" s="270"/>
      <c r="AC87" s="270"/>
      <c r="AD87" s="505"/>
      <c r="AE87" s="505"/>
      <c r="AF87" s="505"/>
      <c r="AG87" s="505"/>
    </row>
    <row r="88" spans="2:33" ht="29.15" customHeight="1">
      <c r="B88" s="240"/>
      <c r="C88" s="240"/>
      <c r="D88" s="234"/>
      <c r="E88" s="234"/>
      <c r="F88" s="234"/>
      <c r="G88" s="234"/>
      <c r="H88" s="234"/>
      <c r="I88" s="234"/>
      <c r="J88" s="234"/>
      <c r="K88" s="234"/>
      <c r="L88" s="234"/>
      <c r="M88" s="234"/>
      <c r="N88" s="234"/>
      <c r="O88" s="234"/>
      <c r="P88" s="234"/>
      <c r="Q88" s="234"/>
      <c r="R88" s="234"/>
      <c r="S88" s="234"/>
      <c r="T88" s="234"/>
      <c r="U88" s="234"/>
      <c r="V88" s="234"/>
      <c r="W88" s="234"/>
      <c r="X88" s="234"/>
      <c r="Y88" s="234"/>
      <c r="Z88" s="234"/>
      <c r="AA88" s="234"/>
      <c r="AB88" s="234"/>
      <c r="AC88" s="234"/>
    </row>
    <row r="89" spans="2:33" ht="29.15" customHeight="1">
      <c r="B89" s="240"/>
      <c r="C89" s="240"/>
      <c r="D89" s="234"/>
      <c r="E89" s="234"/>
      <c r="F89" s="234"/>
      <c r="G89" s="234"/>
      <c r="H89" s="234"/>
      <c r="I89" s="234"/>
      <c r="J89" s="234"/>
      <c r="K89" s="234"/>
      <c r="L89" s="234"/>
      <c r="M89" s="234"/>
      <c r="N89" s="234"/>
      <c r="O89" s="234"/>
      <c r="P89" s="234"/>
      <c r="Q89" s="234"/>
      <c r="R89" s="234"/>
      <c r="S89" s="234"/>
      <c r="T89" s="234"/>
      <c r="U89" s="234"/>
      <c r="V89" s="234"/>
      <c r="W89" s="234"/>
      <c r="X89" s="234"/>
      <c r="Y89" s="234"/>
      <c r="Z89" s="234"/>
      <c r="AA89" s="234"/>
      <c r="AB89" s="234"/>
      <c r="AC89" s="234"/>
    </row>
    <row r="90" spans="2:33" ht="29.15" customHeight="1">
      <c r="B90" s="240"/>
      <c r="C90" s="240"/>
      <c r="D90" s="234"/>
      <c r="E90" s="234"/>
      <c r="F90" s="234"/>
      <c r="G90" s="234"/>
      <c r="H90" s="234"/>
      <c r="I90" s="234"/>
      <c r="J90" s="234"/>
      <c r="K90" s="234"/>
      <c r="L90" s="234"/>
      <c r="M90" s="234"/>
      <c r="N90" s="234"/>
      <c r="O90" s="234"/>
      <c r="P90" s="234"/>
      <c r="Q90" s="234"/>
      <c r="R90" s="234"/>
      <c r="S90" s="234"/>
      <c r="T90" s="234"/>
      <c r="U90" s="234"/>
      <c r="V90" s="234"/>
      <c r="W90" s="234"/>
      <c r="X90" s="234"/>
      <c r="Y90" s="234"/>
      <c r="Z90" s="234"/>
      <c r="AA90" s="234"/>
      <c r="AB90" s="234"/>
      <c r="AC90" s="234"/>
    </row>
    <row r="91" spans="2:33" ht="35.9" customHeight="1"/>
    <row r="92" spans="2:33">
      <c r="B92" s="514" t="s">
        <v>365</v>
      </c>
    </row>
    <row r="93" spans="2:33">
      <c r="B93" s="1396" t="s">
        <v>804</v>
      </c>
      <c r="C93" s="1397"/>
      <c r="D93" s="1306" t="s">
        <v>280</v>
      </c>
      <c r="E93" s="1319"/>
      <c r="F93" s="1319"/>
      <c r="G93" s="1319"/>
      <c r="H93" s="1319"/>
      <c r="I93" s="1319"/>
      <c r="J93" s="1319"/>
      <c r="K93" s="1319"/>
      <c r="L93" s="1319"/>
      <c r="M93" s="1319"/>
      <c r="N93" s="1319"/>
      <c r="O93" s="1319"/>
      <c r="P93" s="1319"/>
      <c r="Q93" s="1319"/>
      <c r="R93" s="1319"/>
      <c r="S93" s="1319"/>
      <c r="T93" s="1319"/>
      <c r="U93" s="1319"/>
      <c r="V93" s="1307"/>
      <c r="W93" s="1331" t="s">
        <v>281</v>
      </c>
      <c r="X93" s="1332"/>
      <c r="Y93" s="1332"/>
      <c r="Z93" s="1332"/>
      <c r="AA93" s="1332"/>
      <c r="AB93" s="1332"/>
      <c r="AC93" s="1332"/>
      <c r="AD93" s="1332"/>
      <c r="AE93" s="1332"/>
      <c r="AF93" s="1332"/>
      <c r="AG93" s="1332"/>
    </row>
    <row r="94" spans="2:33">
      <c r="B94" s="1398"/>
      <c r="C94" s="1399"/>
      <c r="D94" s="219">
        <v>2018</v>
      </c>
      <c r="E94" s="1311">
        <v>2019</v>
      </c>
      <c r="F94" s="1312"/>
      <c r="G94" s="1312"/>
      <c r="H94" s="1313"/>
      <c r="I94" s="1311">
        <v>2020</v>
      </c>
      <c r="J94" s="1312"/>
      <c r="K94" s="1312"/>
      <c r="L94" s="1312"/>
      <c r="M94" s="1311">
        <v>2021</v>
      </c>
      <c r="N94" s="1312"/>
      <c r="O94" s="1312"/>
      <c r="P94" s="1312"/>
      <c r="Q94" s="1311">
        <v>2022</v>
      </c>
      <c r="R94" s="1333"/>
      <c r="S94" s="1333"/>
      <c r="T94" s="1313"/>
      <c r="U94" s="288"/>
      <c r="V94" s="557">
        <v>2023</v>
      </c>
      <c r="W94" s="553"/>
      <c r="X94" s="260"/>
      <c r="Y94" s="1308">
        <v>2024</v>
      </c>
      <c r="Z94" s="1321"/>
      <c r="AA94" s="1321"/>
      <c r="AB94" s="1310"/>
      <c r="AC94" s="1308">
        <v>2025</v>
      </c>
      <c r="AD94" s="1321"/>
      <c r="AE94" s="1321"/>
      <c r="AF94" s="1310"/>
      <c r="AG94" s="503">
        <v>2026</v>
      </c>
    </row>
    <row r="95" spans="2:33">
      <c r="B95" s="1398"/>
      <c r="C95" s="1399"/>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6" t="s">
        <v>282</v>
      </c>
      <c r="U95" s="215" t="s">
        <v>283</v>
      </c>
      <c r="V95" s="286" t="s">
        <v>284</v>
      </c>
      <c r="W95" s="270" t="s">
        <v>238</v>
      </c>
      <c r="X95" s="271" t="s">
        <v>282</v>
      </c>
      <c r="Y95" s="269" t="s">
        <v>283</v>
      </c>
      <c r="Z95" s="267" t="s">
        <v>284</v>
      </c>
      <c r="AA95" s="270" t="s">
        <v>238</v>
      </c>
      <c r="AB95" s="270" t="s">
        <v>282</v>
      </c>
      <c r="AC95" s="269" t="s">
        <v>283</v>
      </c>
      <c r="AD95" s="267" t="s">
        <v>284</v>
      </c>
      <c r="AE95" s="270" t="s">
        <v>238</v>
      </c>
      <c r="AF95" s="270" t="s">
        <v>282</v>
      </c>
      <c r="AG95" s="269" t="s">
        <v>283</v>
      </c>
    </row>
    <row r="96" spans="2:33" ht="25.75" customHeight="1">
      <c r="B96" s="672" t="s">
        <v>467</v>
      </c>
      <c r="C96" s="441" t="s">
        <v>468</v>
      </c>
      <c r="D96" s="366">
        <f>'Haver Pivoted'!GO31</f>
        <v>2223</v>
      </c>
      <c r="E96" s="367">
        <f>'Haver Pivoted'!GP31</f>
        <v>2303.6</v>
      </c>
      <c r="F96" s="367">
        <f>'Haver Pivoted'!GQ31</f>
        <v>2320.1</v>
      </c>
      <c r="G96" s="367">
        <f>'Haver Pivoted'!GR31</f>
        <v>2332.9</v>
      </c>
      <c r="H96" s="367">
        <f>'Haver Pivoted'!GS31</f>
        <v>2346.6</v>
      </c>
      <c r="I96" s="367">
        <f>'Haver Pivoted'!GT31</f>
        <v>2412.6</v>
      </c>
      <c r="J96" s="367">
        <f>'Haver Pivoted'!GU31</f>
        <v>4652.1000000000004</v>
      </c>
      <c r="K96" s="367">
        <f>'Haver Pivoted'!GV31</f>
        <v>3508</v>
      </c>
      <c r="L96" s="367">
        <f>'Haver Pivoted'!GW31</f>
        <v>2895.4</v>
      </c>
      <c r="M96" s="367">
        <f>'Haver Pivoted'!GX31</f>
        <v>5127.3999999999996</v>
      </c>
      <c r="N96" s="367">
        <f>'Haver Pivoted'!GY31</f>
        <v>3403.8</v>
      </c>
      <c r="O96" s="367">
        <f>'Haver Pivoted'!GZ31</f>
        <v>3135</v>
      </c>
      <c r="P96" s="367">
        <f>'Haver Pivoted'!HA31</f>
        <v>2947.7</v>
      </c>
      <c r="Q96" s="367">
        <f>'Haver Pivoted'!HB31</f>
        <v>2903.2</v>
      </c>
      <c r="R96" s="367">
        <f>'Haver Pivoted'!HC31</f>
        <v>2895.2</v>
      </c>
      <c r="S96" s="368">
        <f>'Haver Pivoted'!HD31</f>
        <v>2867.4</v>
      </c>
      <c r="T96" s="683">
        <f>'Haver Pivoted'!HE31</f>
        <v>2896.7</v>
      </c>
      <c r="U96" s="368">
        <f>'Haver Pivoted'!HF31</f>
        <v>2945.8</v>
      </c>
      <c r="V96" s="368">
        <f>'Haver Pivoted'!HG31</f>
        <v>2929.7</v>
      </c>
      <c r="W96" s="693"/>
      <c r="X96" s="693"/>
      <c r="Y96" s="693"/>
      <c r="Z96" s="693"/>
      <c r="AA96" s="693"/>
      <c r="AB96" s="693"/>
      <c r="AC96" s="735"/>
      <c r="AD96" s="735"/>
      <c r="AE96" s="735"/>
      <c r="AF96" s="735"/>
      <c r="AG96" s="505"/>
    </row>
    <row r="97" spans="2:33" ht="25.75" customHeight="1">
      <c r="B97" s="478" t="s">
        <v>1850</v>
      </c>
      <c r="C97" s="240"/>
      <c r="D97" s="711">
        <f>D98+D99</f>
        <v>812.1</v>
      </c>
      <c r="E97" s="439">
        <f>E98+E99</f>
        <v>832.4</v>
      </c>
      <c r="F97" s="439">
        <f>F98+F99</f>
        <v>843</v>
      </c>
      <c r="G97" s="439">
        <f t="shared" ref="G97:N97" si="25">G98+G99</f>
        <v>848.9</v>
      </c>
      <c r="H97" s="439">
        <f t="shared" si="25"/>
        <v>854.6</v>
      </c>
      <c r="I97" s="439">
        <f t="shared" si="25"/>
        <v>875.94174999999996</v>
      </c>
      <c r="J97" s="439">
        <f t="shared" si="25"/>
        <v>3140.0887499999999</v>
      </c>
      <c r="K97" s="439">
        <f t="shared" si="25"/>
        <v>1866.1377500000001</v>
      </c>
      <c r="L97" s="439">
        <f t="shared" si="25"/>
        <v>1314.69775</v>
      </c>
      <c r="M97" s="439">
        <f t="shared" si="25"/>
        <v>3522.1777499999998</v>
      </c>
      <c r="N97" s="439">
        <f t="shared" si="25"/>
        <v>1820.5125900000003</v>
      </c>
      <c r="O97" s="439">
        <f>O98+O99</f>
        <v>1547.208243333333</v>
      </c>
      <c r="P97" s="439">
        <f t="shared" ref="P97:R97" si="26">P98+P99</f>
        <v>1369.7290833333329</v>
      </c>
      <c r="Q97" s="439">
        <f t="shared" si="26"/>
        <v>1218.1737499999999</v>
      </c>
      <c r="R97" s="439">
        <f t="shared" si="26"/>
        <v>1201.89975</v>
      </c>
      <c r="S97" s="678">
        <f>S98+S99</f>
        <v>1183.0257500000002</v>
      </c>
      <c r="T97" s="678">
        <f t="shared" ref="T97:U97" si="27">T98+T99</f>
        <v>1168.3497500000001</v>
      </c>
      <c r="U97" s="678">
        <f t="shared" si="27"/>
        <v>1082.9817499999999</v>
      </c>
      <c r="V97" s="678">
        <f>V98+V99</f>
        <v>1060.3633214285715</v>
      </c>
      <c r="W97" s="438"/>
      <c r="X97" s="438"/>
      <c r="Y97" s="438"/>
      <c r="Z97" s="438"/>
      <c r="AA97" s="438"/>
      <c r="AB97" s="438"/>
      <c r="AC97" s="438"/>
      <c r="AD97" s="438"/>
      <c r="AE97" s="438"/>
      <c r="AF97" s="438"/>
      <c r="AG97" s="505"/>
    </row>
    <row r="98" spans="2:33" ht="25.75" customHeight="1">
      <c r="B98" s="425" t="s">
        <v>1848</v>
      </c>
      <c r="C98" s="240"/>
      <c r="D98" s="711">
        <f t="shared" ref="D98:V98" si="28">D14+D17+D35</f>
        <v>812.1</v>
      </c>
      <c r="E98" s="711">
        <f t="shared" si="28"/>
        <v>832.4</v>
      </c>
      <c r="F98" s="439">
        <f t="shared" si="28"/>
        <v>843</v>
      </c>
      <c r="G98" s="439">
        <f t="shared" si="28"/>
        <v>848.9</v>
      </c>
      <c r="H98" s="439">
        <f t="shared" si="28"/>
        <v>854.6</v>
      </c>
      <c r="I98" s="439">
        <f t="shared" si="28"/>
        <v>869.3</v>
      </c>
      <c r="J98" s="439">
        <f t="shared" si="28"/>
        <v>1792.5</v>
      </c>
      <c r="K98" s="439">
        <f t="shared" si="28"/>
        <v>1655.6000000000001</v>
      </c>
      <c r="L98" s="439">
        <f t="shared" si="28"/>
        <v>1188.2</v>
      </c>
      <c r="M98" s="439">
        <f t="shared" si="28"/>
        <v>1467.3000000000002</v>
      </c>
      <c r="N98" s="439">
        <f t="shared" si="28"/>
        <v>1351.8000000000002</v>
      </c>
      <c r="O98" s="439">
        <f t="shared" si="28"/>
        <v>1328.333333333333</v>
      </c>
      <c r="P98" s="439">
        <f t="shared" si="28"/>
        <v>1157.333333333333</v>
      </c>
      <c r="Q98" s="439">
        <f t="shared" si="28"/>
        <v>1038.7</v>
      </c>
      <c r="R98" s="439">
        <f t="shared" si="28"/>
        <v>1040.4000000000001</v>
      </c>
      <c r="S98" s="678">
        <f t="shared" si="28"/>
        <v>1041.1000000000001</v>
      </c>
      <c r="T98" s="678">
        <f t="shared" si="28"/>
        <v>1050.6000000000001</v>
      </c>
      <c r="U98" s="678">
        <f t="shared" si="28"/>
        <v>994.1</v>
      </c>
      <c r="V98" s="678">
        <f t="shared" si="28"/>
        <v>998.52857142857135</v>
      </c>
      <c r="W98" s="438"/>
      <c r="X98" s="438"/>
      <c r="Y98" s="438"/>
      <c r="Z98" s="438"/>
      <c r="AA98" s="438"/>
      <c r="AB98" s="438"/>
      <c r="AC98" s="438"/>
      <c r="AD98" s="438"/>
      <c r="AE98" s="438"/>
      <c r="AF98" s="438"/>
      <c r="AG98" s="438"/>
    </row>
    <row r="99" spans="2:33" ht="36" customHeight="1">
      <c r="B99" s="425" t="s">
        <v>1849</v>
      </c>
      <c r="C99" s="240"/>
      <c r="D99" s="439">
        <f t="shared" ref="D99:AG99" si="29">D18+D21+D32+D33+D34+D36</f>
        <v>0</v>
      </c>
      <c r="E99" s="439">
        <f t="shared" si="29"/>
        <v>0</v>
      </c>
      <c r="F99" s="439">
        <f t="shared" si="29"/>
        <v>0</v>
      </c>
      <c r="G99" s="439">
        <f t="shared" si="29"/>
        <v>0</v>
      </c>
      <c r="H99" s="439">
        <f t="shared" si="29"/>
        <v>0</v>
      </c>
      <c r="I99" s="439">
        <f t="shared" si="29"/>
        <v>6.6417500000000018</v>
      </c>
      <c r="J99" s="439">
        <f t="shared" si="29"/>
        <v>1347.5887500000001</v>
      </c>
      <c r="K99" s="439">
        <f t="shared" si="29"/>
        <v>210.53775000000002</v>
      </c>
      <c r="L99" s="439">
        <f t="shared" si="29"/>
        <v>126.49775</v>
      </c>
      <c r="M99" s="439">
        <f t="shared" si="29"/>
        <v>2054.8777499999997</v>
      </c>
      <c r="N99" s="439">
        <f t="shared" si="29"/>
        <v>468.71259000000009</v>
      </c>
      <c r="O99" s="439">
        <f t="shared" si="29"/>
        <v>218.87491000000009</v>
      </c>
      <c r="P99" s="439">
        <f t="shared" si="29"/>
        <v>212.39574999999999</v>
      </c>
      <c r="Q99" s="439">
        <f t="shared" si="29"/>
        <v>179.47375</v>
      </c>
      <c r="R99" s="439">
        <f t="shared" si="29"/>
        <v>161.49975000000001</v>
      </c>
      <c r="S99" s="678">
        <f t="shared" si="29"/>
        <v>141.92575000000002</v>
      </c>
      <c r="T99" s="678">
        <f t="shared" si="29"/>
        <v>117.74975000000001</v>
      </c>
      <c r="U99" s="678">
        <f t="shared" si="29"/>
        <v>88.881749999999982</v>
      </c>
      <c r="V99" s="678">
        <f t="shared" si="29"/>
        <v>61.83475</v>
      </c>
      <c r="W99" s="438">
        <f t="shared" si="29"/>
        <v>61.83475</v>
      </c>
      <c r="X99" s="438">
        <f t="shared" si="29"/>
        <v>54.119749999999996</v>
      </c>
      <c r="Y99" s="438">
        <f t="shared" si="29"/>
        <v>54.119749999999996</v>
      </c>
      <c r="Z99" s="438">
        <f t="shared" si="29"/>
        <v>54.119749999999996</v>
      </c>
      <c r="AA99" s="438">
        <f t="shared" si="29"/>
        <v>54.119749999999996</v>
      </c>
      <c r="AB99" s="438">
        <f t="shared" si="29"/>
        <v>52.420749999999998</v>
      </c>
      <c r="AC99" s="438">
        <f t="shared" si="29"/>
        <v>52.420749999999998</v>
      </c>
      <c r="AD99" s="438">
        <f t="shared" si="29"/>
        <v>0</v>
      </c>
      <c r="AE99" s="438">
        <f t="shared" si="29"/>
        <v>0</v>
      </c>
      <c r="AF99" s="438">
        <f t="shared" si="29"/>
        <v>0</v>
      </c>
      <c r="AG99" s="438">
        <f t="shared" si="29"/>
        <v>0</v>
      </c>
    </row>
    <row r="100" spans="2:33" ht="25.75" customHeight="1">
      <c r="B100" s="478" t="s">
        <v>801</v>
      </c>
      <c r="C100" s="240"/>
      <c r="D100" s="711">
        <f>D96-D97</f>
        <v>1410.9</v>
      </c>
      <c r="E100" s="439">
        <f t="shared" ref="E100:T100" si="30">E96-E97</f>
        <v>1471.1999999999998</v>
      </c>
      <c r="F100" s="439">
        <f t="shared" si="30"/>
        <v>1477.1</v>
      </c>
      <c r="G100" s="439">
        <f t="shared" si="30"/>
        <v>1484</v>
      </c>
      <c r="H100" s="439">
        <f t="shared" si="30"/>
        <v>1492</v>
      </c>
      <c r="I100" s="439">
        <f t="shared" si="30"/>
        <v>1536.65825</v>
      </c>
      <c r="J100" s="439">
        <f t="shared" si="30"/>
        <v>1512.0112500000005</v>
      </c>
      <c r="K100" s="439">
        <f t="shared" si="30"/>
        <v>1641.8622499999999</v>
      </c>
      <c r="L100" s="439">
        <f t="shared" si="30"/>
        <v>1580.70225</v>
      </c>
      <c r="M100" s="439">
        <f t="shared" si="30"/>
        <v>1605.2222499999998</v>
      </c>
      <c r="N100" s="439">
        <f t="shared" si="30"/>
        <v>1583.2874099999999</v>
      </c>
      <c r="O100" s="439">
        <f t="shared" si="30"/>
        <v>1587.791756666667</v>
      </c>
      <c r="P100" s="439">
        <f t="shared" si="30"/>
        <v>1577.9709166666669</v>
      </c>
      <c r="Q100" s="439">
        <f t="shared" si="30"/>
        <v>1685.0262499999999</v>
      </c>
      <c r="R100" s="439">
        <f t="shared" si="30"/>
        <v>1693.3002499999998</v>
      </c>
      <c r="S100" s="678">
        <f t="shared" si="30"/>
        <v>1684.3742499999998</v>
      </c>
      <c r="T100" s="678">
        <f t="shared" si="30"/>
        <v>1728.3502499999997</v>
      </c>
      <c r="U100" s="678">
        <f>U96-U97</f>
        <v>1862.8182500000003</v>
      </c>
      <c r="V100" s="678">
        <f>V96-V97</f>
        <v>1869.3366785714284</v>
      </c>
      <c r="W100" s="438"/>
      <c r="X100" s="438"/>
      <c r="Y100" s="438"/>
      <c r="Z100" s="438"/>
      <c r="AA100" s="438"/>
      <c r="AB100" s="438"/>
      <c r="AC100" s="438"/>
      <c r="AD100" s="438"/>
      <c r="AE100" s="438"/>
      <c r="AF100" s="438"/>
      <c r="AG100" s="505"/>
    </row>
    <row r="101" spans="2:33" ht="20.5" customHeight="1">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5"/>
    </row>
    <row r="102" spans="2:33" ht="20.5" customHeight="1">
      <c r="B102" s="697" t="s">
        <v>1808</v>
      </c>
      <c r="C102" s="240"/>
      <c r="D102" s="711"/>
      <c r="E102" s="439"/>
      <c r="F102" s="439"/>
      <c r="G102" s="439"/>
      <c r="H102" s="439"/>
      <c r="I102" s="439"/>
      <c r="J102" s="679"/>
      <c r="K102" s="679"/>
      <c r="L102" s="679"/>
      <c r="M102" s="704"/>
      <c r="N102" s="679"/>
      <c r="O102" s="679"/>
      <c r="P102" s="679"/>
      <c r="Q102" s="704"/>
      <c r="R102" s="679"/>
      <c r="S102" s="679"/>
      <c r="T102" s="679"/>
      <c r="U102" s="679">
        <f>U103+U104</f>
        <v>113.58097833333339</v>
      </c>
      <c r="V102" s="679">
        <f>V103+V104</f>
        <v>6.933333333333394</v>
      </c>
      <c r="W102" s="438">
        <f t="shared" ref="W102:AF102" si="33">W103+W108*W105</f>
        <v>6.933333333333394</v>
      </c>
      <c r="X102" s="438">
        <f t="shared" si="33"/>
        <v>6.933333333333394</v>
      </c>
      <c r="Y102" s="438">
        <f t="shared" si="33"/>
        <v>49.591555533333391</v>
      </c>
      <c r="Z102" s="438">
        <f t="shared" si="33"/>
        <v>6.933333333333394</v>
      </c>
      <c r="AA102" s="438">
        <f t="shared" si="33"/>
        <v>6.933333333333394</v>
      </c>
      <c r="AB102" s="438">
        <f t="shared" si="33"/>
        <v>6.933333333333394</v>
      </c>
      <c r="AC102" s="438">
        <f t="shared" si="33"/>
        <v>36.590524429333399</v>
      </c>
      <c r="AD102" s="438">
        <f t="shared" si="33"/>
        <v>6.933333333333394</v>
      </c>
      <c r="AE102" s="438">
        <f t="shared" si="33"/>
        <v>6.933333333333394</v>
      </c>
      <c r="AF102" s="438">
        <f t="shared" si="33"/>
        <v>6.933333333333394</v>
      </c>
      <c r="AG102" s="505"/>
    </row>
    <row r="103" spans="2:33" ht="28.4" customHeight="1">
      <c r="B103" s="698" t="s">
        <v>1805</v>
      </c>
      <c r="C103" s="240"/>
      <c r="D103" s="711"/>
      <c r="E103" s="439"/>
      <c r="F103" s="439"/>
      <c r="G103" s="439"/>
      <c r="H103" s="439"/>
      <c r="I103" s="439"/>
      <c r="J103" s="679"/>
      <c r="K103" s="679"/>
      <c r="L103" s="679"/>
      <c r="M103" s="704"/>
      <c r="N103" s="679"/>
      <c r="O103" s="679"/>
      <c r="P103" s="679"/>
      <c r="Q103" s="704"/>
      <c r="R103" s="679"/>
      <c r="S103" s="679"/>
      <c r="T103" s="679"/>
      <c r="U103" s="679">
        <f>($H$101-$E$101)/3</f>
        <v>6.933333333333394</v>
      </c>
      <c r="V103" s="679">
        <f>($H$101-$E$101)/3</f>
        <v>6.933333333333394</v>
      </c>
      <c r="W103" s="438">
        <f t="shared" ref="W103:AF103" si="34">V103</f>
        <v>6.933333333333394</v>
      </c>
      <c r="X103" s="438">
        <f t="shared" si="34"/>
        <v>6.933333333333394</v>
      </c>
      <c r="Y103" s="438">
        <f t="shared" si="34"/>
        <v>6.933333333333394</v>
      </c>
      <c r="Z103" s="438">
        <f t="shared" si="34"/>
        <v>6.933333333333394</v>
      </c>
      <c r="AA103" s="438">
        <f t="shared" si="34"/>
        <v>6.933333333333394</v>
      </c>
      <c r="AB103" s="438">
        <f t="shared" si="34"/>
        <v>6.933333333333394</v>
      </c>
      <c r="AC103" s="438">
        <f t="shared" si="34"/>
        <v>6.933333333333394</v>
      </c>
      <c r="AD103" s="438">
        <f t="shared" si="34"/>
        <v>6.933333333333394</v>
      </c>
      <c r="AE103" s="438">
        <f t="shared" si="34"/>
        <v>6.933333333333394</v>
      </c>
      <c r="AF103" s="438">
        <f t="shared" si="34"/>
        <v>6.933333333333394</v>
      </c>
      <c r="AG103" s="505"/>
    </row>
    <row r="104" spans="2:33" ht="30.65" customHeight="1">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5"/>
    </row>
    <row r="105" spans="2:33" ht="17.5" customHeight="1">
      <c r="B105" s="548" t="s">
        <v>475</v>
      </c>
      <c r="C105" s="240" t="s">
        <v>476</v>
      </c>
      <c r="D105" s="711">
        <f>'Haver Pivoted'!GO88/1000</f>
        <v>983.86099999999999</v>
      </c>
      <c r="E105" s="439">
        <f>'Haver Pivoted'!GP88/1000</f>
        <v>1019.17</v>
      </c>
      <c r="F105" s="439">
        <f>'Haver Pivoted'!GQ88/1000</f>
        <v>1026.74</v>
      </c>
      <c r="G105" s="439">
        <f>'Haver Pivoted'!GR88/1000</f>
        <v>1034.364</v>
      </c>
      <c r="H105" s="439">
        <f>'Haver Pivoted'!GS88/1000</f>
        <v>1042.6969999999999</v>
      </c>
      <c r="I105" s="439">
        <f>'Haver Pivoted'!GT88/1000</f>
        <v>1068.172</v>
      </c>
      <c r="J105" s="439">
        <f>'Haver Pivoted'!GU88/1000</f>
        <v>1075.0809999999999</v>
      </c>
      <c r="K105" s="439">
        <f>'Haver Pivoted'!GV88/1000</f>
        <v>1080.296</v>
      </c>
      <c r="L105" s="439">
        <f>'Haver Pivoted'!GW88/1000</f>
        <v>1088.164</v>
      </c>
      <c r="M105" s="439">
        <f>'Haver Pivoted'!GX88/1000</f>
        <v>1105.684</v>
      </c>
      <c r="N105" s="439">
        <f>'Haver Pivoted'!GY88/1000</f>
        <v>1109.6220000000001</v>
      </c>
      <c r="O105" s="439">
        <f>'Haver Pivoted'!GZ88/1000</f>
        <v>1116.8399999999999</v>
      </c>
      <c r="P105" s="439">
        <f>'Haver Pivoted'!HA88/1000</f>
        <v>1126.2539999999999</v>
      </c>
      <c r="Q105" s="439">
        <f>'Haver Pivoted'!HB88/1000</f>
        <v>1198.68</v>
      </c>
      <c r="R105" s="439">
        <f>'Haver Pivoted'!HC88/1000</f>
        <v>1207.049</v>
      </c>
      <c r="S105" s="678">
        <f>'Haver Pivoted'!HD88/1000</f>
        <v>1214.451</v>
      </c>
      <c r="T105" s="678">
        <f>'Haver Pivoted'!HE88/1000</f>
        <v>1225.835</v>
      </c>
      <c r="U105" s="678">
        <f>'Haver Pivoted'!HF88/1000</f>
        <v>1339.9770000000001</v>
      </c>
      <c r="V105" s="678">
        <f>'Haver Pivoted'!HG88/1000</f>
        <v>1353.758</v>
      </c>
      <c r="W105" s="438">
        <f t="shared" ref="W105:AF105" si="36">V105+W106</f>
        <v>1364.758</v>
      </c>
      <c r="X105" s="438">
        <f t="shared" si="36"/>
        <v>1372.758</v>
      </c>
      <c r="Y105" s="438">
        <f t="shared" si="36"/>
        <v>1421.94074</v>
      </c>
      <c r="Z105" s="438">
        <f t="shared" si="36"/>
        <v>1429.94074</v>
      </c>
      <c r="AA105" s="438">
        <f t="shared" si="36"/>
        <v>1437.94074</v>
      </c>
      <c r="AB105" s="438">
        <f t="shared" si="36"/>
        <v>1445.94074</v>
      </c>
      <c r="AC105" s="438">
        <f t="shared" si="36"/>
        <v>1482.8595548000001</v>
      </c>
      <c r="AD105" s="438">
        <f t="shared" si="36"/>
        <v>1491.8595548000001</v>
      </c>
      <c r="AE105" s="438">
        <f t="shared" si="36"/>
        <v>1501.8595548000001</v>
      </c>
      <c r="AF105" s="438">
        <f t="shared" si="36"/>
        <v>1512.8595548000001</v>
      </c>
      <c r="AG105" s="505"/>
    </row>
    <row r="106" spans="2:33" ht="17.5" customHeight="1">
      <c r="B106" s="425" t="s">
        <v>1807</v>
      </c>
      <c r="C106" s="240"/>
      <c r="D106" s="711"/>
      <c r="E106" s="439"/>
      <c r="F106" s="439"/>
      <c r="G106" s="439"/>
      <c r="H106" s="439"/>
      <c r="I106" s="439"/>
      <c r="J106" s="439"/>
      <c r="K106" s="439"/>
      <c r="L106" s="439"/>
      <c r="M106" s="439"/>
      <c r="N106" s="439"/>
      <c r="O106" s="439"/>
      <c r="P106" s="439"/>
      <c r="Q106" s="439"/>
      <c r="R106" s="439"/>
      <c r="S106" s="678"/>
      <c r="T106" s="678"/>
      <c r="U106" s="678">
        <f>U104+U107</f>
        <v>114.647645</v>
      </c>
      <c r="V106" s="678">
        <f>V104+V107</f>
        <v>8</v>
      </c>
      <c r="W106" s="438">
        <f t="shared" ref="W106:AF106" si="37">W104+W107</f>
        <v>11</v>
      </c>
      <c r="X106" s="438">
        <f t="shared" si="37"/>
        <v>8</v>
      </c>
      <c r="Y106" s="438">
        <f>Y104+Y107</f>
        <v>49.182740000000003</v>
      </c>
      <c r="Z106" s="438">
        <f t="shared" si="37"/>
        <v>8</v>
      </c>
      <c r="AA106" s="438">
        <f t="shared" si="37"/>
        <v>8</v>
      </c>
      <c r="AB106" s="438">
        <f t="shared" si="37"/>
        <v>8</v>
      </c>
      <c r="AC106" s="438">
        <f t="shared" si="37"/>
        <v>36.9188148</v>
      </c>
      <c r="AD106" s="438">
        <f t="shared" si="37"/>
        <v>9</v>
      </c>
      <c r="AE106" s="438">
        <f t="shared" si="37"/>
        <v>10</v>
      </c>
      <c r="AF106" s="438">
        <f t="shared" si="37"/>
        <v>11</v>
      </c>
      <c r="AG106" s="505"/>
    </row>
    <row r="107" spans="2:33" ht="17.5" customHeight="1">
      <c r="B107" s="416" t="s">
        <v>1810</v>
      </c>
      <c r="C107" s="240"/>
      <c r="D107" s="711"/>
      <c r="E107" s="439"/>
      <c r="F107" s="439"/>
      <c r="G107" s="439"/>
      <c r="H107" s="439"/>
      <c r="I107" s="439"/>
      <c r="J107" s="439"/>
      <c r="K107" s="439"/>
      <c r="L107" s="439"/>
      <c r="M107" s="439"/>
      <c r="N107" s="439"/>
      <c r="O107" s="439"/>
      <c r="P107" s="439"/>
      <c r="Q107" s="439"/>
      <c r="R107" s="439"/>
      <c r="S107" s="678"/>
      <c r="T107" s="678"/>
      <c r="U107" s="678">
        <v>8</v>
      </c>
      <c r="V107" s="678">
        <v>8</v>
      </c>
      <c r="W107" s="438">
        <v>11</v>
      </c>
      <c r="X107" s="438">
        <v>8</v>
      </c>
      <c r="Y107" s="438">
        <v>8</v>
      </c>
      <c r="Z107" s="438">
        <v>8</v>
      </c>
      <c r="AA107" s="438">
        <v>8</v>
      </c>
      <c r="AB107" s="438">
        <v>8</v>
      </c>
      <c r="AC107" s="438">
        <v>8</v>
      </c>
      <c r="AD107" s="438">
        <v>9</v>
      </c>
      <c r="AE107" s="438">
        <v>10</v>
      </c>
      <c r="AF107" s="438">
        <v>11</v>
      </c>
      <c r="AG107" s="505"/>
    </row>
    <row r="108" spans="2:33" ht="39" customHeight="1">
      <c r="B108" s="416" t="s">
        <v>1811</v>
      </c>
      <c r="C108" s="240"/>
      <c r="D108" s="711"/>
      <c r="E108" s="439"/>
      <c r="F108" s="439"/>
      <c r="G108" s="439"/>
      <c r="H108" s="439"/>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5"/>
    </row>
    <row r="109" spans="2:33" ht="49.75" customHeight="1">
      <c r="B109" s="478" t="s">
        <v>1432</v>
      </c>
      <c r="C109" s="240"/>
      <c r="D109" s="711">
        <f t="shared" ref="D109:T109" si="38">D100-D101</f>
        <v>0</v>
      </c>
      <c r="E109" s="439">
        <f t="shared" si="38"/>
        <v>0</v>
      </c>
      <c r="F109" s="439">
        <f t="shared" si="38"/>
        <v>0</v>
      </c>
      <c r="G109" s="439">
        <f t="shared" si="38"/>
        <v>0</v>
      </c>
      <c r="H109" s="439">
        <f t="shared" si="38"/>
        <v>0</v>
      </c>
      <c r="I109" s="439">
        <f t="shared" si="38"/>
        <v>-6.6417499999997744</v>
      </c>
      <c r="J109" s="439">
        <f t="shared" si="38"/>
        <v>-38.222083333332648</v>
      </c>
      <c r="K109" s="439">
        <f t="shared" si="38"/>
        <v>84.695583333333389</v>
      </c>
      <c r="L109" s="439">
        <f t="shared" si="38"/>
        <v>16.60225000000014</v>
      </c>
      <c r="M109" s="439">
        <f t="shared" si="38"/>
        <v>16.668916666666519</v>
      </c>
      <c r="N109" s="439">
        <f t="shared" si="38"/>
        <v>-12.19925666666677</v>
      </c>
      <c r="O109" s="439">
        <f t="shared" si="38"/>
        <v>-14.628243333333103</v>
      </c>
      <c r="P109" s="439">
        <f t="shared" si="38"/>
        <v>-31.382416666666586</v>
      </c>
      <c r="Q109" s="439">
        <f t="shared" si="38"/>
        <v>-3.1812166666670691</v>
      </c>
      <c r="R109" s="439">
        <f t="shared" si="38"/>
        <v>-1.8405500000005759</v>
      </c>
      <c r="S109" s="678">
        <f t="shared" si="38"/>
        <v>-17.699883333333901</v>
      </c>
      <c r="T109" s="678">
        <f t="shared" si="38"/>
        <v>19.342783333332591</v>
      </c>
      <c r="U109" s="678">
        <f>U100-U101</f>
        <v>40.229804999999715</v>
      </c>
      <c r="V109" s="678">
        <f>V100-V101</f>
        <v>39.814900238094424</v>
      </c>
      <c r="W109" s="438">
        <f t="shared" ref="W109:AF109" si="39">V109</f>
        <v>39.814900238094424</v>
      </c>
      <c r="X109" s="438">
        <f t="shared" si="39"/>
        <v>39.814900238094424</v>
      </c>
      <c r="Y109" s="438">
        <f t="shared" si="39"/>
        <v>39.814900238094424</v>
      </c>
      <c r="Z109" s="438">
        <f t="shared" si="39"/>
        <v>39.814900238094424</v>
      </c>
      <c r="AA109" s="438">
        <f t="shared" si="39"/>
        <v>39.814900238094424</v>
      </c>
      <c r="AB109" s="438">
        <f t="shared" si="39"/>
        <v>39.814900238094424</v>
      </c>
      <c r="AC109" s="438">
        <f t="shared" si="39"/>
        <v>39.814900238094424</v>
      </c>
      <c r="AD109" s="438">
        <f t="shared" si="39"/>
        <v>39.814900238094424</v>
      </c>
      <c r="AE109" s="438">
        <f t="shared" si="39"/>
        <v>39.814900238094424</v>
      </c>
      <c r="AF109" s="438">
        <f t="shared" si="39"/>
        <v>39.814900238094424</v>
      </c>
      <c r="AG109" s="505"/>
    </row>
    <row r="110" spans="2:33" ht="29.5" customHeight="1">
      <c r="B110" s="283"/>
      <c r="C110" s="240"/>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5" customHeight="1">
      <c r="B111" s="240"/>
      <c r="C111" s="240"/>
      <c r="S111" s="552"/>
      <c r="T111" s="552"/>
      <c r="U111" s="240"/>
      <c r="V111" s="240"/>
      <c r="W111" s="240"/>
      <c r="X111" s="240"/>
      <c r="Y111" s="240"/>
      <c r="Z111" s="240"/>
      <c r="AA111" s="240"/>
      <c r="AB111" s="240"/>
      <c r="AC111" s="240"/>
    </row>
    <row r="112" spans="2:33" ht="16.75" customHeight="1">
      <c r="B112" s="240"/>
      <c r="C112" s="240"/>
      <c r="S112" s="223"/>
      <c r="T112" s="223"/>
      <c r="U112" s="240"/>
      <c r="V112" s="240"/>
      <c r="W112" s="240"/>
      <c r="X112" s="240"/>
      <c r="Y112" s="240"/>
      <c r="Z112" s="240"/>
      <c r="AA112" s="240"/>
      <c r="AB112" s="240"/>
      <c r="AC112" s="240"/>
    </row>
    <row r="113" spans="2:30" ht="16.75" customHeight="1">
      <c r="B113" s="240"/>
      <c r="C113" s="240"/>
      <c r="S113" s="223"/>
      <c r="T113" s="223"/>
      <c r="U113" s="240"/>
      <c r="V113" s="240"/>
      <c r="W113" s="240"/>
      <c r="X113" s="240"/>
      <c r="Y113" s="240"/>
      <c r="Z113" s="240"/>
      <c r="AA113" s="240"/>
      <c r="AB113" s="240"/>
      <c r="AC113" s="240"/>
    </row>
    <row r="114" spans="2:30" ht="16.75" customHeight="1">
      <c r="B114" s="240"/>
      <c r="C114" s="240"/>
      <c r="S114" s="223"/>
      <c r="T114" s="223"/>
      <c r="U114" s="439"/>
      <c r="V114" s="439"/>
      <c r="W114" s="439"/>
      <c r="X114" s="439"/>
      <c r="Y114" s="439"/>
      <c r="Z114" s="439"/>
      <c r="AA114" s="439"/>
      <c r="AB114" s="439"/>
      <c r="AC114" s="439"/>
      <c r="AD114" s="517"/>
    </row>
    <row r="115" spans="2:30" ht="16.75" customHeight="1">
      <c r="B115" s="469"/>
      <c r="C115" s="240"/>
      <c r="S115" s="223"/>
      <c r="T115" s="223"/>
      <c r="U115" s="223"/>
      <c r="V115" s="223"/>
      <c r="W115" s="223"/>
      <c r="X115" s="223"/>
      <c r="Y115" s="223"/>
      <c r="Z115" s="223"/>
      <c r="AA115" s="223"/>
      <c r="AB115" s="223"/>
      <c r="AC115" s="223"/>
      <c r="AD115" s="517"/>
    </row>
    <row r="116" spans="2:30" ht="16.75" customHeight="1">
      <c r="B116" s="469"/>
      <c r="C116" s="240"/>
      <c r="S116" s="223"/>
      <c r="T116" s="223"/>
      <c r="U116" s="223"/>
      <c r="V116" s="223"/>
      <c r="W116" s="223"/>
      <c r="X116" s="223"/>
      <c r="Y116" s="223"/>
      <c r="Z116" s="223"/>
      <c r="AA116" s="223"/>
      <c r="AB116" s="223"/>
      <c r="AC116" s="223"/>
      <c r="AD116" s="517"/>
    </row>
    <row r="117" spans="2:30" ht="16.75" customHeight="1">
      <c r="B117" s="469"/>
      <c r="C117" s="240"/>
      <c r="S117" s="223"/>
      <c r="T117" s="223"/>
      <c r="U117" s="223"/>
      <c r="V117" s="223"/>
      <c r="W117" s="223"/>
      <c r="X117" s="223"/>
      <c r="Y117" s="223"/>
      <c r="Z117" s="223"/>
      <c r="AA117" s="223"/>
      <c r="AB117" s="223"/>
      <c r="AC117" s="223"/>
      <c r="AD117" s="517"/>
    </row>
    <row r="118" spans="2:30" ht="16.75" customHeight="1">
      <c r="B118" s="240"/>
      <c r="C118" s="240"/>
      <c r="S118" s="240"/>
      <c r="T118" s="240"/>
      <c r="U118" s="439"/>
      <c r="V118" s="439"/>
      <c r="W118" s="439"/>
      <c r="X118" s="439"/>
      <c r="Y118" s="439"/>
      <c r="Z118" s="439"/>
      <c r="AA118" s="439"/>
      <c r="AB118" s="439"/>
      <c r="AC118" s="439"/>
      <c r="AD118" s="517"/>
    </row>
    <row r="119" spans="2:30" ht="16.75" customHeight="1">
      <c r="B119" s="469"/>
      <c r="C119" s="240"/>
      <c r="S119" s="240"/>
      <c r="T119" s="240"/>
      <c r="U119" s="439"/>
      <c r="V119" s="439"/>
      <c r="W119" s="439"/>
      <c r="X119" s="439"/>
      <c r="Y119" s="439"/>
      <c r="Z119" s="439"/>
      <c r="AA119" s="439"/>
      <c r="AB119" s="439"/>
      <c r="AC119" s="439"/>
      <c r="AD119" s="517"/>
    </row>
    <row r="120" spans="2:30" ht="16.75" customHeight="1">
      <c r="B120" s="469"/>
      <c r="C120" s="240"/>
      <c r="S120" s="240"/>
      <c r="T120" s="240"/>
      <c r="U120" s="223"/>
      <c r="V120" s="223"/>
      <c r="W120" s="223"/>
      <c r="X120" s="223"/>
      <c r="Y120" s="223"/>
      <c r="Z120" s="223"/>
      <c r="AA120" s="223"/>
      <c r="AB120" s="223"/>
      <c r="AC120" s="223"/>
      <c r="AD120" s="517"/>
    </row>
    <row r="121" spans="2:30" ht="16.75" customHeight="1">
      <c r="B121" s="469"/>
      <c r="C121" s="240"/>
      <c r="S121" s="240"/>
      <c r="T121" s="240"/>
      <c r="U121" s="681"/>
      <c r="V121" s="681"/>
      <c r="W121" s="681"/>
      <c r="X121" s="681"/>
      <c r="Y121" s="681"/>
      <c r="Z121" s="681"/>
      <c r="AA121" s="681"/>
      <c r="AB121" s="681"/>
      <c r="AC121" s="681"/>
      <c r="AD121" s="517"/>
    </row>
    <row r="122" spans="2:30" ht="16.75" customHeight="1">
      <c r="B122" s="240"/>
      <c r="C122" s="240"/>
      <c r="S122" s="223"/>
      <c r="T122" s="223"/>
      <c r="U122" s="223"/>
      <c r="V122" s="223"/>
      <c r="W122" s="223"/>
      <c r="X122" s="223"/>
      <c r="Y122" s="223"/>
      <c r="Z122" s="223"/>
      <c r="AA122" s="223"/>
      <c r="AB122" s="223"/>
      <c r="AC122" s="223"/>
      <c r="AD122" s="517"/>
    </row>
    <row r="123" spans="2:30" ht="22.5" customHeight="1">
      <c r="B123" s="283"/>
      <c r="C123" s="240"/>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c r="B124" s="283"/>
      <c r="C124" s="240"/>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5" customHeight="1">
      <c r="B125" s="487"/>
      <c r="C125" s="713">
        <v>2022</v>
      </c>
      <c r="D125" s="714">
        <v>2023</v>
      </c>
      <c r="E125" s="714">
        <v>2024</v>
      </c>
      <c r="F125" s="715">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5" customHeight="1">
      <c r="B126" s="526" t="s">
        <v>1804</v>
      </c>
      <c r="C126" s="266">
        <v>1212.4870000000001</v>
      </c>
      <c r="D126" s="266">
        <v>1344.7529999999999</v>
      </c>
      <c r="E126" s="266">
        <v>1456.7</v>
      </c>
      <c r="F126" s="266">
        <v>1553.5309999999999</v>
      </c>
      <c r="G126" s="266">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c r="B127" s="283"/>
      <c r="C127" s="240"/>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c r="B128" s="75" t="s">
        <v>1431</v>
      </c>
      <c r="D128" s="240"/>
      <c r="E128" s="240"/>
      <c r="F128" s="240"/>
      <c r="G128" s="240"/>
      <c r="H128" s="240"/>
      <c r="I128" s="240"/>
      <c r="J128" s="240"/>
      <c r="K128" s="240"/>
      <c r="L128" s="240"/>
      <c r="M128" s="223"/>
      <c r="N128" s="223"/>
      <c r="O128" s="223"/>
      <c r="P128" s="240"/>
    </row>
    <row r="129" spans="2:18">
      <c r="B129" s="562" t="s">
        <v>808</v>
      </c>
      <c r="C129" s="660"/>
      <c r="D129" s="727">
        <v>2021</v>
      </c>
      <c r="E129" s="727">
        <v>2022</v>
      </c>
      <c r="F129" s="727">
        <v>2023</v>
      </c>
      <c r="G129" s="728">
        <v>2024</v>
      </c>
      <c r="R129" s="517"/>
    </row>
    <row r="130" spans="2:18">
      <c r="B130" s="629" t="s">
        <v>809</v>
      </c>
      <c r="C130" s="734"/>
      <c r="D130" s="722">
        <v>3605.8330000000001</v>
      </c>
      <c r="E130" s="722">
        <v>2900</v>
      </c>
      <c r="F130" s="722">
        <f>E130*1.02</f>
        <v>2958</v>
      </c>
      <c r="G130" s="723">
        <f>F130*1.06</f>
        <v>3135.48</v>
      </c>
    </row>
    <row r="131" spans="2:18">
      <c r="B131" s="629" t="s">
        <v>812</v>
      </c>
      <c r="C131" s="724"/>
      <c r="D131" s="717">
        <f>AVERAGE(Medicare!L10:O10)</f>
        <v>858.02499999999998</v>
      </c>
      <c r="E131" s="717">
        <f>AVERAGE(Medicare!P10:S10)</f>
        <v>917.59999999999991</v>
      </c>
      <c r="F131" s="717">
        <f>AVERAGE(Medicare!T10:W10)</f>
        <v>940.125</v>
      </c>
      <c r="G131" s="732">
        <f>AVERAGE(Medicare!X10:AA10)</f>
        <v>973.33695177711047</v>
      </c>
    </row>
    <row r="132" spans="2:18" ht="13.4" customHeight="1">
      <c r="B132" s="629" t="s">
        <v>810</v>
      </c>
      <c r="C132" s="724"/>
      <c r="D132" s="717">
        <f>D130-D131</f>
        <v>2747.808</v>
      </c>
      <c r="E132" s="717">
        <f t="shared" ref="E132:G132" si="40">E130-E131</f>
        <v>1982.4</v>
      </c>
      <c r="F132" s="717">
        <f t="shared" si="40"/>
        <v>2017.875</v>
      </c>
      <c r="G132" s="732">
        <f t="shared" si="40"/>
        <v>2162.1430482228898</v>
      </c>
    </row>
    <row r="133" spans="2:18">
      <c r="B133" s="629" t="s">
        <v>813</v>
      </c>
      <c r="C133" s="724"/>
      <c r="D133" s="717">
        <f>AVERAGE(L12:O12)</f>
        <v>3640.3999999999996</v>
      </c>
      <c r="E133" s="717">
        <f>AVERAGE(P12:S12)</f>
        <v>2903.3749999999995</v>
      </c>
      <c r="F133" s="717">
        <f>AVERAGE(T12:W12)</f>
        <v>2965.6843958333334</v>
      </c>
      <c r="G133" s="732">
        <f>AVERAGE(X12:AA12)</f>
        <v>3159.3469636652062</v>
      </c>
    </row>
    <row r="134" spans="2:18">
      <c r="B134" s="629" t="s">
        <v>812</v>
      </c>
      <c r="C134" s="724"/>
      <c r="D134" s="717">
        <f>AVERAGE(Medicare!L10:O10)</f>
        <v>858.02499999999998</v>
      </c>
      <c r="E134" s="717">
        <f>AVERAGE(Medicare!P10:S10)</f>
        <v>917.59999999999991</v>
      </c>
      <c r="F134" s="717">
        <f>AVERAGE(Medicare!T10:W10)</f>
        <v>940.125</v>
      </c>
      <c r="G134" s="732">
        <f>AVERAGE(Medicare!X10:AA10)</f>
        <v>973.33695177711047</v>
      </c>
    </row>
    <row r="135" spans="2:18">
      <c r="B135" s="629" t="s">
        <v>532</v>
      </c>
      <c r="C135" s="724"/>
      <c r="D135" s="717">
        <f>AVERAGE(L39:O39)</f>
        <v>1587.6399999999999</v>
      </c>
      <c r="E135" s="717">
        <f>AVERAGE(P39:S39)</f>
        <v>1673.6939333333335</v>
      </c>
      <c r="F135" s="717">
        <f>AVERAGE(T39:W39)</f>
        <v>1799.3932004166672</v>
      </c>
      <c r="G135" s="732">
        <f>AVERAGE(X39:AA39)</f>
        <v>1885.7821116500008</v>
      </c>
    </row>
    <row r="136" spans="2:18" ht="27.65" customHeight="1">
      <c r="B136" s="725" t="s">
        <v>811</v>
      </c>
      <c r="C136" s="357"/>
      <c r="D136" s="619"/>
      <c r="E136" s="729">
        <v>1.157</v>
      </c>
      <c r="F136" s="729">
        <v>1.0109999999999999</v>
      </c>
      <c r="G136" s="733">
        <v>1.0529999999999999</v>
      </c>
    </row>
    <row r="137" spans="2:18">
      <c r="B137" s="240" t="s">
        <v>814</v>
      </c>
      <c r="D137" s="730">
        <f>D133-D130</f>
        <v>34.566999999999553</v>
      </c>
      <c r="E137" s="730">
        <f>E133-E130</f>
        <v>3.3749999999995453</v>
      </c>
      <c r="F137" s="730">
        <f>F133-F130</f>
        <v>7.6843958333333831</v>
      </c>
      <c r="G137" s="730">
        <f t="shared" ref="G137" si="41">G133-G130</f>
        <v>23.866963665206185</v>
      </c>
    </row>
    <row r="139" spans="2:18">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1640625" defaultRowHeight="14.5"/>
  <sheetData>
    <row r="1" spans="13:27">
      <c r="M1" s="75" t="s">
        <v>1882</v>
      </c>
      <c r="S1" s="75" t="s">
        <v>1883</v>
      </c>
      <c r="Z1" t="s">
        <v>1917</v>
      </c>
      <c r="AA1" t="s">
        <v>1918</v>
      </c>
    </row>
    <row r="2" spans="13:27">
      <c r="M2" t="s">
        <v>1884</v>
      </c>
      <c r="Q2">
        <v>2952.3</v>
      </c>
      <c r="S2" t="s">
        <v>1884</v>
      </c>
      <c r="X2">
        <v>2952.3</v>
      </c>
      <c r="Z2">
        <v>2917.6753774795288</v>
      </c>
      <c r="AA2" s="673">
        <v>2928.3</v>
      </c>
    </row>
    <row r="3" spans="13:27">
      <c r="M3" t="s">
        <v>1885</v>
      </c>
      <c r="P3" t="s">
        <v>1886</v>
      </c>
      <c r="Q3">
        <v>23.1</v>
      </c>
      <c r="S3" t="s">
        <v>1885</v>
      </c>
      <c r="W3" t="s">
        <v>1886</v>
      </c>
      <c r="X3">
        <v>23.1</v>
      </c>
      <c r="Z3">
        <v>22.62857142857143</v>
      </c>
      <c r="AA3">
        <v>22.62857142857143</v>
      </c>
    </row>
    <row r="4" spans="13:27">
      <c r="M4" t="s">
        <v>55</v>
      </c>
      <c r="P4" t="s">
        <v>1886</v>
      </c>
      <c r="Q4">
        <v>967.3</v>
      </c>
      <c r="S4" t="s">
        <v>55</v>
      </c>
      <c r="W4" t="s">
        <v>1886</v>
      </c>
      <c r="X4">
        <v>967.3</v>
      </c>
      <c r="Z4">
        <v>944.50347271762462</v>
      </c>
      <c r="AA4">
        <v>946.3</v>
      </c>
    </row>
    <row r="5" spans="13:27">
      <c r="M5" t="s">
        <v>56</v>
      </c>
      <c r="P5" t="s">
        <v>1886</v>
      </c>
      <c r="Q5">
        <v>0</v>
      </c>
      <c r="S5" t="s">
        <v>56</v>
      </c>
      <c r="W5" t="s">
        <v>1886</v>
      </c>
      <c r="X5">
        <v>0</v>
      </c>
      <c r="Z5">
        <v>0</v>
      </c>
      <c r="AA5">
        <v>0</v>
      </c>
    </row>
    <row r="6" spans="13:27">
      <c r="M6" t="s">
        <v>1887</v>
      </c>
      <c r="P6" t="s">
        <v>1886</v>
      </c>
      <c r="Q6">
        <v>0</v>
      </c>
      <c r="S6" t="s">
        <v>1887</v>
      </c>
      <c r="W6" t="s">
        <v>1886</v>
      </c>
      <c r="X6">
        <v>0</v>
      </c>
      <c r="Z6">
        <v>0</v>
      </c>
      <c r="AA6">
        <v>0</v>
      </c>
    </row>
    <row r="7" spans="13:27">
      <c r="Q7">
        <f>Q2-SUM(Q3:Q6)</f>
        <v>1961.9</v>
      </c>
      <c r="X7">
        <f>X2-SUM(X3:X6)</f>
        <v>1961.9</v>
      </c>
      <c r="Z7">
        <f>Z2-SUM(Z3:Z6)</f>
        <v>1950.5433333333328</v>
      </c>
      <c r="AA7">
        <f>AA2-SUM(AA3:AA6)</f>
        <v>1959.3714285714289</v>
      </c>
    </row>
    <row r="8" spans="13:27">
      <c r="S8" t="s">
        <v>1888</v>
      </c>
      <c r="W8" t="s">
        <v>1886</v>
      </c>
      <c r="X8">
        <v>34</v>
      </c>
    </row>
    <row r="9" spans="13:27">
      <c r="S9" t="s">
        <v>1888</v>
      </c>
      <c r="W9" t="s">
        <v>1889</v>
      </c>
      <c r="X9">
        <v>34</v>
      </c>
    </row>
    <row r="10" spans="13:27">
      <c r="S10" t="s">
        <v>1890</v>
      </c>
      <c r="W10" t="s">
        <v>1886</v>
      </c>
      <c r="X10">
        <v>37.700000000000003</v>
      </c>
    </row>
    <row r="11" spans="13:27">
      <c r="S11" t="s">
        <v>1890</v>
      </c>
      <c r="W11" t="s">
        <v>1889</v>
      </c>
      <c r="X11">
        <v>37.700000000000003</v>
      </c>
    </row>
    <row r="12" spans="13:27">
      <c r="S12" t="s">
        <v>470</v>
      </c>
      <c r="W12" t="s">
        <v>1886</v>
      </c>
      <c r="X12">
        <v>0</v>
      </c>
    </row>
    <row r="13" spans="13:27">
      <c r="S13" t="s">
        <v>470</v>
      </c>
      <c r="W13" t="s">
        <v>1889</v>
      </c>
      <c r="X13">
        <v>0</v>
      </c>
    </row>
    <row r="14" spans="13:27">
      <c r="S14" t="s">
        <v>1892</v>
      </c>
      <c r="W14" t="s">
        <v>1886</v>
      </c>
      <c r="X14">
        <v>21.9</v>
      </c>
    </row>
    <row r="15" spans="13:27">
      <c r="S15" t="s">
        <v>1892</v>
      </c>
      <c r="W15" t="s">
        <v>1889</v>
      </c>
      <c r="X15">
        <f>X8-X9+X10-X11+X12-X13+X14</f>
        <v>21.9</v>
      </c>
      <c r="Z15">
        <v>21.9</v>
      </c>
      <c r="AA15">
        <v>21.89</v>
      </c>
    </row>
    <row r="16" spans="13:27">
      <c r="X16">
        <f>X7-X8+X9-X10+X11-X12+X13-X14+X15</f>
        <v>1961.9</v>
      </c>
    </row>
    <row r="17" spans="13:27">
      <c r="S17" t="s">
        <v>1891</v>
      </c>
      <c r="W17" t="s">
        <v>1886</v>
      </c>
      <c r="X17">
        <v>12</v>
      </c>
      <c r="Z17">
        <v>12</v>
      </c>
      <c r="AA17">
        <v>12</v>
      </c>
    </row>
    <row r="18" spans="13:27">
      <c r="S18" t="s">
        <v>218</v>
      </c>
      <c r="W18" t="s">
        <v>1886</v>
      </c>
      <c r="X18">
        <v>1.4</v>
      </c>
      <c r="Z18">
        <v>1.4</v>
      </c>
      <c r="AA18">
        <v>1.4</v>
      </c>
    </row>
    <row r="19" spans="13:27">
      <c r="X19">
        <f>X16-X17-X18</f>
        <v>1948.5</v>
      </c>
      <c r="Z19">
        <f>Z7-Z17-Z18+Z15</f>
        <v>1959.0433333333328</v>
      </c>
      <c r="AA19">
        <f>AA7-AA17-AA18+AA15</f>
        <v>1967.8614285714289</v>
      </c>
    </row>
    <row r="21" spans="13:27">
      <c r="M21" s="75" t="s">
        <v>1893</v>
      </c>
    </row>
    <row r="22" spans="13:27">
      <c r="M22" s="744" t="s">
        <v>123</v>
      </c>
      <c r="N22" s="499"/>
      <c r="O22" s="499"/>
      <c r="P22" s="499"/>
      <c r="Q22" s="499"/>
      <c r="R22" s="499"/>
      <c r="S22" s="499"/>
      <c r="T22" s="499"/>
      <c r="U22" s="499"/>
      <c r="V22" s="499"/>
      <c r="W22" s="447"/>
    </row>
    <row r="23" spans="13:27">
      <c r="M23" s="745" t="s">
        <v>1902</v>
      </c>
      <c r="W23" s="224"/>
    </row>
    <row r="24" spans="13:27">
      <c r="M24" s="745" t="s">
        <v>1901</v>
      </c>
      <c r="N24" s="128"/>
      <c r="O24" s="128"/>
      <c r="P24" s="128"/>
      <c r="Q24" s="128"/>
      <c r="R24" s="128"/>
      <c r="S24" s="128"/>
      <c r="T24" s="128"/>
      <c r="U24" s="128"/>
      <c r="V24" s="128"/>
      <c r="W24" s="746"/>
      <c r="X24" s="128"/>
      <c r="Y24" s="128"/>
    </row>
    <row r="25" spans="13:27">
      <c r="M25" s="40" t="s">
        <v>203</v>
      </c>
      <c r="W25" s="224"/>
    </row>
    <row r="26" spans="13:27">
      <c r="M26" s="40" t="s">
        <v>205</v>
      </c>
      <c r="W26" s="224"/>
    </row>
    <row r="27" spans="13:27">
      <c r="M27" s="40" t="s">
        <v>56</v>
      </c>
      <c r="W27" s="224"/>
    </row>
    <row r="28" spans="13:27">
      <c r="M28" s="40" t="s">
        <v>214</v>
      </c>
      <c r="W28" s="224"/>
    </row>
    <row r="29" spans="13:27">
      <c r="M29" s="40" t="s">
        <v>1894</v>
      </c>
      <c r="W29" s="224"/>
    </row>
    <row r="30" spans="13:27">
      <c r="M30" s="747" t="s">
        <v>1895</v>
      </c>
      <c r="N30" s="57"/>
      <c r="O30" s="57"/>
      <c r="P30" s="57"/>
      <c r="Q30" s="57"/>
      <c r="R30" s="57"/>
      <c r="S30" s="57"/>
      <c r="T30" s="57"/>
      <c r="U30" s="57"/>
      <c r="V30" s="57"/>
      <c r="W30" s="225"/>
      <c r="X30" t="s">
        <v>1896</v>
      </c>
    </row>
    <row r="31" spans="13:27">
      <c r="M31" s="748" t="s">
        <v>1891</v>
      </c>
      <c r="N31" s="499"/>
      <c r="O31" s="499"/>
      <c r="P31" s="499"/>
      <c r="Q31" s="499"/>
      <c r="R31" s="499"/>
      <c r="S31" s="499"/>
      <c r="T31" s="499"/>
      <c r="U31" s="499"/>
      <c r="V31" s="499"/>
      <c r="W31" s="447"/>
    </row>
    <row r="32" spans="13:27">
      <c r="M32" s="747" t="s">
        <v>218</v>
      </c>
      <c r="N32" s="57"/>
      <c r="O32" s="57"/>
      <c r="P32" s="57"/>
      <c r="Q32" s="57"/>
      <c r="R32" s="57"/>
      <c r="S32" s="57"/>
      <c r="T32" s="57"/>
      <c r="U32" s="57"/>
      <c r="V32" s="57"/>
      <c r="W32" s="225"/>
      <c r="X32" t="s">
        <v>1897</v>
      </c>
    </row>
    <row r="33" spans="13:24">
      <c r="M33" s="748" t="s">
        <v>135</v>
      </c>
      <c r="N33" s="499"/>
      <c r="O33" s="499"/>
      <c r="P33" s="499"/>
      <c r="Q33" s="499"/>
      <c r="R33" s="499"/>
      <c r="S33" s="499"/>
      <c r="T33" s="499"/>
      <c r="U33" s="499"/>
      <c r="V33" s="499"/>
      <c r="W33" s="447"/>
    </row>
    <row r="34" spans="13:24">
      <c r="M34" s="40" t="s">
        <v>136</v>
      </c>
      <c r="W34" s="224"/>
    </row>
    <row r="35" spans="13:24">
      <c r="M35" s="40" t="s">
        <v>1898</v>
      </c>
      <c r="W35" s="224"/>
    </row>
    <row r="36" spans="13:24">
      <c r="M36" s="40" t="s">
        <v>129</v>
      </c>
      <c r="W36" s="224"/>
    </row>
    <row r="37" spans="13:24">
      <c r="M37" s="747" t="s">
        <v>1899</v>
      </c>
      <c r="N37" s="57"/>
      <c r="O37" s="57"/>
      <c r="P37" s="57"/>
      <c r="Q37" s="57"/>
      <c r="R37" s="57"/>
      <c r="S37" s="57"/>
      <c r="T37" s="57"/>
      <c r="U37" s="57"/>
      <c r="V37" s="57"/>
      <c r="W37" s="225"/>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sheetData>
    <row r="1" spans="2:36">
      <c r="B1" s="1297" t="s">
        <v>1942</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6" ht="14.25" customHeight="1">
      <c r="B2" s="1390" t="s">
        <v>1943</v>
      </c>
      <c r="C2" s="1390"/>
      <c r="D2" s="1390"/>
      <c r="E2" s="1390"/>
      <c r="F2" s="1390"/>
      <c r="G2" s="1390"/>
      <c r="H2" s="1390"/>
      <c r="I2" s="1390"/>
      <c r="J2" s="1390"/>
      <c r="K2" s="1390"/>
      <c r="L2" s="1390"/>
      <c r="M2" s="1390"/>
      <c r="N2" s="1390"/>
      <c r="O2" s="1390"/>
      <c r="P2" s="1390"/>
      <c r="Q2" s="1390"/>
      <c r="R2" s="1390"/>
      <c r="S2" s="596"/>
      <c r="T2" s="1391"/>
      <c r="U2" s="1391"/>
      <c r="V2" s="1391"/>
      <c r="W2" s="1391"/>
      <c r="X2" s="1391"/>
      <c r="Y2" s="1391"/>
      <c r="Z2" s="1391"/>
      <c r="AA2" s="1391"/>
      <c r="AB2" s="1391"/>
      <c r="AC2" s="1391"/>
    </row>
    <row r="3" spans="2:36">
      <c r="B3" s="1390"/>
      <c r="C3" s="1390"/>
      <c r="D3" s="1390"/>
      <c r="E3" s="1390"/>
      <c r="F3" s="1390"/>
      <c r="G3" s="1390"/>
      <c r="H3" s="1390"/>
      <c r="I3" s="1390"/>
      <c r="J3" s="1390"/>
      <c r="K3" s="1390"/>
      <c r="L3" s="1390"/>
      <c r="M3" s="1390"/>
      <c r="N3" s="1390"/>
      <c r="O3" s="1390"/>
      <c r="P3" s="1390"/>
      <c r="Q3" s="1390"/>
      <c r="R3" s="1390"/>
      <c r="S3" s="596"/>
      <c r="T3" s="1391"/>
      <c r="U3" s="1391"/>
      <c r="V3" s="1391"/>
      <c r="W3" s="1391"/>
      <c r="X3" s="1391"/>
      <c r="Y3" s="1391"/>
      <c r="Z3" s="1391"/>
      <c r="AA3" s="1391"/>
      <c r="AB3" s="1391"/>
      <c r="AC3" s="1391"/>
    </row>
    <row r="4" spans="2:36" ht="21" customHeight="1">
      <c r="B4" s="1390"/>
      <c r="C4" s="1390"/>
      <c r="D4" s="1390"/>
      <c r="E4" s="1390"/>
      <c r="F4" s="1390"/>
      <c r="G4" s="1390"/>
      <c r="H4" s="1390"/>
      <c r="I4" s="1390"/>
      <c r="J4" s="1390"/>
      <c r="K4" s="1390"/>
      <c r="L4" s="1390"/>
      <c r="M4" s="1390"/>
      <c r="N4" s="1390"/>
      <c r="O4" s="1390"/>
      <c r="P4" s="1390"/>
      <c r="Q4" s="1390"/>
      <c r="R4" s="1390"/>
      <c r="S4" s="596"/>
      <c r="T4" s="1391"/>
      <c r="U4" s="1391"/>
      <c r="V4" s="1391"/>
      <c r="W4" s="1391"/>
      <c r="X4" s="1391"/>
      <c r="Y4" s="1391"/>
      <c r="Z4" s="1391"/>
      <c r="AA4" s="1391"/>
      <c r="AB4" s="1391"/>
      <c r="AC4" s="1391"/>
    </row>
    <row r="6" spans="2:36">
      <c r="B6" s="514" t="s">
        <v>333</v>
      </c>
    </row>
    <row r="7" spans="2:36" ht="14.9" customHeight="1">
      <c r="B7" s="1302" t="s">
        <v>1904</v>
      </c>
      <c r="C7" s="1303"/>
      <c r="D7" s="1306" t="s">
        <v>280</v>
      </c>
      <c r="E7" s="1319"/>
      <c r="F7" s="1319"/>
      <c r="G7" s="1319"/>
      <c r="H7" s="1319"/>
      <c r="I7" s="1319"/>
      <c r="J7" s="1319"/>
      <c r="K7" s="1319"/>
      <c r="L7" s="1319"/>
      <c r="M7" s="1319"/>
      <c r="N7" s="1319"/>
      <c r="O7" s="1319"/>
      <c r="P7" s="1319"/>
      <c r="Q7" s="1319"/>
      <c r="R7" s="1319"/>
      <c r="S7" s="1319"/>
      <c r="T7" s="1319"/>
      <c r="U7" s="1320"/>
      <c r="V7" s="1305"/>
      <c r="W7" s="1331" t="s">
        <v>281</v>
      </c>
      <c r="X7" s="1332"/>
      <c r="Y7" s="1332"/>
      <c r="Z7" s="1332"/>
      <c r="AA7" s="1332"/>
      <c r="AB7" s="1332"/>
      <c r="AC7" s="1332"/>
      <c r="AD7" s="1332"/>
      <c r="AE7" s="1332"/>
      <c r="AF7" s="1332"/>
      <c r="AG7" s="1332"/>
    </row>
    <row r="8" spans="2:36">
      <c r="B8" s="1304"/>
      <c r="C8" s="1305"/>
      <c r="D8" s="219">
        <v>2018</v>
      </c>
      <c r="E8" s="1311">
        <v>2019</v>
      </c>
      <c r="F8" s="1312"/>
      <c r="G8" s="1312"/>
      <c r="H8" s="1313"/>
      <c r="I8" s="1311">
        <v>2020</v>
      </c>
      <c r="J8" s="1312"/>
      <c r="K8" s="1312"/>
      <c r="L8" s="1312"/>
      <c r="M8" s="1311">
        <v>2021</v>
      </c>
      <c r="N8" s="1312"/>
      <c r="O8" s="1312"/>
      <c r="P8" s="1333"/>
      <c r="Q8" s="1311">
        <v>2022</v>
      </c>
      <c r="R8" s="1333"/>
      <c r="S8" s="1333"/>
      <c r="T8" s="1333"/>
      <c r="U8" s="239"/>
      <c r="V8" s="288">
        <v>2023</v>
      </c>
      <c r="W8" s="289"/>
      <c r="X8" s="260"/>
      <c r="Y8" s="1309">
        <v>2024</v>
      </c>
      <c r="Z8" s="1321"/>
      <c r="AA8" s="1321"/>
      <c r="AB8" s="1310"/>
      <c r="AC8" s="1308">
        <v>2025</v>
      </c>
      <c r="AD8" s="1321"/>
      <c r="AE8" s="1321"/>
      <c r="AF8" s="1310"/>
      <c r="AG8" s="503">
        <v>2026</v>
      </c>
    </row>
    <row r="9" spans="2:36">
      <c r="B9" s="1306"/>
      <c r="C9" s="1307"/>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row>
    <row r="10" spans="2:36">
      <c r="S10" s="756" t="s">
        <v>184</v>
      </c>
      <c r="T10" s="756" t="s">
        <v>185</v>
      </c>
      <c r="U10" s="756" t="s">
        <v>186</v>
      </c>
      <c r="V10" s="756" t="s">
        <v>187</v>
      </c>
      <c r="W10" s="756" t="s">
        <v>188</v>
      </c>
      <c r="X10" s="756" t="s">
        <v>189</v>
      </c>
      <c r="Y10" s="756" t="s">
        <v>190</v>
      </c>
      <c r="Z10" s="756" t="s">
        <v>191</v>
      </c>
      <c r="AA10" s="756" t="s">
        <v>175</v>
      </c>
      <c r="AB10" s="756" t="s">
        <v>176</v>
      </c>
      <c r="AC10" s="756" t="s">
        <v>177</v>
      </c>
      <c r="AD10" s="756" t="s">
        <v>765</v>
      </c>
      <c r="AE10" s="756" t="s">
        <v>766</v>
      </c>
      <c r="AF10" s="756" t="s">
        <v>767</v>
      </c>
      <c r="AG10" s="756" t="s">
        <v>1157</v>
      </c>
      <c r="AH10" s="756" t="s">
        <v>1158</v>
      </c>
      <c r="AI10" s="756" t="s">
        <v>1159</v>
      </c>
      <c r="AJ10" s="756" t="s">
        <v>1160</v>
      </c>
    </row>
    <row r="11" spans="2:36">
      <c r="S11" s="755"/>
      <c r="T11" s="755"/>
      <c r="U11" s="755"/>
      <c r="V11" s="755"/>
      <c r="W11" s="755"/>
      <c r="X11" s="755"/>
      <c r="Y11" s="755"/>
      <c r="Z11" s="755"/>
      <c r="AA11" s="755"/>
      <c r="AB11" s="755"/>
      <c r="AC11" s="755"/>
      <c r="AD11" s="755"/>
      <c r="AE11" s="755"/>
      <c r="AF11" s="755"/>
      <c r="AG11" s="755"/>
      <c r="AH11" s="755"/>
    </row>
    <row r="12" spans="2:36">
      <c r="B12" s="755" t="s">
        <v>1863</v>
      </c>
      <c r="P12" t="s">
        <v>1863</v>
      </c>
      <c r="S12" s="750">
        <v>9.676624590017175</v>
      </c>
      <c r="T12" s="750">
        <v>9.6670597070816413</v>
      </c>
      <c r="U12" s="750">
        <v>29.968874069165178</v>
      </c>
      <c r="V12" s="750">
        <v>48.407564583050345</v>
      </c>
      <c r="W12" s="750">
        <v>68.860864510897471</v>
      </c>
      <c r="X12" s="750">
        <v>88.107434654608909</v>
      </c>
      <c r="Y12" s="750">
        <v>101.08174054588757</v>
      </c>
      <c r="Z12" s="750">
        <v>103.56513754278419</v>
      </c>
      <c r="AA12" s="750">
        <v>106.00637033635157</v>
      </c>
      <c r="AB12" s="750">
        <v>108.38917414017335</v>
      </c>
      <c r="AC12" s="750">
        <v>110.69246087615031</v>
      </c>
      <c r="AD12" s="750">
        <v>112.95035167958687</v>
      </c>
      <c r="AE12" s="750">
        <v>115.16440141682602</v>
      </c>
      <c r="AF12" s="750">
        <v>117.3462460140392</v>
      </c>
      <c r="AG12" s="750">
        <v>118.52500129333946</v>
      </c>
      <c r="AH12" s="752">
        <v>40</v>
      </c>
      <c r="AI12" s="752"/>
      <c r="AJ12" s="752"/>
    </row>
    <row r="13" spans="2:36">
      <c r="B13" s="755" t="s">
        <v>1864</v>
      </c>
      <c r="P13" t="s">
        <v>1864</v>
      </c>
      <c r="S13" s="751">
        <f>Deflators!S71</f>
        <v>1.1690178087443976</v>
      </c>
      <c r="T13" s="751">
        <f>Deflators!T71</f>
        <v>1.1809720922261624</v>
      </c>
      <c r="U13" s="751">
        <f>Deflators!U71</f>
        <v>1.1930855683769892</v>
      </c>
      <c r="V13" s="751">
        <f>Deflators!V71</f>
        <v>1.2004353606715503</v>
      </c>
      <c r="W13" s="751">
        <f>Deflators!W71</f>
        <v>1.208137684815088</v>
      </c>
      <c r="X13" s="751">
        <f>Deflators!X71</f>
        <v>1.2135025374197232</v>
      </c>
      <c r="Y13" s="751">
        <f>Deflators!Y71</f>
        <v>1.2236809385660088</v>
      </c>
      <c r="Z13" s="751">
        <f>Deflators!Z71</f>
        <v>1.233275799935512</v>
      </c>
      <c r="AA13" s="751">
        <f>Deflators!AA71</f>
        <v>1.2401475124550019</v>
      </c>
      <c r="AB13" s="751">
        <f>Deflators!AB71</f>
        <v>1.246450659789168</v>
      </c>
      <c r="AC13" s="751">
        <f>Deflators!AC71</f>
        <v>1.2531877614899707</v>
      </c>
      <c r="AD13" s="751">
        <f>Deflators!AD71</f>
        <v>1.2598936725213026</v>
      </c>
      <c r="AE13" s="751">
        <f>Deflators!AE71</f>
        <v>1.2663663310581259</v>
      </c>
      <c r="AF13" s="751">
        <f>Deflators!AF71</f>
        <v>1.2726857847671909</v>
      </c>
      <c r="AG13" s="751">
        <f>Deflators!AG71</f>
        <v>1.2789269673291086</v>
      </c>
      <c r="AH13" s="753">
        <f>Deflators!AH71</f>
        <v>0</v>
      </c>
      <c r="AI13" s="752"/>
      <c r="AJ13" s="752"/>
    </row>
    <row r="14" spans="2:36">
      <c r="B14" s="755"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749">
        <f t="shared" si="0"/>
        <v>0</v>
      </c>
      <c r="AI14" s="749">
        <f t="shared" si="0"/>
        <v>0</v>
      </c>
      <c r="AJ14" s="749">
        <f t="shared" si="0"/>
        <v>0</v>
      </c>
    </row>
    <row r="16" spans="2:36">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c r="P17" s="754" t="s">
        <v>1863</v>
      </c>
      <c r="Q17" s="754"/>
      <c r="R17" s="754"/>
      <c r="S17" s="754">
        <v>9.1428571428571441</v>
      </c>
      <c r="T17" s="754">
        <v>9.1428571428571441</v>
      </c>
      <c r="U17" s="754">
        <v>28.342857142857145</v>
      </c>
      <c r="V17" s="754">
        <v>45.714285714285722</v>
      </c>
      <c r="W17" s="754">
        <v>65</v>
      </c>
      <c r="X17" s="754">
        <v>83</v>
      </c>
      <c r="Y17" s="754">
        <v>95</v>
      </c>
      <c r="Z17" s="754">
        <v>91.428571428571445</v>
      </c>
      <c r="AA17" s="754">
        <v>81.676190476190499</v>
      </c>
      <c r="AB17" s="754">
        <v>72.228571428571442</v>
      </c>
      <c r="AC17" s="754">
        <v>59</v>
      </c>
      <c r="AD17" s="754">
        <v>48</v>
      </c>
      <c r="AE17" s="754">
        <v>40</v>
      </c>
      <c r="AF17" s="754">
        <v>40</v>
      </c>
      <c r="AG17" s="754">
        <v>40</v>
      </c>
      <c r="AH17" s="754">
        <v>40</v>
      </c>
    </row>
    <row r="18" spans="16:34">
      <c r="P18" s="754" t="s">
        <v>1864</v>
      </c>
      <c r="Q18" s="754"/>
      <c r="R18" s="754"/>
      <c r="S18" s="754">
        <v>1.2372660206226285</v>
      </c>
      <c r="T18" s="754">
        <v>1.248682720244251</v>
      </c>
      <c r="U18" s="754">
        <v>1.2615323491280164</v>
      </c>
      <c r="V18" s="754">
        <v>1.2711595804574931</v>
      </c>
      <c r="W18" s="754">
        <v>1.2805988589197217</v>
      </c>
      <c r="X18" s="754">
        <v>1.2903026473835131</v>
      </c>
      <c r="Y18" s="754">
        <v>1.2992703261336995</v>
      </c>
      <c r="Z18" s="754">
        <v>1.3072384685165053</v>
      </c>
      <c r="AA18" s="754">
        <v>1.3154269306958029</v>
      </c>
      <c r="AB18" s="754">
        <v>1.3233344552591992</v>
      </c>
      <c r="AC18" s="754">
        <v>1.3308984310938612</v>
      </c>
      <c r="AD18" s="754">
        <v>1.3383543012580754</v>
      </c>
      <c r="AE18" s="754">
        <v>1.3457221150918501</v>
      </c>
      <c r="AF18" s="754">
        <v>1.3530984416878797</v>
      </c>
      <c r="AG18" s="754">
        <v>0</v>
      </c>
      <c r="AH18" s="754">
        <v>0</v>
      </c>
    </row>
    <row r="19" spans="16:34">
      <c r="P19" s="754" t="s">
        <v>1865</v>
      </c>
      <c r="Q19" s="754"/>
      <c r="R19" s="754"/>
      <c r="S19" s="754">
        <v>11.312146474264033</v>
      </c>
      <c r="T19" s="754">
        <v>11.41652772794744</v>
      </c>
      <c r="U19" s="754">
        <v>35.755431152428351</v>
      </c>
      <c r="V19" s="754">
        <v>58.110152249485409</v>
      </c>
      <c r="W19" s="754">
        <v>83.238925829781905</v>
      </c>
      <c r="X19" s="754">
        <v>107.09511973283159</v>
      </c>
      <c r="Y19" s="754">
        <v>123.43068098270146</v>
      </c>
      <c r="Z19" s="754">
        <v>119.51894569293765</v>
      </c>
      <c r="AA19" s="754">
        <v>107.43906054902104</v>
      </c>
      <c r="AB19" s="754">
        <v>95.582557225578753</v>
      </c>
      <c r="AC19" s="754">
        <v>78.523007434537817</v>
      </c>
      <c r="AD19" s="754">
        <v>64.241006460387624</v>
      </c>
      <c r="AE19" s="754">
        <v>53.828884603674005</v>
      </c>
      <c r="AF19" s="754">
        <v>54.1239376675152</v>
      </c>
      <c r="AG19" s="754">
        <v>48</v>
      </c>
      <c r="AH19" s="754">
        <v>0</v>
      </c>
    </row>
    <row r="21" spans="16:34">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c r="Z22">
        <f>Z16+7</f>
        <v>3.4285714285714448</v>
      </c>
      <c r="AA22">
        <f>AA16+14</f>
        <v>4.2476190476190538</v>
      </c>
      <c r="AB22">
        <f>AB16+21</f>
        <v>11.552380952380943</v>
      </c>
      <c r="AC22">
        <f>AC16+28</f>
        <v>14.771428571428558</v>
      </c>
      <c r="AD22">
        <f>AD16+35</f>
        <v>24</v>
      </c>
      <c r="AE22">
        <f>AE16+42</f>
        <v>34</v>
      </c>
      <c r="AF22">
        <f>AF16+49</f>
        <v>49</v>
      </c>
      <c r="AG22">
        <f>AG16+56</f>
        <v>56</v>
      </c>
    </row>
    <row r="23" spans="16:34">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47"/>
  <sheetViews>
    <sheetView topLeftCell="C1" zoomScale="87" zoomScaleNormal="87" workbookViewId="0">
      <pane xSplit="2" ySplit="3" topLeftCell="N4" activePane="bottomRight" state="frozen"/>
      <selection activeCell="C1" sqref="C1"/>
      <selection pane="topRight" activeCell="E1" sqref="E1"/>
      <selection pane="bottomLeft" activeCell="C4" sqref="C4"/>
      <selection pane="bottomRight" activeCell="L40" sqref="L40"/>
    </sheetView>
  </sheetViews>
  <sheetFormatPr defaultColWidth="10.81640625" defaultRowHeight="14.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c r="D1" s="1297" t="s">
        <v>58</v>
      </c>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4:56" ht="14.25" customHeight="1">
      <c r="D2" s="1349" t="s">
        <v>912</v>
      </c>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4:56" ht="84.75" customHeight="1">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4:56">
      <c r="D4" s="789" t="s">
        <v>333</v>
      </c>
      <c r="W4" s="56"/>
    </row>
    <row r="5" spans="4:56">
      <c r="D5" s="1302" t="s">
        <v>404</v>
      </c>
      <c r="E5" s="1303"/>
      <c r="F5" s="1403" t="s">
        <v>280</v>
      </c>
      <c r="G5" s="1404"/>
      <c r="H5" s="1404"/>
      <c r="I5" s="1404"/>
      <c r="J5" s="1404"/>
      <c r="K5" s="1404"/>
      <c r="L5" s="1404"/>
      <c r="M5" s="1404"/>
      <c r="N5" s="1404"/>
      <c r="O5" s="1404"/>
      <c r="P5" s="1404"/>
      <c r="Q5" s="1404"/>
      <c r="R5" s="1404"/>
      <c r="S5" s="1404"/>
      <c r="T5" s="1404"/>
      <c r="U5" s="1404"/>
      <c r="V5" s="1405"/>
      <c r="W5" s="1331" t="s">
        <v>281</v>
      </c>
      <c r="X5" s="1332"/>
      <c r="Y5" s="1332"/>
      <c r="Z5" s="1332"/>
      <c r="AA5" s="1332"/>
      <c r="AB5" s="1332"/>
      <c r="AC5" s="1332"/>
      <c r="AD5" s="1332"/>
      <c r="AE5" s="1332"/>
      <c r="AF5" s="1332"/>
      <c r="AG5" s="1332"/>
      <c r="AH5" s="870"/>
      <c r="AI5" s="870"/>
      <c r="AJ5" s="870"/>
      <c r="AK5" s="870"/>
      <c r="AL5" s="870"/>
      <c r="AM5" s="870"/>
      <c r="AN5" s="870"/>
      <c r="AO5" s="870"/>
      <c r="AP5" s="870"/>
      <c r="AQ5" s="870"/>
      <c r="AR5" s="870"/>
      <c r="AS5" s="870"/>
      <c r="AT5" s="870"/>
      <c r="AU5" s="870"/>
      <c r="AV5" s="870"/>
      <c r="AW5" s="870"/>
      <c r="AX5" s="870"/>
      <c r="AY5" s="870"/>
      <c r="AZ5" s="870"/>
      <c r="BA5" s="870"/>
      <c r="BB5" s="870"/>
      <c r="BC5" s="870"/>
      <c r="BD5" s="870"/>
    </row>
    <row r="6" spans="4:56">
      <c r="D6" s="1304"/>
      <c r="E6" s="1320"/>
      <c r="F6" s="1299">
        <v>2019</v>
      </c>
      <c r="G6" s="1300"/>
      <c r="H6" s="1301"/>
      <c r="I6" s="1300">
        <v>2020</v>
      </c>
      <c r="J6" s="1300"/>
      <c r="K6" s="1300"/>
      <c r="L6" s="1300"/>
      <c r="M6" s="1311">
        <v>2021</v>
      </c>
      <c r="N6" s="1312"/>
      <c r="O6" s="1312"/>
      <c r="P6" s="1312"/>
      <c r="Q6" s="1311">
        <v>2022</v>
      </c>
      <c r="R6" s="1333"/>
      <c r="S6" s="1333"/>
      <c r="T6" s="1313"/>
      <c r="U6" s="288"/>
      <c r="V6" s="288">
        <v>2023</v>
      </c>
      <c r="W6" s="553"/>
      <c r="X6" s="260"/>
      <c r="Y6" s="1308">
        <v>2024</v>
      </c>
      <c r="Z6" s="1321"/>
      <c r="AA6" s="1321"/>
      <c r="AB6" s="1310"/>
      <c r="AC6" s="1308">
        <v>2025</v>
      </c>
      <c r="AD6" s="1321"/>
      <c r="AE6" s="1321"/>
      <c r="AF6" s="1310"/>
      <c r="AG6" s="503">
        <v>2026</v>
      </c>
      <c r="AH6" s="871"/>
      <c r="AI6" s="871"/>
      <c r="AJ6" s="871"/>
      <c r="AK6" s="871"/>
      <c r="AL6" s="871"/>
      <c r="AM6" s="871"/>
      <c r="AN6" s="871"/>
      <c r="AO6" s="871"/>
      <c r="AP6" s="871"/>
      <c r="AQ6" s="871"/>
      <c r="AR6" s="871"/>
      <c r="AS6" s="871"/>
      <c r="AT6" s="871"/>
      <c r="AU6" s="871"/>
      <c r="AV6" s="871"/>
      <c r="AW6" s="871"/>
      <c r="AX6" s="871"/>
      <c r="AY6" s="871"/>
      <c r="AZ6" s="871"/>
      <c r="BA6" s="871"/>
      <c r="BB6" s="871"/>
      <c r="BC6" s="871"/>
    </row>
    <row r="7" spans="4:56">
      <c r="D7" s="1306"/>
      <c r="E7" s="1319"/>
      <c r="F7" s="214" t="s">
        <v>284</v>
      </c>
      <c r="G7" s="215" t="s">
        <v>238</v>
      </c>
      <c r="H7" s="216" t="s">
        <v>282</v>
      </c>
      <c r="I7" s="215" t="s">
        <v>283</v>
      </c>
      <c r="J7" s="215" t="s">
        <v>284</v>
      </c>
      <c r="K7" s="215" t="s">
        <v>238</v>
      </c>
      <c r="L7" s="215" t="s">
        <v>282</v>
      </c>
      <c r="M7" s="214" t="s">
        <v>283</v>
      </c>
      <c r="N7" s="215" t="s">
        <v>284</v>
      </c>
      <c r="O7" s="215" t="s">
        <v>238</v>
      </c>
      <c r="P7" s="215" t="s">
        <v>282</v>
      </c>
      <c r="Q7" s="214" t="s">
        <v>283</v>
      </c>
      <c r="R7" s="215" t="s">
        <v>284</v>
      </c>
      <c r="S7" s="215" t="s">
        <v>238</v>
      </c>
      <c r="T7" s="216" t="s">
        <v>282</v>
      </c>
      <c r="U7" s="215" t="s">
        <v>283</v>
      </c>
      <c r="V7" s="286" t="s">
        <v>284</v>
      </c>
      <c r="W7" s="326" t="s">
        <v>238</v>
      </c>
      <c r="X7" s="432" t="s">
        <v>282</v>
      </c>
      <c r="Y7" s="433" t="s">
        <v>283</v>
      </c>
      <c r="Z7" s="333" t="s">
        <v>284</v>
      </c>
      <c r="AA7" s="326" t="s">
        <v>238</v>
      </c>
      <c r="AB7" s="326" t="s">
        <v>282</v>
      </c>
      <c r="AC7" s="269" t="s">
        <v>283</v>
      </c>
      <c r="AD7" s="267" t="s">
        <v>284</v>
      </c>
      <c r="AE7" s="270" t="s">
        <v>238</v>
      </c>
      <c r="AF7" s="270" t="s">
        <v>282</v>
      </c>
      <c r="AG7" s="269" t="s">
        <v>283</v>
      </c>
      <c r="AH7" s="851"/>
      <c r="AI7" s="851"/>
      <c r="AJ7" s="851"/>
      <c r="AK7" s="851"/>
      <c r="AL7" s="851"/>
      <c r="AM7" s="851"/>
      <c r="AN7" s="851"/>
      <c r="AO7" s="851"/>
      <c r="AP7" s="851"/>
      <c r="AQ7" s="851"/>
      <c r="AR7" s="851"/>
      <c r="AS7" s="851"/>
      <c r="AT7" s="851"/>
      <c r="AU7" s="851"/>
      <c r="AV7" s="851"/>
      <c r="AW7" s="851"/>
      <c r="AX7" s="851"/>
      <c r="AY7" s="851"/>
      <c r="AZ7" s="851"/>
      <c r="BA7" s="851"/>
      <c r="BB7" s="851"/>
      <c r="BC7" s="851"/>
    </row>
    <row r="8" spans="4:56">
      <c r="D8" s="804" t="s">
        <v>466</v>
      </c>
      <c r="E8" s="55"/>
      <c r="F8" s="798"/>
      <c r="G8" s="799"/>
      <c r="H8" s="799"/>
      <c r="I8" s="799"/>
      <c r="J8" s="799"/>
      <c r="K8" s="799"/>
      <c r="L8" s="799"/>
      <c r="M8" s="799"/>
      <c r="N8" s="799"/>
      <c r="O8" s="799"/>
      <c r="P8" s="799"/>
      <c r="Q8" s="799"/>
      <c r="R8" s="799"/>
      <c r="S8" s="799"/>
      <c r="T8" s="799"/>
      <c r="U8" s="850"/>
      <c r="V8" s="850"/>
      <c r="W8" s="850"/>
      <c r="X8" s="799"/>
      <c r="Y8" s="800"/>
      <c r="Z8" s="800"/>
      <c r="AA8" s="800"/>
      <c r="AB8" s="800"/>
      <c r="AC8" s="891"/>
      <c r="AD8" s="891"/>
      <c r="AE8" s="891"/>
      <c r="AF8" s="891"/>
      <c r="AG8" s="891"/>
      <c r="AH8" s="681"/>
      <c r="AI8" s="681"/>
      <c r="AJ8" s="681"/>
      <c r="AK8" s="681"/>
      <c r="AL8" s="681"/>
      <c r="AM8" s="681"/>
      <c r="AN8" s="681"/>
      <c r="AO8" s="681"/>
      <c r="AP8" s="681"/>
      <c r="AQ8" s="681"/>
      <c r="AR8" s="681"/>
      <c r="AS8" s="681"/>
      <c r="AT8" s="681"/>
      <c r="AU8" s="681"/>
      <c r="AV8" s="681"/>
      <c r="AW8" s="681"/>
      <c r="AX8" s="681"/>
      <c r="AY8" s="681"/>
      <c r="AZ8" s="681"/>
      <c r="BA8" s="681"/>
      <c r="BB8" s="681"/>
      <c r="BC8" s="681"/>
    </row>
    <row r="9" spans="4:56" ht="14.9" customHeight="1">
      <c r="D9" s="489" t="s">
        <v>481</v>
      </c>
      <c r="E9" s="803"/>
      <c r="F9" s="846">
        <f t="shared" ref="F9:S9" si="0">SUM(F10:F14)</f>
        <v>3262.7999999999997</v>
      </c>
      <c r="G9" s="846">
        <f t="shared" si="0"/>
        <v>3288.1000000000004</v>
      </c>
      <c r="H9" s="846">
        <f t="shared" si="0"/>
        <v>3338</v>
      </c>
      <c r="I9" s="846">
        <f t="shared" si="0"/>
        <v>3404.2999999999997</v>
      </c>
      <c r="J9" s="846">
        <f t="shared" si="0"/>
        <v>3145.3</v>
      </c>
      <c r="K9" s="846">
        <f t="shared" si="0"/>
        <v>3330.5</v>
      </c>
      <c r="L9" s="846">
        <f t="shared" si="0"/>
        <v>3493.7000000000003</v>
      </c>
      <c r="M9" s="846">
        <f t="shared" si="0"/>
        <v>3658.9</v>
      </c>
      <c r="N9" s="846">
        <f t="shared" si="0"/>
        <v>3818.6000000000004</v>
      </c>
      <c r="O9" s="846">
        <f t="shared" si="0"/>
        <v>3938.9</v>
      </c>
      <c r="P9" s="846">
        <f t="shared" si="0"/>
        <v>4059.7000000000003</v>
      </c>
      <c r="Q9" s="846">
        <f t="shared" si="0"/>
        <v>4353.7</v>
      </c>
      <c r="R9" s="846">
        <f t="shared" si="0"/>
        <v>4373.2</v>
      </c>
      <c r="S9" s="846">
        <f t="shared" si="0"/>
        <v>4423.7</v>
      </c>
      <c r="T9" s="846">
        <f t="shared" ref="T9:AG9" si="1">SUM(T10,T12,T14)</f>
        <v>4387.7</v>
      </c>
      <c r="U9" s="846">
        <f t="shared" si="1"/>
        <v>4116.5</v>
      </c>
      <c r="V9" s="846">
        <f t="shared" si="1"/>
        <v>4129.2</v>
      </c>
      <c r="W9" s="846">
        <f t="shared" si="1"/>
        <v>4161.7</v>
      </c>
      <c r="X9" s="846">
        <f t="shared" si="1"/>
        <v>4178.3</v>
      </c>
      <c r="Y9" s="882">
        <f t="shared" si="1"/>
        <v>4381.5</v>
      </c>
      <c r="Z9" s="882">
        <f t="shared" si="1"/>
        <v>4464.988320834409</v>
      </c>
      <c r="AA9" s="882">
        <f t="shared" si="1"/>
        <v>4497.010445756734</v>
      </c>
      <c r="AB9" s="882">
        <f t="shared" si="1"/>
        <v>4528.0426969786186</v>
      </c>
      <c r="AC9" s="882">
        <f t="shared" si="1"/>
        <v>4601.4561928739067</v>
      </c>
      <c r="AD9" s="882">
        <f t="shared" si="1"/>
        <v>4633.1814901803309</v>
      </c>
      <c r="AE9" s="882">
        <f t="shared" si="1"/>
        <v>4665.1529828726379</v>
      </c>
      <c r="AF9" s="882">
        <f t="shared" si="1"/>
        <v>4697.372840770222</v>
      </c>
      <c r="AG9" s="882">
        <f t="shared" si="1"/>
        <v>4780.1184210201982</v>
      </c>
      <c r="AH9" s="832"/>
      <c r="AI9" s="832"/>
      <c r="AJ9" s="832"/>
      <c r="AK9" s="832"/>
      <c r="AL9" s="832"/>
      <c r="AM9" s="832"/>
      <c r="AN9" s="832"/>
      <c r="AO9" s="832"/>
      <c r="AU9" s="874"/>
      <c r="AV9" s="874"/>
      <c r="AW9" s="874"/>
      <c r="AX9" s="874"/>
      <c r="AY9" s="874"/>
      <c r="AZ9" s="874"/>
      <c r="BA9" s="874"/>
      <c r="BB9" s="874"/>
      <c r="BC9" s="874"/>
    </row>
    <row r="10" spans="4:56">
      <c r="D10" s="521" t="s">
        <v>482</v>
      </c>
      <c r="E10" s="38" t="s">
        <v>115</v>
      </c>
      <c r="F10" s="849">
        <f>'Haver Pivoted'!GQ27</f>
        <v>1689.1</v>
      </c>
      <c r="G10" s="849">
        <f>'Haver Pivoted'!GR27</f>
        <v>1700.3</v>
      </c>
      <c r="H10" s="849">
        <f>'Haver Pivoted'!GS27</f>
        <v>1732.4</v>
      </c>
      <c r="I10" s="849">
        <f>'Haver Pivoted'!GT27</f>
        <v>1767.8</v>
      </c>
      <c r="J10" s="849">
        <f>'Haver Pivoted'!GU27</f>
        <v>1631.4</v>
      </c>
      <c r="K10" s="849">
        <f>'Haver Pivoted'!GV27</f>
        <v>1747.9</v>
      </c>
      <c r="L10" s="849">
        <f>'Haver Pivoted'!GW27</f>
        <v>1866.9</v>
      </c>
      <c r="M10" s="849">
        <f>'Haver Pivoted'!GX27</f>
        <v>2013.4</v>
      </c>
      <c r="N10" s="849">
        <f>'Haver Pivoted'!GY27</f>
        <v>2118.4</v>
      </c>
      <c r="O10" s="849">
        <f>'Haver Pivoted'!GZ27</f>
        <v>2200</v>
      </c>
      <c r="P10" s="849">
        <f>'Haver Pivoted'!HA27</f>
        <v>2265.3000000000002</v>
      </c>
      <c r="Q10" s="849">
        <f>'Haver Pivoted'!HB27</f>
        <v>2506.9</v>
      </c>
      <c r="R10" s="849">
        <f>'Haver Pivoted'!HC27</f>
        <v>2502.6</v>
      </c>
      <c r="S10" s="849">
        <f>'Haver Pivoted'!HD27</f>
        <v>2521.9</v>
      </c>
      <c r="T10" s="881">
        <f>'Haver Pivoted'!HE27</f>
        <v>2490.1</v>
      </c>
      <c r="U10" s="881">
        <f>'Haver Pivoted'!HF27</f>
        <v>2181</v>
      </c>
      <c r="V10" s="881">
        <f>'Haver Pivoted'!HG27</f>
        <v>2175.1</v>
      </c>
      <c r="W10" s="881">
        <f>'Haver Pivoted'!HH27</f>
        <v>2188.6999999999998</v>
      </c>
      <c r="X10" s="881">
        <f>'Haver Pivoted'!HI27</f>
        <v>2199.8000000000002</v>
      </c>
      <c r="Y10" s="881">
        <f>'Haver Pivoted'!HJ27</f>
        <v>2364.6999999999998</v>
      </c>
      <c r="Z10" s="883">
        <f>Y10*(1.02)^0.25+Z11</f>
        <v>2423.4358442911548</v>
      </c>
      <c r="AA10" s="883">
        <f>Z10*(1.02)^0.25+AA11</f>
        <v>2435.463190558421</v>
      </c>
      <c r="AB10" s="883">
        <f>AA10*(1.02)^0.25+AB11</f>
        <v>2447.550227722219</v>
      </c>
      <c r="AC10" s="844">
        <f>AB10*(1+$L35-0.02)+AC11</f>
        <v>2501.8376045111713</v>
      </c>
      <c r="AD10" s="883">
        <f>AC10*(1.02)^0.25+AD11</f>
        <v>2514.2540533496285</v>
      </c>
      <c r="AE10" s="883">
        <f>AD10*(1.02)^0.25+AE11</f>
        <v>2526.7321241740533</v>
      </c>
      <c r="AF10" s="883">
        <f>AE10*(1.02)^0.25+AF11</f>
        <v>2539.272122810145</v>
      </c>
      <c r="AG10" s="844">
        <f>AF10*(1+$M35-0.02)+AG11</f>
        <v>2602.1495222225049</v>
      </c>
      <c r="AH10" s="832"/>
      <c r="AI10" s="832"/>
      <c r="AJ10" s="832"/>
      <c r="AK10" s="832"/>
      <c r="AL10" s="832"/>
      <c r="AM10" s="832"/>
      <c r="AN10" s="832"/>
      <c r="AO10" s="832"/>
      <c r="AU10" s="681"/>
      <c r="AV10" s="681"/>
      <c r="AW10" s="681"/>
      <c r="AX10" s="681"/>
      <c r="AY10" s="681"/>
      <c r="AZ10" s="681"/>
      <c r="BA10" s="681"/>
      <c r="BB10" s="681"/>
      <c r="BC10" s="681"/>
    </row>
    <row r="11" spans="4:56">
      <c r="D11" s="521" t="s">
        <v>1753</v>
      </c>
      <c r="E11" s="38"/>
      <c r="F11" s="801"/>
      <c r="G11" s="801"/>
      <c r="H11" s="801"/>
      <c r="I11" s="801"/>
      <c r="J11" s="801"/>
      <c r="K11" s="801"/>
      <c r="L11" s="801"/>
      <c r="M11" s="801"/>
      <c r="N11" s="801"/>
      <c r="O11" s="801"/>
      <c r="P11" s="801"/>
      <c r="Q11" s="801"/>
      <c r="R11" s="801"/>
      <c r="S11" s="847"/>
      <c r="T11" s="847">
        <v>46</v>
      </c>
      <c r="U11" s="847">
        <v>-5</v>
      </c>
      <c r="V11" s="847">
        <v>12</v>
      </c>
      <c r="W11" s="847">
        <v>67</v>
      </c>
      <c r="X11" s="847">
        <v>7</v>
      </c>
      <c r="Y11" s="797">
        <v>-205</v>
      </c>
      <c r="Z11" s="797">
        <v>47</v>
      </c>
      <c r="AA11" s="797">
        <v>0</v>
      </c>
      <c r="AB11" s="797">
        <v>0</v>
      </c>
      <c r="AC11" s="797">
        <v>0</v>
      </c>
      <c r="AD11" s="797">
        <v>0</v>
      </c>
      <c r="AE11" s="797">
        <v>0</v>
      </c>
      <c r="AF11" s="797">
        <v>0</v>
      </c>
      <c r="AG11" s="797">
        <v>0</v>
      </c>
      <c r="AH11" s="832"/>
      <c r="AI11" s="832"/>
      <c r="AJ11" s="832"/>
      <c r="AK11" s="832"/>
      <c r="AL11" s="832"/>
      <c r="AM11" s="832"/>
      <c r="AN11" s="832"/>
      <c r="AO11" s="832"/>
      <c r="AU11" s="681"/>
      <c r="AV11" s="681"/>
      <c r="AW11" s="681"/>
      <c r="AX11" s="681"/>
      <c r="AY11" s="681"/>
      <c r="AZ11" s="681"/>
      <c r="BA11" s="681"/>
      <c r="BB11" s="681"/>
      <c r="BC11" s="681"/>
    </row>
    <row r="12" spans="4:56">
      <c r="D12" s="521" t="s">
        <v>483</v>
      </c>
      <c r="E12" s="35" t="s">
        <v>121</v>
      </c>
      <c r="F12" s="849">
        <f>'Haver Pivoted'!GQ30</f>
        <v>1403.3</v>
      </c>
      <c r="G12" s="849">
        <f>'Haver Pivoted'!GR30</f>
        <v>1410</v>
      </c>
      <c r="H12" s="849">
        <f>'Haver Pivoted'!GS30</f>
        <v>1427.9</v>
      </c>
      <c r="I12" s="849">
        <f>'Haver Pivoted'!GT30</f>
        <v>1453.3</v>
      </c>
      <c r="J12" s="849">
        <f>'Haver Pivoted'!GU30</f>
        <v>1383.5</v>
      </c>
      <c r="K12" s="849">
        <f>'Haver Pivoted'!GV30</f>
        <v>1432.5</v>
      </c>
      <c r="L12" s="849">
        <f>'Haver Pivoted'!GW30</f>
        <v>1469</v>
      </c>
      <c r="M12" s="849">
        <f>'Haver Pivoted'!GX30</f>
        <v>1484.6</v>
      </c>
      <c r="N12" s="849">
        <f>'Haver Pivoted'!GY30</f>
        <v>1519.7</v>
      </c>
      <c r="O12" s="849">
        <f>'Haver Pivoted'!GZ30</f>
        <v>1556.8</v>
      </c>
      <c r="P12" s="849">
        <f>'Haver Pivoted'!HA30</f>
        <v>1603.4</v>
      </c>
      <c r="Q12" s="849">
        <f>'Haver Pivoted'!HB30</f>
        <v>1645.9</v>
      </c>
      <c r="R12" s="849">
        <f>'Haver Pivoted'!HC30</f>
        <v>1667.8</v>
      </c>
      <c r="S12" s="849">
        <f>'Haver Pivoted'!HD30</f>
        <v>1709.6</v>
      </c>
      <c r="T12" s="881">
        <f>'Haver Pivoted'!HE30</f>
        <v>1716.7</v>
      </c>
      <c r="U12" s="881">
        <f>'Haver Pivoted'!HF30</f>
        <v>1758.5</v>
      </c>
      <c r="V12" s="881">
        <f>'Haver Pivoted'!HG30</f>
        <v>1778.7</v>
      </c>
      <c r="W12" s="881">
        <f>'Haver Pivoted'!HH30</f>
        <v>1801.4</v>
      </c>
      <c r="X12" s="881">
        <f>'Haver Pivoted'!HI30</f>
        <v>1808.9</v>
      </c>
      <c r="Y12" s="881">
        <f>'Haver Pivoted'!HJ30</f>
        <v>1845.3</v>
      </c>
      <c r="Z12" s="883">
        <f>Y12*(1+$K37)^0.25+Z13</f>
        <v>1868.3211973126618</v>
      </c>
      <c r="AA12" s="883">
        <f>Z12*(1+$K37)^0.25+AA13</f>
        <v>1886.567219607248</v>
      </c>
      <c r="AB12" s="883">
        <f t="shared" ref="AB12:AG12" si="2">AA12*(1+$L37)^0.25+AB13</f>
        <v>1902.8607387488928</v>
      </c>
      <c r="AC12" s="883">
        <f t="shared" si="2"/>
        <v>1919.2949784348468</v>
      </c>
      <c r="AD12" s="883">
        <f t="shared" si="2"/>
        <v>1935.871154011618</v>
      </c>
      <c r="AE12" s="883">
        <f t="shared" si="2"/>
        <v>1952.5904913221714</v>
      </c>
      <c r="AF12" s="883">
        <f t="shared" si="2"/>
        <v>1969.4542267965824</v>
      </c>
      <c r="AG12" s="883">
        <f t="shared" si="2"/>
        <v>1986.4636075434735</v>
      </c>
      <c r="AH12" s="832"/>
      <c r="AI12" s="832"/>
      <c r="AJ12" s="832"/>
      <c r="AK12" s="832"/>
      <c r="AL12" s="832"/>
      <c r="AM12" s="832"/>
      <c r="AN12" s="832"/>
      <c r="AO12" s="832"/>
      <c r="AU12" s="681"/>
      <c r="AV12" s="681"/>
      <c r="AW12" s="681"/>
      <c r="AX12" s="681"/>
      <c r="AY12" s="681"/>
      <c r="AZ12" s="681"/>
      <c r="BA12" s="681"/>
      <c r="BB12" s="681"/>
      <c r="BC12" s="681"/>
    </row>
    <row r="13" spans="4:56">
      <c r="D13" s="521" t="s">
        <v>1736</v>
      </c>
      <c r="E13" s="35"/>
      <c r="F13" s="801"/>
      <c r="G13" s="801"/>
      <c r="H13" s="801"/>
      <c r="I13" s="801"/>
      <c r="J13" s="801"/>
      <c r="K13" s="801"/>
      <c r="L13" s="801"/>
      <c r="M13" s="801"/>
      <c r="N13" s="801"/>
      <c r="O13" s="801"/>
      <c r="P13" s="801"/>
      <c r="Q13" s="801"/>
      <c r="R13" s="801"/>
      <c r="S13" s="801"/>
      <c r="T13" s="847"/>
      <c r="U13" s="847">
        <v>8</v>
      </c>
      <c r="V13" s="847">
        <v>-10</v>
      </c>
      <c r="W13" s="847">
        <v>-5</v>
      </c>
      <c r="X13" s="847">
        <v>-6</v>
      </c>
      <c r="Y13" s="797">
        <v>21</v>
      </c>
      <c r="Z13" s="797">
        <v>5</v>
      </c>
      <c r="AA13" s="797"/>
      <c r="AB13" s="797"/>
      <c r="AC13" s="797"/>
      <c r="AD13" s="797"/>
      <c r="AE13" s="797"/>
      <c r="AF13" s="797"/>
      <c r="AG13" s="797"/>
      <c r="AH13" s="832"/>
      <c r="AI13" s="832"/>
      <c r="AJ13" s="832"/>
      <c r="AK13" s="832"/>
      <c r="AL13" s="832"/>
      <c r="AM13" s="832"/>
      <c r="AN13" s="832"/>
      <c r="AO13" s="832"/>
      <c r="AU13" s="681"/>
      <c r="AV13" s="681"/>
      <c r="AW13" s="681"/>
      <c r="AX13" s="681"/>
      <c r="AY13" s="681"/>
      <c r="AZ13" s="681"/>
      <c r="BA13" s="681"/>
      <c r="BB13" s="681"/>
      <c r="BC13" s="681"/>
    </row>
    <row r="14" spans="4:56">
      <c r="D14" s="521" t="s">
        <v>484</v>
      </c>
      <c r="E14" s="38" t="s">
        <v>117</v>
      </c>
      <c r="F14" s="849">
        <f>'Haver Pivoted'!GQ28</f>
        <v>170.4</v>
      </c>
      <c r="G14" s="849">
        <f>'Haver Pivoted'!GR28</f>
        <v>177.8</v>
      </c>
      <c r="H14" s="849">
        <f>'Haver Pivoted'!GS28</f>
        <v>177.7</v>
      </c>
      <c r="I14" s="849">
        <f>'Haver Pivoted'!GT28</f>
        <v>183.2</v>
      </c>
      <c r="J14" s="849">
        <f>'Haver Pivoted'!GU28</f>
        <v>130.4</v>
      </c>
      <c r="K14" s="849">
        <f>'Haver Pivoted'!GV28</f>
        <v>150.1</v>
      </c>
      <c r="L14" s="849">
        <f>'Haver Pivoted'!GW28</f>
        <v>157.80000000000001</v>
      </c>
      <c r="M14" s="849">
        <f>'Haver Pivoted'!GX28</f>
        <v>160.9</v>
      </c>
      <c r="N14" s="849">
        <f>'Haver Pivoted'!GY28</f>
        <v>180.5</v>
      </c>
      <c r="O14" s="849">
        <f>'Haver Pivoted'!GZ28</f>
        <v>182.1</v>
      </c>
      <c r="P14" s="849">
        <f>'Haver Pivoted'!HA28</f>
        <v>191</v>
      </c>
      <c r="Q14" s="849">
        <f>'Haver Pivoted'!HB28</f>
        <v>200.9</v>
      </c>
      <c r="R14" s="849">
        <f>'Haver Pivoted'!HC28</f>
        <v>202.8</v>
      </c>
      <c r="S14" s="849">
        <f>'Haver Pivoted'!HD28</f>
        <v>192.2</v>
      </c>
      <c r="T14" s="881">
        <f>'Haver Pivoted'!HE28</f>
        <v>180.9</v>
      </c>
      <c r="U14" s="881">
        <f>'Haver Pivoted'!HF28</f>
        <v>177</v>
      </c>
      <c r="V14" s="881">
        <f>'Haver Pivoted'!HG28</f>
        <v>175.4</v>
      </c>
      <c r="W14" s="881">
        <f>'Haver Pivoted'!HH28</f>
        <v>171.6</v>
      </c>
      <c r="X14" s="881">
        <f>'Haver Pivoted'!HI28</f>
        <v>169.6</v>
      </c>
      <c r="Y14" s="881">
        <f>'Haver Pivoted'!HJ28</f>
        <v>171.5</v>
      </c>
      <c r="Z14" s="883">
        <f>Y14*(1+$K38)^0.25</f>
        <v>173.23127923059272</v>
      </c>
      <c r="AA14" s="883">
        <f>Z14*(1+$K38)^0.25</f>
        <v>174.98003559106462</v>
      </c>
      <c r="AB14" s="883">
        <f t="shared" ref="AB14:AG14" si="3">AA14*(1+$L38)^0.25</f>
        <v>177.63173050750598</v>
      </c>
      <c r="AC14" s="883">
        <f t="shared" si="3"/>
        <v>180.32360992788875</v>
      </c>
      <c r="AD14" s="883">
        <f t="shared" si="3"/>
        <v>183.05628281908432</v>
      </c>
      <c r="AE14" s="883">
        <f t="shared" si="3"/>
        <v>185.83036737641311</v>
      </c>
      <c r="AF14" s="883">
        <f t="shared" si="3"/>
        <v>188.64649116349517</v>
      </c>
      <c r="AG14" s="883">
        <f t="shared" si="3"/>
        <v>191.50529125421983</v>
      </c>
      <c r="AH14" s="832"/>
      <c r="AI14" s="832"/>
      <c r="AJ14" s="832"/>
      <c r="AK14" s="832"/>
      <c r="AL14" s="832"/>
      <c r="AM14" s="832"/>
      <c r="AN14" s="832"/>
      <c r="AO14" s="832"/>
      <c r="AU14" s="681"/>
      <c r="AV14" s="681"/>
      <c r="AW14" s="681"/>
      <c r="AX14" s="681"/>
      <c r="AY14" s="681"/>
      <c r="AZ14" s="681"/>
      <c r="BA14" s="681"/>
      <c r="BB14" s="681"/>
      <c r="BC14" s="681"/>
    </row>
    <row r="15" spans="4:56">
      <c r="D15" s="866" t="s">
        <v>1430</v>
      </c>
      <c r="E15" s="867"/>
      <c r="F15" s="802"/>
      <c r="G15" s="801"/>
      <c r="H15" s="801"/>
      <c r="I15" s="801"/>
      <c r="J15" s="801"/>
      <c r="K15" s="801"/>
      <c r="L15" s="801"/>
      <c r="M15" s="801"/>
      <c r="N15" s="801"/>
      <c r="O15" s="801"/>
      <c r="P15" s="801"/>
      <c r="Q15" s="801"/>
      <c r="R15" s="801"/>
      <c r="S15" s="847"/>
      <c r="T15" s="847"/>
      <c r="U15" s="847">
        <v>0</v>
      </c>
      <c r="V15" s="847">
        <v>0</v>
      </c>
      <c r="W15" s="847">
        <v>0</v>
      </c>
      <c r="X15" s="847">
        <v>0</v>
      </c>
      <c r="Y15" s="797">
        <v>0</v>
      </c>
      <c r="Z15" s="797">
        <v>0</v>
      </c>
      <c r="AA15" s="797">
        <v>0</v>
      </c>
      <c r="AB15" s="797">
        <v>0</v>
      </c>
      <c r="AC15" s="797">
        <v>0</v>
      </c>
      <c r="AD15" s="797">
        <v>1</v>
      </c>
      <c r="AE15" s="797">
        <v>2</v>
      </c>
      <c r="AF15" s="797">
        <v>3</v>
      </c>
      <c r="AG15" s="797">
        <v>4</v>
      </c>
      <c r="AH15" s="832"/>
      <c r="AI15" s="832"/>
      <c r="AJ15" s="832"/>
      <c r="AK15" s="832"/>
      <c r="AL15" s="832"/>
      <c r="AM15" s="832"/>
      <c r="AN15" s="832"/>
      <c r="AO15" s="832"/>
      <c r="AU15" s="681"/>
      <c r="AV15" s="681"/>
      <c r="AW15" s="681"/>
      <c r="AX15" s="681"/>
      <c r="AY15" s="681"/>
      <c r="AZ15" s="681"/>
      <c r="BA15" s="681"/>
      <c r="BB15" s="681"/>
      <c r="BC15" s="681"/>
    </row>
    <row r="16" spans="4:56" ht="14.9" customHeight="1">
      <c r="D16" s="424" t="s">
        <v>1903</v>
      </c>
      <c r="E16" s="863" t="s">
        <v>119</v>
      </c>
      <c r="F16" s="790">
        <f>'Haver Pivoted'!GQ29</f>
        <v>210.4</v>
      </c>
      <c r="G16" s="848">
        <f>'Haver Pivoted'!GR29</f>
        <v>198.2</v>
      </c>
      <c r="H16" s="848">
        <f>'Haver Pivoted'!GS29</f>
        <v>233.1</v>
      </c>
      <c r="I16" s="848">
        <f>'Haver Pivoted'!GT29</f>
        <v>189.6</v>
      </c>
      <c r="J16" s="848">
        <f>'Haver Pivoted'!GU29</f>
        <v>199.8</v>
      </c>
      <c r="K16" s="848">
        <f>'Haver Pivoted'!GV29</f>
        <v>246.8</v>
      </c>
      <c r="L16" s="848">
        <f>'Haver Pivoted'!GW29</f>
        <v>250.9</v>
      </c>
      <c r="M16" s="848">
        <f>'Haver Pivoted'!GX29</f>
        <v>252.3</v>
      </c>
      <c r="N16" s="848">
        <f>'Haver Pivoted'!GY29</f>
        <v>283.60000000000002</v>
      </c>
      <c r="O16" s="848">
        <f>'Haver Pivoted'!GZ29</f>
        <v>279.8</v>
      </c>
      <c r="P16" s="848">
        <f>'Haver Pivoted'!HA29</f>
        <v>303.89999999999998</v>
      </c>
      <c r="Q16" s="848">
        <f>'Haver Pivoted'!HB29</f>
        <v>329.8</v>
      </c>
      <c r="R16" s="848">
        <f>'Haver Pivoted'!HC29</f>
        <v>388.8</v>
      </c>
      <c r="S16" s="848">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83">
        <f>Y16*(1+$K39)^0.25</f>
        <v>464.97471675520438</v>
      </c>
      <c r="AA16" s="883">
        <f>Z16*(1+$K39)^0.25</f>
        <v>476.42460824500336</v>
      </c>
      <c r="AB16" s="883">
        <f t="shared" ref="AB16:AG16" si="4">AA16*(1+$L39)^0.25</f>
        <v>485.99246115610663</v>
      </c>
      <c r="AC16" s="883">
        <f t="shared" si="4"/>
        <v>495.7524615922207</v>
      </c>
      <c r="AD16" s="883">
        <f t="shared" si="4"/>
        <v>505.70846837848751</v>
      </c>
      <c r="AE16" s="883">
        <f t="shared" si="4"/>
        <v>515.86441783535611</v>
      </c>
      <c r="AF16" s="883">
        <f t="shared" si="4"/>
        <v>526.22432533489143</v>
      </c>
      <c r="AG16" s="883">
        <f t="shared" si="4"/>
        <v>536.79228688833746</v>
      </c>
      <c r="AH16" s="832"/>
      <c r="AI16" s="832"/>
      <c r="AJ16" s="832"/>
      <c r="AK16" s="832"/>
      <c r="AL16" s="832"/>
      <c r="AM16" s="832"/>
      <c r="AN16" s="832"/>
      <c r="AO16" s="832"/>
      <c r="AU16" s="874"/>
      <c r="AV16" s="874"/>
      <c r="AW16" s="874"/>
      <c r="AX16" s="874"/>
      <c r="AY16" s="874"/>
      <c r="AZ16" s="874"/>
      <c r="BA16" s="874"/>
      <c r="BB16" s="874"/>
      <c r="BC16" s="874"/>
    </row>
    <row r="17" spans="4:55" ht="14.9" customHeight="1">
      <c r="D17" s="424"/>
      <c r="E17" s="863"/>
      <c r="F17" s="790"/>
      <c r="G17" s="848"/>
      <c r="H17" s="848"/>
      <c r="I17" s="848"/>
      <c r="J17" s="848"/>
      <c r="K17" s="848"/>
      <c r="L17" s="848"/>
      <c r="M17" s="848"/>
      <c r="N17" s="848"/>
      <c r="O17" s="848"/>
      <c r="P17" s="848"/>
      <c r="Q17" s="848"/>
      <c r="R17" s="848"/>
      <c r="S17" s="848"/>
      <c r="T17" s="848"/>
      <c r="U17" s="848"/>
      <c r="V17" s="848"/>
      <c r="W17" s="848"/>
      <c r="X17" s="879"/>
      <c r="Y17" s="879"/>
      <c r="Z17" s="879"/>
      <c r="AA17" s="879"/>
      <c r="AB17" s="879"/>
      <c r="AC17" s="879"/>
      <c r="AD17" s="879"/>
      <c r="AE17" s="879"/>
      <c r="AF17" s="879"/>
      <c r="AG17" s="879"/>
      <c r="AH17" s="832"/>
      <c r="AI17" s="832"/>
      <c r="AJ17" s="832"/>
      <c r="AK17" s="832"/>
      <c r="AL17" s="832"/>
      <c r="AM17" s="832"/>
      <c r="AN17" s="832"/>
      <c r="AO17" s="832"/>
      <c r="AU17" s="874"/>
      <c r="AV17" s="874"/>
      <c r="AW17" s="874"/>
      <c r="AX17" s="874"/>
      <c r="AY17" s="874"/>
      <c r="AZ17" s="874"/>
      <c r="BA17" s="874"/>
      <c r="BB17" s="874"/>
      <c r="BC17" s="874"/>
    </row>
    <row r="18" spans="4:55">
      <c r="D18" s="796" t="s">
        <v>473</v>
      </c>
      <c r="E18" s="417"/>
      <c r="F18" s="900"/>
      <c r="G18" s="892"/>
      <c r="H18" s="892"/>
      <c r="I18" s="892"/>
      <c r="J18" s="892"/>
      <c r="K18" s="892"/>
      <c r="L18" s="892"/>
      <c r="M18" s="892"/>
      <c r="N18" s="892"/>
      <c r="O18" s="892"/>
      <c r="P18" s="892"/>
      <c r="Q18" s="892"/>
      <c r="R18" s="892"/>
      <c r="S18" s="892"/>
      <c r="T18" s="892"/>
      <c r="U18" s="799"/>
      <c r="V18" s="892"/>
      <c r="W18" s="892"/>
      <c r="X18" s="892"/>
      <c r="Y18" s="892"/>
      <c r="Z18" s="892"/>
      <c r="AA18" s="892"/>
      <c r="AB18" s="892"/>
      <c r="AC18" s="892"/>
      <c r="AF18" s="832"/>
      <c r="AG18" s="832"/>
      <c r="AH18" s="832"/>
      <c r="AI18" s="832"/>
      <c r="AJ18" s="832"/>
      <c r="AK18" s="832"/>
      <c r="AL18" s="832"/>
      <c r="AM18" s="832"/>
      <c r="AN18" s="832"/>
      <c r="AO18" s="832"/>
    </row>
    <row r="19" spans="4:55" ht="14.9" customHeight="1">
      <c r="D19" s="873" t="s">
        <v>481</v>
      </c>
      <c r="E19" s="864"/>
      <c r="F19" s="790">
        <f t="shared" ref="F19:P19" si="5">SUM(F21:F24)</f>
        <v>1902.6999999999998</v>
      </c>
      <c r="G19" s="848">
        <f t="shared" si="5"/>
        <v>1892.4</v>
      </c>
      <c r="H19" s="848">
        <f t="shared" si="5"/>
        <v>1884.5</v>
      </c>
      <c r="I19" s="848">
        <f t="shared" si="5"/>
        <v>1887.9</v>
      </c>
      <c r="J19" s="848">
        <f t="shared" si="5"/>
        <v>1790.3</v>
      </c>
      <c r="K19" s="848">
        <f t="shared" si="5"/>
        <v>1921.1</v>
      </c>
      <c r="L19" s="848">
        <f t="shared" si="5"/>
        <v>1953.6</v>
      </c>
      <c r="M19" s="848">
        <f t="shared" si="5"/>
        <v>2006.3</v>
      </c>
      <c r="N19" s="848">
        <f t="shared" si="5"/>
        <v>2102.1999999999998</v>
      </c>
      <c r="O19" s="848">
        <f t="shared" si="5"/>
        <v>2115.6999999999998</v>
      </c>
      <c r="P19" s="848">
        <f t="shared" si="5"/>
        <v>2213.6999999999998</v>
      </c>
      <c r="Q19" s="848">
        <f>SUM(Q20:Q24)</f>
        <v>2261.8999999999996</v>
      </c>
      <c r="R19" s="848">
        <f t="shared" ref="R19:T19" si="6">SUM(R20:R24)</f>
        <v>2287.3000000000002</v>
      </c>
      <c r="S19" s="848">
        <f t="shared" si="6"/>
        <v>2269.4</v>
      </c>
      <c r="T19" s="848">
        <f t="shared" si="6"/>
        <v>2267.1999999999998</v>
      </c>
      <c r="U19" s="848">
        <f>SUM(U21:U24)</f>
        <v>2258.3000000000002</v>
      </c>
      <c r="V19" s="848">
        <f>SUM(V20:V24)</f>
        <v>2196.4</v>
      </c>
      <c r="W19" s="848">
        <f>SUM(W20,W21,W23,W24)</f>
        <v>2257.6999999999998</v>
      </c>
      <c r="X19" s="848">
        <f>SUM(X20,X21,X23,X24)</f>
        <v>2293</v>
      </c>
      <c r="Y19" s="885">
        <f>SUM(Y20,Y21,Y23,Y24)</f>
        <v>2296.6999999999998</v>
      </c>
      <c r="Z19" s="885">
        <f t="shared" ref="Z19:AF19" si="7">SUM(Z20,Z21,Z23,Z24)</f>
        <v>2315.2235824181621</v>
      </c>
      <c r="AA19" s="885">
        <f t="shared" si="7"/>
        <v>2347.0677549482875</v>
      </c>
      <c r="AB19" s="885">
        <f t="shared" si="7"/>
        <v>2370.910285239449</v>
      </c>
      <c r="AC19" s="885">
        <f t="shared" si="7"/>
        <v>2395.4883941419525</v>
      </c>
      <c r="AD19" s="885">
        <f t="shared" si="7"/>
        <v>2420.0058245704026</v>
      </c>
      <c r="AE19" s="885">
        <f t="shared" si="7"/>
        <v>2443.5642635095865</v>
      </c>
      <c r="AF19" s="885">
        <f t="shared" si="7"/>
        <v>2466.8106652938673</v>
      </c>
      <c r="AG19" s="885">
        <f>SUM(AG20,AG21,AG23,AG24)</f>
        <v>2487.6029479748304</v>
      </c>
      <c r="AH19" s="832"/>
      <c r="AI19" s="832"/>
      <c r="AJ19" s="832"/>
      <c r="AK19" s="832"/>
      <c r="AL19" s="832"/>
      <c r="AM19" s="832"/>
      <c r="AN19" s="832"/>
      <c r="AO19" s="832"/>
    </row>
    <row r="20" spans="4:55" ht="42" customHeight="1">
      <c r="D20" s="869" t="s">
        <v>827</v>
      </c>
      <c r="E20" s="864"/>
      <c r="F20" s="790"/>
      <c r="G20" s="848"/>
      <c r="H20" s="848"/>
      <c r="I20" s="848"/>
      <c r="J20" s="848"/>
      <c r="K20" s="848"/>
      <c r="L20" s="848"/>
      <c r="M20" s="848"/>
      <c r="N20" s="848"/>
      <c r="O20" s="848"/>
      <c r="P20" s="848"/>
      <c r="Q20" s="401"/>
      <c r="R20" s="401"/>
      <c r="S20" s="401"/>
      <c r="T20" s="401"/>
      <c r="U20" s="401">
        <v>0</v>
      </c>
      <c r="V20" s="401"/>
      <c r="W20" s="401"/>
      <c r="X20" s="401"/>
      <c r="Y20" s="346"/>
      <c r="Z20" s="346"/>
      <c r="AA20" s="346"/>
      <c r="AB20" s="346"/>
      <c r="AC20" s="346"/>
      <c r="AD20" s="346"/>
      <c r="AE20" s="346"/>
      <c r="AF20" s="346"/>
      <c r="AG20" s="346"/>
      <c r="AH20" s="832"/>
      <c r="AI20" s="832"/>
      <c r="AJ20" s="832"/>
      <c r="AK20" s="832"/>
      <c r="AL20" s="832"/>
      <c r="AM20" s="832"/>
      <c r="AN20" s="832"/>
      <c r="AO20" s="832"/>
    </row>
    <row r="21" spans="4:55">
      <c r="D21" s="521" t="s">
        <v>486</v>
      </c>
      <c r="E21" s="35" t="s">
        <v>487</v>
      </c>
      <c r="F21" s="835">
        <f>'Haver Pivoted'!GQ33</f>
        <v>533.1</v>
      </c>
      <c r="G21" s="849">
        <f>'Haver Pivoted'!GR33</f>
        <v>497.6</v>
      </c>
      <c r="H21" s="849">
        <f>'Haver Pivoted'!GS33</f>
        <v>488</v>
      </c>
      <c r="I21" s="849">
        <f>'Haver Pivoted'!GT33</f>
        <v>488.2</v>
      </c>
      <c r="J21" s="849">
        <f>'Haver Pivoted'!GU33</f>
        <v>480.5</v>
      </c>
      <c r="K21" s="849">
        <f>'Haver Pivoted'!GV33</f>
        <v>515.5</v>
      </c>
      <c r="L21" s="849">
        <f>'Haver Pivoted'!GW33</f>
        <v>527.9</v>
      </c>
      <c r="M21" s="849">
        <f>'Haver Pivoted'!GX33</f>
        <v>564.20000000000005</v>
      </c>
      <c r="N21" s="849">
        <f>'Haver Pivoted'!GY33</f>
        <v>585.6</v>
      </c>
      <c r="O21" s="849">
        <f>'Haver Pivoted'!GZ33</f>
        <v>589.79999999999995</v>
      </c>
      <c r="P21" s="849">
        <f>'Haver Pivoted'!HA33</f>
        <v>636.29999999999995</v>
      </c>
      <c r="Q21" s="849">
        <f>'Haver Pivoted'!HB33</f>
        <v>655.9</v>
      </c>
      <c r="R21" s="849">
        <f>'Haver Pivoted'!HC33</f>
        <v>655.1</v>
      </c>
      <c r="S21" s="849">
        <f>'Haver Pivoted'!HD33</f>
        <v>615.20000000000005</v>
      </c>
      <c r="T21" s="881">
        <f>'Haver Pivoted'!HE33</f>
        <v>605.6</v>
      </c>
      <c r="U21" s="881">
        <f>'Haver Pivoted'!HF33</f>
        <v>582.70000000000005</v>
      </c>
      <c r="V21" s="881">
        <f>'Haver Pivoted'!HG33</f>
        <v>528.79999999999995</v>
      </c>
      <c r="W21" s="881">
        <f>'Haver Pivoted'!HH33</f>
        <v>576.6</v>
      </c>
      <c r="X21" s="881">
        <f>'Haver Pivoted'!HI33</f>
        <v>592.6</v>
      </c>
      <c r="Y21" s="881">
        <f>'Haver Pivoted'!HJ33</f>
        <v>584.4</v>
      </c>
      <c r="Z21" s="886">
        <f t="shared" ref="Z21:AG21" si="8">$Y119*Z128*(Z101/$Y101)+Z20+Z22</f>
        <v>574.87599172896444</v>
      </c>
      <c r="AA21" s="886">
        <f t="shared" si="8"/>
        <v>585.9095975823127</v>
      </c>
      <c r="AB21" s="886">
        <f t="shared" si="8"/>
        <v>594.34049944329581</v>
      </c>
      <c r="AC21" s="886">
        <f t="shared" si="8"/>
        <v>602.22297439160172</v>
      </c>
      <c r="AD21" s="886">
        <f t="shared" si="8"/>
        <v>609.99080642595834</v>
      </c>
      <c r="AE21" s="886">
        <f t="shared" si="8"/>
        <v>617.59442023222527</v>
      </c>
      <c r="AF21" s="886">
        <f t="shared" si="8"/>
        <v>625.39633529505329</v>
      </c>
      <c r="AG21" s="886">
        <f t="shared" si="8"/>
        <v>632.74587561635121</v>
      </c>
      <c r="AH21" s="832"/>
      <c r="AI21" s="832"/>
      <c r="AJ21" s="832"/>
      <c r="AK21" s="832"/>
      <c r="AL21" s="832"/>
      <c r="AM21" s="832"/>
      <c r="AN21" s="832"/>
      <c r="AO21" s="832"/>
    </row>
    <row r="22" spans="4:55">
      <c r="D22" s="521" t="s">
        <v>1914</v>
      </c>
      <c r="E22" s="35"/>
      <c r="F22" s="835"/>
      <c r="G22" s="849"/>
      <c r="H22" s="849"/>
      <c r="I22" s="849"/>
      <c r="J22" s="849"/>
      <c r="K22" s="849"/>
      <c r="L22" s="849"/>
      <c r="M22" s="849"/>
      <c r="N22" s="849"/>
      <c r="O22" s="849"/>
      <c r="P22" s="849"/>
      <c r="Q22" s="849"/>
      <c r="R22" s="849"/>
      <c r="S22" s="849"/>
      <c r="T22" s="881"/>
      <c r="U22" s="881"/>
      <c r="V22" s="881"/>
      <c r="W22" s="849">
        <v>20</v>
      </c>
      <c r="X22" s="849">
        <v>20</v>
      </c>
      <c r="Y22" s="886">
        <v>0</v>
      </c>
      <c r="Z22" s="886">
        <f>-24</f>
        <v>-24</v>
      </c>
      <c r="AA22" s="886">
        <f t="shared" ref="AA22:AG22" si="9">-24</f>
        <v>-24</v>
      </c>
      <c r="AB22" s="886">
        <f t="shared" si="9"/>
        <v>-24</v>
      </c>
      <c r="AC22" s="886">
        <f t="shared" si="9"/>
        <v>-24</v>
      </c>
      <c r="AD22" s="886">
        <f t="shared" si="9"/>
        <v>-24</v>
      </c>
      <c r="AE22" s="886">
        <f t="shared" si="9"/>
        <v>-24</v>
      </c>
      <c r="AF22" s="886">
        <f t="shared" si="9"/>
        <v>-24</v>
      </c>
      <c r="AG22" s="886">
        <f t="shared" si="9"/>
        <v>-24</v>
      </c>
      <c r="AH22" s="832"/>
      <c r="AI22" s="832"/>
      <c r="AJ22" s="832"/>
      <c r="AK22" s="832"/>
      <c r="AL22" s="832"/>
      <c r="AM22" s="832"/>
      <c r="AN22" s="832"/>
      <c r="AO22" s="832"/>
    </row>
    <row r="23" spans="4:55">
      <c r="D23" s="521" t="s">
        <v>483</v>
      </c>
      <c r="E23" s="35" t="s">
        <v>488</v>
      </c>
      <c r="F23" s="835">
        <f>'Haver Pivoted'!GQ36</f>
        <v>20.8</v>
      </c>
      <c r="G23" s="849">
        <f>'Haver Pivoted'!GR36</f>
        <v>20.6</v>
      </c>
      <c r="H23" s="849">
        <f>'Haver Pivoted'!GS36</f>
        <v>20.399999999999999</v>
      </c>
      <c r="I23" s="849">
        <f>'Haver Pivoted'!GT36</f>
        <v>20.3</v>
      </c>
      <c r="J23" s="849">
        <f>'Haver Pivoted'!GU36</f>
        <v>19.3</v>
      </c>
      <c r="K23" s="849">
        <f>'Haver Pivoted'!GV36</f>
        <v>19.899999999999999</v>
      </c>
      <c r="L23" s="849">
        <f>'Haver Pivoted'!GW36</f>
        <v>20.7</v>
      </c>
      <c r="M23" s="849">
        <f>'Haver Pivoted'!GX36</f>
        <v>21.3</v>
      </c>
      <c r="N23" s="849">
        <f>'Haver Pivoted'!GY36</f>
        <v>22</v>
      </c>
      <c r="O23" s="849">
        <f>'Haver Pivoted'!GZ36</f>
        <v>22.6</v>
      </c>
      <c r="P23" s="849">
        <f>'Haver Pivoted'!HA36</f>
        <v>22.9</v>
      </c>
      <c r="Q23" s="849">
        <f>'Haver Pivoted'!HB36</f>
        <v>22.9</v>
      </c>
      <c r="R23" s="849">
        <f>'Haver Pivoted'!HC36</f>
        <v>22.6</v>
      </c>
      <c r="S23" s="849">
        <f>'Haver Pivoted'!HD36</f>
        <v>22.4</v>
      </c>
      <c r="T23" s="881">
        <f>'Haver Pivoted'!HE36</f>
        <v>22</v>
      </c>
      <c r="U23" s="881">
        <f>'Haver Pivoted'!HF36</f>
        <v>21.5</v>
      </c>
      <c r="V23" s="881">
        <f>'Haver Pivoted'!HG36</f>
        <v>21.4</v>
      </c>
      <c r="W23" s="881">
        <f>'Haver Pivoted'!HH36</f>
        <v>21.9</v>
      </c>
      <c r="X23" s="881">
        <f>'Haver Pivoted'!HI36</f>
        <v>22.8</v>
      </c>
      <c r="Y23" s="881">
        <f>'Haver Pivoted'!HJ36</f>
        <v>24.3</v>
      </c>
      <c r="Z23" s="886">
        <f>$Y120*Z129*(Z102/$Y102)</f>
        <v>24.641719370495661</v>
      </c>
      <c r="AA23" s="886">
        <f t="shared" ref="AA23:AG23" si="10">$Y120*AA129*(AA102/$Y102)</f>
        <v>24.941145756728933</v>
      </c>
      <c r="AB23" s="886">
        <f t="shared" si="10"/>
        <v>25.224488895425797</v>
      </c>
      <c r="AC23" s="886">
        <f t="shared" si="10"/>
        <v>25.498896896602439</v>
      </c>
      <c r="AD23" s="886">
        <f t="shared" si="10"/>
        <v>25.774496249448447</v>
      </c>
      <c r="AE23" s="886">
        <f t="shared" si="10"/>
        <v>26.046918664509487</v>
      </c>
      <c r="AF23" s="886">
        <f t="shared" si="10"/>
        <v>26.319142520958966</v>
      </c>
      <c r="AG23" s="886">
        <f t="shared" si="10"/>
        <v>26.586203853507868</v>
      </c>
      <c r="AH23" s="832"/>
      <c r="AI23" s="832"/>
      <c r="AJ23" s="832"/>
      <c r="AK23" s="832"/>
      <c r="AL23" s="832"/>
      <c r="AM23" s="832"/>
      <c r="AN23" s="832"/>
      <c r="AO23" s="832"/>
    </row>
    <row r="24" spans="4:55">
      <c r="D24" s="521" t="s">
        <v>484</v>
      </c>
      <c r="E24" s="35" t="s">
        <v>489</v>
      </c>
      <c r="F24" s="835">
        <f>'Haver Pivoted'!GQ34</f>
        <v>1348.8</v>
      </c>
      <c r="G24" s="849">
        <f>'Haver Pivoted'!GR34</f>
        <v>1374.2</v>
      </c>
      <c r="H24" s="849">
        <f>'Haver Pivoted'!GS34</f>
        <v>1376.1</v>
      </c>
      <c r="I24" s="849">
        <f>'Haver Pivoted'!GT34</f>
        <v>1379.4</v>
      </c>
      <c r="J24" s="849">
        <f>'Haver Pivoted'!GU34</f>
        <v>1290.5</v>
      </c>
      <c r="K24" s="849">
        <f>'Haver Pivoted'!GV34</f>
        <v>1385.7</v>
      </c>
      <c r="L24" s="849">
        <f>'Haver Pivoted'!GW34</f>
        <v>1405</v>
      </c>
      <c r="M24" s="849">
        <f>'Haver Pivoted'!GX34</f>
        <v>1420.8</v>
      </c>
      <c r="N24" s="849">
        <f>'Haver Pivoted'!GY34</f>
        <v>1494.6</v>
      </c>
      <c r="O24" s="849">
        <f>'Haver Pivoted'!GZ34</f>
        <v>1503.3</v>
      </c>
      <c r="P24" s="849">
        <f>'Haver Pivoted'!HA34</f>
        <v>1554.5</v>
      </c>
      <c r="Q24" s="849">
        <f>'Haver Pivoted'!HB34</f>
        <v>1583.1</v>
      </c>
      <c r="R24" s="849">
        <f>'Haver Pivoted'!HC34</f>
        <v>1609.6</v>
      </c>
      <c r="S24" s="849">
        <f>'Haver Pivoted'!HD34</f>
        <v>1631.8</v>
      </c>
      <c r="T24" s="881">
        <f>'Haver Pivoted'!HE34</f>
        <v>1639.6</v>
      </c>
      <c r="U24" s="881">
        <f>'Haver Pivoted'!HF34</f>
        <v>1654.1</v>
      </c>
      <c r="V24" s="881">
        <f>'Haver Pivoted'!HG34</f>
        <v>1646.2</v>
      </c>
      <c r="W24" s="881">
        <f>'Haver Pivoted'!HH34</f>
        <v>1659.2</v>
      </c>
      <c r="X24" s="881">
        <f>'Haver Pivoted'!HI34</f>
        <v>1677.6</v>
      </c>
      <c r="Y24" s="881">
        <f>'Haver Pivoted'!HJ34</f>
        <v>1688</v>
      </c>
      <c r="Z24" s="886">
        <f>$Y125*Z130*(Z104/$Y104)</f>
        <v>1715.7058713187018</v>
      </c>
      <c r="AA24" s="886">
        <f t="shared" ref="AA24:AG24" si="11">$Y125*AA130*(AA104/$Y104)</f>
        <v>1736.2170116092459</v>
      </c>
      <c r="AB24" s="886">
        <f t="shared" si="11"/>
        <v>1751.3452969007276</v>
      </c>
      <c r="AC24" s="886">
        <f t="shared" si="11"/>
        <v>1767.7665228537485</v>
      </c>
      <c r="AD24" s="886">
        <f t="shared" si="11"/>
        <v>1784.2405218949959</v>
      </c>
      <c r="AE24" s="886">
        <f t="shared" si="11"/>
        <v>1799.9229246128516</v>
      </c>
      <c r="AF24" s="886">
        <f t="shared" si="11"/>
        <v>1815.095187477855</v>
      </c>
      <c r="AG24" s="886">
        <f t="shared" si="11"/>
        <v>1828.2708685049713</v>
      </c>
      <c r="AH24" s="832"/>
      <c r="AI24" s="832"/>
      <c r="AJ24" s="832"/>
      <c r="AK24" s="832"/>
      <c r="AL24" s="832"/>
      <c r="AM24" s="832"/>
      <c r="AN24" s="832"/>
      <c r="AO24" s="832"/>
    </row>
    <row r="25" spans="4:55" ht="14.9" customHeight="1">
      <c r="D25" s="875" t="s">
        <v>485</v>
      </c>
      <c r="E25" s="901"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4">
        <f>'Haver Pivoted'!HF35</f>
        <v>172.5</v>
      </c>
      <c r="V25" s="884">
        <f>'Haver Pivoted'!HG35</f>
        <v>150.69999999999999</v>
      </c>
      <c r="W25" s="884">
        <f>'Haver Pivoted'!HH35</f>
        <v>148.69999999999999</v>
      </c>
      <c r="X25" s="884">
        <f>'Haver Pivoted'!HI35</f>
        <v>165.7</v>
      </c>
      <c r="Y25" s="884">
        <f>'Haver Pivoted'!HJ35</f>
        <v>169.1</v>
      </c>
      <c r="Z25" s="806">
        <f t="shared" ref="Z25:AC25" si="12">$U126*Z131*(Z105/$U105)</f>
        <v>172.78949768486035</v>
      </c>
      <c r="AA25" s="806">
        <f t="shared" si="12"/>
        <v>175.48840676301387</v>
      </c>
      <c r="AB25" s="806">
        <f t="shared" si="12"/>
        <v>176.81116879472424</v>
      </c>
      <c r="AC25" s="806">
        <f t="shared" si="12"/>
        <v>178.43051424161635</v>
      </c>
      <c r="AD25" s="806">
        <f t="shared" ref="AD25:AG25" si="13">$U126*AD131*(AD105/$U105)</f>
        <v>180.04392802020482</v>
      </c>
      <c r="AE25" s="806">
        <f t="shared" si="13"/>
        <v>181.0701066367335</v>
      </c>
      <c r="AF25" s="806">
        <f t="shared" si="13"/>
        <v>181.15908166128801</v>
      </c>
      <c r="AG25" s="806">
        <f t="shared" si="13"/>
        <v>180.36423810860106</v>
      </c>
      <c r="AH25" s="832"/>
      <c r="AI25" s="832"/>
      <c r="AJ25" s="832"/>
      <c r="AK25" s="832"/>
      <c r="AL25" s="832"/>
      <c r="AM25" s="832"/>
      <c r="AN25" s="832"/>
      <c r="AO25" s="832"/>
    </row>
    <row r="26" spans="4:55" ht="14.9" customHeight="1">
      <c r="D26" s="845" t="s">
        <v>1916</v>
      </c>
      <c r="E26" s="864"/>
      <c r="F26" s="552">
        <f t="shared" ref="F26:AG26" si="14">F9+F19</f>
        <v>5165.5</v>
      </c>
      <c r="G26" s="552">
        <f t="shared" si="14"/>
        <v>5180.5</v>
      </c>
      <c r="H26" s="552">
        <f t="shared" si="14"/>
        <v>5222.5</v>
      </c>
      <c r="I26" s="552">
        <f t="shared" si="14"/>
        <v>5292.2</v>
      </c>
      <c r="J26" s="552">
        <f t="shared" si="14"/>
        <v>4935.6000000000004</v>
      </c>
      <c r="K26" s="552">
        <f t="shared" si="14"/>
        <v>5251.6</v>
      </c>
      <c r="L26" s="552">
        <f t="shared" si="14"/>
        <v>5447.3</v>
      </c>
      <c r="M26" s="552">
        <f t="shared" si="14"/>
        <v>5665.2</v>
      </c>
      <c r="N26" s="552">
        <f t="shared" si="14"/>
        <v>5920.8</v>
      </c>
      <c r="O26" s="552">
        <f t="shared" si="14"/>
        <v>6054.6</v>
      </c>
      <c r="P26" s="552">
        <f t="shared" si="14"/>
        <v>6273.4</v>
      </c>
      <c r="Q26" s="552">
        <f t="shared" si="14"/>
        <v>6615.5999999999995</v>
      </c>
      <c r="R26" s="552">
        <f t="shared" si="14"/>
        <v>6660.5</v>
      </c>
      <c r="S26" s="552">
        <f t="shared" si="14"/>
        <v>6693.1</v>
      </c>
      <c r="T26" s="552">
        <f t="shared" si="14"/>
        <v>6654.9</v>
      </c>
      <c r="U26" s="552">
        <f t="shared" si="14"/>
        <v>6374.8</v>
      </c>
      <c r="V26" s="552">
        <f t="shared" si="14"/>
        <v>6325.6</v>
      </c>
      <c r="W26" s="552">
        <f t="shared" si="14"/>
        <v>6419.4</v>
      </c>
      <c r="X26" s="552">
        <f t="shared" si="14"/>
        <v>6471.3</v>
      </c>
      <c r="Y26" s="673">
        <f t="shared" si="14"/>
        <v>6678.2</v>
      </c>
      <c r="Z26" s="673">
        <f t="shared" si="14"/>
        <v>6780.2119032525716</v>
      </c>
      <c r="AA26" s="673">
        <f t="shared" si="14"/>
        <v>6844.078200705022</v>
      </c>
      <c r="AB26" s="673">
        <f t="shared" si="14"/>
        <v>6898.9529822180675</v>
      </c>
      <c r="AC26" s="673">
        <f t="shared" si="14"/>
        <v>6996.9445870158597</v>
      </c>
      <c r="AD26" s="673">
        <f t="shared" si="14"/>
        <v>7053.187314750734</v>
      </c>
      <c r="AE26" s="673">
        <f t="shared" si="14"/>
        <v>7108.7172463822244</v>
      </c>
      <c r="AF26" s="673">
        <f t="shared" si="14"/>
        <v>7164.1835060640897</v>
      </c>
      <c r="AG26" s="673">
        <f t="shared" si="14"/>
        <v>7267.7213689950286</v>
      </c>
    </row>
    <row r="27" spans="4:55" ht="14.9" customHeight="1">
      <c r="D27" s="845" t="s">
        <v>1940</v>
      </c>
      <c r="E27" s="864"/>
      <c r="F27" s="552">
        <f t="shared" ref="F27:AG27" si="15">F10+F21</f>
        <v>2222.1999999999998</v>
      </c>
      <c r="G27" s="552">
        <f t="shared" si="15"/>
        <v>2197.9</v>
      </c>
      <c r="H27" s="552">
        <f t="shared" si="15"/>
        <v>2220.4</v>
      </c>
      <c r="I27" s="552">
        <f t="shared" si="15"/>
        <v>2256</v>
      </c>
      <c r="J27" s="552">
        <f t="shared" si="15"/>
        <v>2111.9</v>
      </c>
      <c r="K27" s="552">
        <f t="shared" si="15"/>
        <v>2263.4</v>
      </c>
      <c r="L27" s="552">
        <f t="shared" si="15"/>
        <v>2394.8000000000002</v>
      </c>
      <c r="M27" s="552">
        <f t="shared" si="15"/>
        <v>2577.6000000000004</v>
      </c>
      <c r="N27" s="552">
        <f t="shared" si="15"/>
        <v>2704</v>
      </c>
      <c r="O27" s="552">
        <f t="shared" si="15"/>
        <v>2789.8</v>
      </c>
      <c r="P27" s="552">
        <f t="shared" si="15"/>
        <v>2901.6000000000004</v>
      </c>
      <c r="Q27" s="552">
        <f t="shared" si="15"/>
        <v>3162.8</v>
      </c>
      <c r="R27" s="552">
        <f t="shared" si="15"/>
        <v>3157.7</v>
      </c>
      <c r="S27" s="552">
        <f t="shared" si="15"/>
        <v>3137.1000000000004</v>
      </c>
      <c r="T27" s="552">
        <f t="shared" si="15"/>
        <v>3095.7</v>
      </c>
      <c r="U27" s="552">
        <f t="shared" si="15"/>
        <v>2763.7</v>
      </c>
      <c r="V27" s="552">
        <f t="shared" si="15"/>
        <v>2703.8999999999996</v>
      </c>
      <c r="W27" s="552">
        <f t="shared" si="15"/>
        <v>2765.2999999999997</v>
      </c>
      <c r="X27" s="552">
        <f t="shared" si="15"/>
        <v>2792.4</v>
      </c>
      <c r="Y27" s="552">
        <f t="shared" si="15"/>
        <v>2949.1</v>
      </c>
      <c r="Z27" s="552">
        <f t="shared" si="15"/>
        <v>2998.3118360201192</v>
      </c>
      <c r="AA27" s="552">
        <f t="shared" si="15"/>
        <v>3021.372788140734</v>
      </c>
      <c r="AB27" s="552">
        <f t="shared" si="15"/>
        <v>3041.8907271655148</v>
      </c>
      <c r="AC27" s="552">
        <f t="shared" si="15"/>
        <v>3104.0605789027732</v>
      </c>
      <c r="AD27" s="552">
        <f t="shared" si="15"/>
        <v>3124.244859775587</v>
      </c>
      <c r="AE27" s="552">
        <f t="shared" si="15"/>
        <v>3144.3265444062786</v>
      </c>
      <c r="AF27" s="552">
        <f t="shared" si="15"/>
        <v>3164.6684581051982</v>
      </c>
      <c r="AG27" s="552">
        <f t="shared" si="15"/>
        <v>3234.8953978388563</v>
      </c>
    </row>
    <row r="28" spans="4:55" ht="14.9" customHeight="1">
      <c r="D28" s="845" t="s">
        <v>1941</v>
      </c>
      <c r="E28" s="864"/>
      <c r="F28" s="552">
        <f>F12+F23</f>
        <v>1424.1</v>
      </c>
      <c r="G28" s="552">
        <f t="shared" ref="G28:AG28" si="16">G12+G23</f>
        <v>1430.6</v>
      </c>
      <c r="H28" s="552">
        <f t="shared" si="16"/>
        <v>1448.3000000000002</v>
      </c>
      <c r="I28" s="552">
        <f t="shared" si="16"/>
        <v>1473.6</v>
      </c>
      <c r="J28" s="552">
        <f t="shared" si="16"/>
        <v>1402.8</v>
      </c>
      <c r="K28" s="552">
        <f t="shared" si="16"/>
        <v>1452.4</v>
      </c>
      <c r="L28" s="552">
        <f t="shared" si="16"/>
        <v>1489.7</v>
      </c>
      <c r="M28" s="552">
        <f t="shared" si="16"/>
        <v>1505.8999999999999</v>
      </c>
      <c r="N28" s="552">
        <f t="shared" si="16"/>
        <v>1541.7</v>
      </c>
      <c r="O28" s="552">
        <f t="shared" si="16"/>
        <v>1579.3999999999999</v>
      </c>
      <c r="P28" s="552">
        <f t="shared" si="16"/>
        <v>1626.3000000000002</v>
      </c>
      <c r="Q28" s="552">
        <f t="shared" si="16"/>
        <v>1668.8000000000002</v>
      </c>
      <c r="R28" s="552">
        <f t="shared" si="16"/>
        <v>1690.3999999999999</v>
      </c>
      <c r="S28" s="552">
        <f t="shared" si="16"/>
        <v>1732</v>
      </c>
      <c r="T28" s="552">
        <f t="shared" si="16"/>
        <v>1738.7</v>
      </c>
      <c r="U28" s="552">
        <f t="shared" si="16"/>
        <v>1780</v>
      </c>
      <c r="V28" s="552">
        <f t="shared" si="16"/>
        <v>1800.1000000000001</v>
      </c>
      <c r="W28" s="552">
        <f t="shared" si="16"/>
        <v>1823.3000000000002</v>
      </c>
      <c r="X28" s="552">
        <f t="shared" si="16"/>
        <v>1831.7</v>
      </c>
      <c r="Y28" s="552">
        <f t="shared" si="16"/>
        <v>1869.6</v>
      </c>
      <c r="Z28" s="552">
        <f t="shared" si="16"/>
        <v>1892.9629166831573</v>
      </c>
      <c r="AA28" s="552">
        <f t="shared" si="16"/>
        <v>1911.508365363977</v>
      </c>
      <c r="AB28" s="552">
        <f t="shared" si="16"/>
        <v>1928.0852276443186</v>
      </c>
      <c r="AC28" s="552">
        <f t="shared" si="16"/>
        <v>1944.7938753314493</v>
      </c>
      <c r="AD28" s="552">
        <f t="shared" si="16"/>
        <v>1961.6456502610665</v>
      </c>
      <c r="AE28" s="552">
        <f t="shared" si="16"/>
        <v>1978.637409986681</v>
      </c>
      <c r="AF28" s="552">
        <f t="shared" si="16"/>
        <v>1995.7733693175414</v>
      </c>
      <c r="AG28" s="552">
        <f t="shared" si="16"/>
        <v>2013.0498113969813</v>
      </c>
    </row>
    <row r="29" spans="4:55" ht="14.9" customHeight="1">
      <c r="D29" s="514"/>
      <c r="E29" s="200"/>
      <c r="F29" s="200"/>
      <c r="G29" s="200"/>
      <c r="H29" s="200"/>
      <c r="I29" s="200"/>
      <c r="J29" s="200"/>
      <c r="K29" s="200"/>
      <c r="L29" s="200"/>
      <c r="AH29" s="263"/>
      <c r="AI29" s="263"/>
      <c r="AJ29" s="263"/>
      <c r="AK29" s="263"/>
      <c r="AL29" s="263"/>
      <c r="AM29" s="263"/>
      <c r="AN29" s="263"/>
    </row>
    <row r="30" spans="4:55" ht="14.9" customHeight="1">
      <c r="D30" s="1406" t="s">
        <v>918</v>
      </c>
      <c r="E30" s="1407"/>
      <c r="F30" s="1408"/>
      <c r="G30" s="494">
        <v>2020</v>
      </c>
      <c r="H30" s="495">
        <v>2021</v>
      </c>
      <c r="I30" s="494">
        <v>2022</v>
      </c>
      <c r="J30" s="903">
        <v>2023</v>
      </c>
      <c r="K30" s="903">
        <v>2024</v>
      </c>
      <c r="L30" s="904">
        <v>2025</v>
      </c>
      <c r="M30" s="904">
        <v>2026</v>
      </c>
      <c r="AH30" s="263"/>
      <c r="AI30" s="263"/>
      <c r="AJ30" s="263"/>
      <c r="AK30" s="263"/>
      <c r="AL30" s="263"/>
      <c r="AM30" s="263"/>
      <c r="AN30" s="263"/>
    </row>
    <row r="31" spans="4:55" ht="14.9" customHeight="1">
      <c r="D31" s="868" t="s">
        <v>491</v>
      </c>
      <c r="E31" s="287"/>
      <c r="F31" s="308"/>
      <c r="G31" s="779">
        <f>AVERAGE(H10:K10)</f>
        <v>1719.875</v>
      </c>
      <c r="H31" s="460">
        <f>AVERAGE(L10:O10)</f>
        <v>2049.6750000000002</v>
      </c>
      <c r="I31" s="460">
        <f>AVERAGE(P10:S10)</f>
        <v>2449.1750000000002</v>
      </c>
      <c r="J31" s="460">
        <f t="shared" ref="J31:M33" si="17">I31*J55/I55</f>
        <v>2025.1858667265676</v>
      </c>
      <c r="K31" s="460">
        <f t="shared" si="17"/>
        <v>2276.5874608731669</v>
      </c>
      <c r="L31" s="460">
        <f t="shared" si="17"/>
        <v>2372.614582925713</v>
      </c>
      <c r="M31" s="460">
        <f t="shared" si="17"/>
        <v>2478.8175037279489</v>
      </c>
      <c r="N31" t="s">
        <v>1947</v>
      </c>
    </row>
    <row r="32" spans="4:55" ht="14.9" customHeight="1">
      <c r="D32" s="893" t="s">
        <v>496</v>
      </c>
      <c r="E32" s="234"/>
      <c r="F32" s="234"/>
      <c r="G32" s="780">
        <f>AVERAGE(H12:K12)</f>
        <v>1424.3</v>
      </c>
      <c r="H32" s="231">
        <f>AVERAGE(L12:O12)</f>
        <v>1507.5250000000001</v>
      </c>
      <c r="I32" s="231">
        <f>AVERAGE(P12:S12)</f>
        <v>1656.6750000000002</v>
      </c>
      <c r="J32" s="231">
        <f t="shared" si="17"/>
        <v>1802.8864298974202</v>
      </c>
      <c r="K32" s="231">
        <f t="shared" si="17"/>
        <v>1874.3528079555063</v>
      </c>
      <c r="L32" s="231">
        <f t="shared" si="17"/>
        <v>1939.9486178705331</v>
      </c>
      <c r="M32" s="231">
        <f t="shared" si="17"/>
        <v>2025.9948204817445</v>
      </c>
    </row>
    <row r="33" spans="3:33" ht="14.9" customHeight="1">
      <c r="D33" s="893" t="s">
        <v>105</v>
      </c>
      <c r="E33" s="234"/>
      <c r="F33" s="234"/>
      <c r="G33" s="780">
        <f>AVERAGE(H14:K14)</f>
        <v>160.35</v>
      </c>
      <c r="H33" s="231">
        <f>AVERAGE(L14:O14)</f>
        <v>170.32500000000002</v>
      </c>
      <c r="I33" s="231">
        <f>AVERAGE(P14:S14)</f>
        <v>196.72500000000002</v>
      </c>
      <c r="J33" s="231">
        <f t="shared" si="17"/>
        <v>163.38639095744685</v>
      </c>
      <c r="K33" s="231">
        <f t="shared" si="17"/>
        <v>170.08445864361704</v>
      </c>
      <c r="L33" s="231">
        <f t="shared" si="17"/>
        <v>180.63122074468086</v>
      </c>
      <c r="M33" s="231">
        <f t="shared" si="17"/>
        <v>187.05931476063833</v>
      </c>
    </row>
    <row r="34" spans="3:33" ht="14.9" customHeight="1">
      <c r="D34" s="893" t="s">
        <v>258</v>
      </c>
      <c r="E34" s="234"/>
      <c r="F34" s="234"/>
      <c r="G34" s="780">
        <f>AVERAGE(H16:K16)</f>
        <v>217.32499999999999</v>
      </c>
      <c r="H34" s="231">
        <f>AVERAGE(L16:O16)</f>
        <v>266.65000000000003</v>
      </c>
      <c r="I34" s="231">
        <f>AVERAGE(P16:S16)</f>
        <v>351.52499999999998</v>
      </c>
      <c r="J34" s="231">
        <f>I34*J60/I60</f>
        <v>347.15396959519092</v>
      </c>
      <c r="K34" s="231">
        <f>J34*K60/J60</f>
        <v>434.7053031889979</v>
      </c>
      <c r="L34" s="231">
        <f>K34*L60/K60</f>
        <v>405.48567233981447</v>
      </c>
      <c r="M34" s="231">
        <f>L34*M60/L60</f>
        <v>389.24096081832658</v>
      </c>
    </row>
    <row r="35" spans="3:33" ht="14.9" customHeight="1">
      <c r="C35" s="56"/>
      <c r="D35" s="893" t="s">
        <v>914</v>
      </c>
      <c r="E35" s="56"/>
      <c r="F35" s="240"/>
      <c r="G35" s="548"/>
      <c r="H35" s="778">
        <f>H31/G31-1+0.021</f>
        <v>0.21275812195653762</v>
      </c>
      <c r="I35" s="778">
        <f>I31/H31-1.05</f>
        <v>0.14490894897971618</v>
      </c>
      <c r="J35" s="778">
        <f>J31/I31-1</f>
        <v>-0.17311508294565825</v>
      </c>
      <c r="K35" s="778">
        <f>K31/J31-1+K36</f>
        <v>0.17913754128797815</v>
      </c>
      <c r="L35" s="778">
        <f>L31/K31-1+L36</f>
        <v>4.2180291204676923E-2</v>
      </c>
      <c r="M35" s="778">
        <f>M31/L31-1+M36</f>
        <v>4.4761977594892421E-2</v>
      </c>
      <c r="N35" t="s">
        <v>901</v>
      </c>
    </row>
    <row r="36" spans="3:33" ht="14.9" customHeight="1">
      <c r="C36" s="56"/>
      <c r="D36" s="893" t="s">
        <v>1915</v>
      </c>
      <c r="E36" s="56"/>
      <c r="F36" s="240"/>
      <c r="G36" s="548"/>
      <c r="H36" s="778"/>
      <c r="I36" s="778"/>
      <c r="J36" s="778"/>
      <c r="K36" s="778">
        <v>5.5E-2</v>
      </c>
      <c r="L36" s="778"/>
      <c r="M36" s="778"/>
    </row>
    <row r="37" spans="3:33" ht="14.9" customHeight="1">
      <c r="C37" s="56"/>
      <c r="D37" s="893" t="s">
        <v>915</v>
      </c>
      <c r="E37" s="56"/>
      <c r="F37" s="240"/>
      <c r="G37" s="548"/>
      <c r="H37" s="778">
        <f>H32/G32-1.03</f>
        <v>2.8432212314821292E-2</v>
      </c>
      <c r="I37" s="778">
        <f>I32/H32-1.013</f>
        <v>8.5936999386411639E-2</v>
      </c>
      <c r="J37" s="851">
        <f>J32/I32-1</f>
        <v>8.8255952372927604E-2</v>
      </c>
      <c r="K37" s="778">
        <f>K32/J32-1</f>
        <v>3.9639977800571824E-2</v>
      </c>
      <c r="L37" s="778">
        <f>L32/K32-1</f>
        <v>3.4996511668780705E-2</v>
      </c>
      <c r="M37" s="778">
        <f>M32/L32-1</f>
        <v>4.4354887453495362E-2</v>
      </c>
      <c r="N37" t="s">
        <v>902</v>
      </c>
    </row>
    <row r="38" spans="3:33" ht="14.9" customHeight="1">
      <c r="C38" s="56"/>
      <c r="D38" s="893" t="s">
        <v>916</v>
      </c>
      <c r="E38" s="56"/>
      <c r="F38" s="240"/>
      <c r="G38" s="548"/>
      <c r="H38" s="778">
        <f>H33/G33-1</f>
        <v>6.2207670720299424E-2</v>
      </c>
      <c r="I38" s="778">
        <f>I33/H33-1.01</f>
        <v>0.14499779832672832</v>
      </c>
      <c r="J38" s="778">
        <f>J33/I33-1</f>
        <v>-0.16946808510638289</v>
      </c>
      <c r="K38" s="778">
        <f t="shared" ref="K38" si="18">K33/J33-1</f>
        <v>4.0995260663506894E-2</v>
      </c>
      <c r="L38" s="778">
        <f>L33/K33-1</f>
        <v>6.2008970044481027E-2</v>
      </c>
      <c r="M38" s="778">
        <f>M33/L33-1</f>
        <v>3.55868381415827E-2</v>
      </c>
    </row>
    <row r="39" spans="3:33" ht="14.9" customHeight="1">
      <c r="C39" s="56"/>
      <c r="D39" s="852" t="s">
        <v>917</v>
      </c>
      <c r="E39" s="57"/>
      <c r="F39" s="358"/>
      <c r="G39" s="357"/>
      <c r="H39" s="853">
        <f>H34/G34-1</f>
        <v>0.22696422408834716</v>
      </c>
      <c r="I39" s="853">
        <f>I34/H34-1.103</f>
        <v>0.21530114382148868</v>
      </c>
      <c r="J39" s="853">
        <f>J34/I34-1</f>
        <v>-1.2434479495936457E-2</v>
      </c>
      <c r="K39" s="853">
        <f>K34/J34-1-0.15</f>
        <v>0.10219741458206225</v>
      </c>
      <c r="L39" s="853">
        <f>L34/K34-1+0.15</f>
        <v>8.2782897666929228E-2</v>
      </c>
      <c r="M39" s="853">
        <f>M34/L34-1+0.03</f>
        <v>-1.0062356402753797E-2</v>
      </c>
    </row>
    <row r="40" spans="3:33" ht="14.9" customHeight="1">
      <c r="D40" s="865"/>
      <c r="E40" s="864"/>
      <c r="F40" s="877"/>
      <c r="G40" s="877"/>
      <c r="H40" s="848"/>
      <c r="I40" s="848"/>
      <c r="J40" s="848"/>
      <c r="K40" s="848"/>
      <c r="L40" s="848"/>
    </row>
    <row r="41" spans="3:33" ht="14.9" customHeight="1">
      <c r="D41" s="865"/>
      <c r="E41" s="864"/>
      <c r="F41" s="877"/>
      <c r="G41" s="877"/>
      <c r="H41" s="848"/>
      <c r="I41" s="848"/>
      <c r="J41" s="848"/>
      <c r="K41" s="848"/>
      <c r="L41" s="848"/>
    </row>
    <row r="42" spans="3:33" ht="14.9" customHeight="1">
      <c r="D42" s="865"/>
      <c r="E42" s="864"/>
      <c r="F42" s="1403" t="s">
        <v>280</v>
      </c>
      <c r="G42" s="1404"/>
      <c r="H42" s="1404"/>
      <c r="I42" s="1404"/>
      <c r="J42" s="1404"/>
      <c r="K42" s="1404"/>
      <c r="L42" s="1404"/>
      <c r="M42" s="1404"/>
      <c r="N42" s="1404"/>
      <c r="O42" s="1404"/>
      <c r="P42" s="1404"/>
      <c r="Q42" s="1404"/>
      <c r="R42" s="1404"/>
      <c r="S42" s="1404"/>
      <c r="T42" s="1404"/>
      <c r="U42" s="1404"/>
      <c r="V42" s="1405"/>
      <c r="W42" s="1331" t="s">
        <v>281</v>
      </c>
      <c r="X42" s="1332"/>
      <c r="Y42" s="1332"/>
      <c r="Z42" s="1332"/>
      <c r="AA42" s="1332"/>
      <c r="AB42" s="1332"/>
      <c r="AC42" s="1332"/>
      <c r="AD42" s="1332"/>
      <c r="AE42" s="1332"/>
      <c r="AF42" s="1332"/>
      <c r="AG42" s="1332"/>
    </row>
    <row r="43" spans="3:33" ht="14.9" customHeight="1">
      <c r="D43" s="865"/>
      <c r="E43" s="864"/>
      <c r="F43" s="1299">
        <v>2019</v>
      </c>
      <c r="G43" s="1300"/>
      <c r="H43" s="1301"/>
      <c r="I43" s="1300">
        <v>2020</v>
      </c>
      <c r="J43" s="1300"/>
      <c r="K43" s="1300"/>
      <c r="L43" s="1300"/>
      <c r="M43" s="1311">
        <v>2021</v>
      </c>
      <c r="N43" s="1312"/>
      <c r="O43" s="1312"/>
      <c r="P43" s="1312"/>
      <c r="Q43" s="1311">
        <v>2022</v>
      </c>
      <c r="R43" s="1333"/>
      <c r="S43" s="1333"/>
      <c r="T43" s="1313"/>
      <c r="U43" s="288"/>
      <c r="V43" s="288">
        <v>2023</v>
      </c>
      <c r="W43" s="553"/>
      <c r="X43" s="260"/>
      <c r="Y43" s="1308">
        <v>2024</v>
      </c>
      <c r="Z43" s="1321"/>
      <c r="AA43" s="1321"/>
      <c r="AB43" s="1310"/>
      <c r="AC43" s="1308">
        <v>2025</v>
      </c>
      <c r="AD43" s="1321"/>
      <c r="AE43" s="1321"/>
      <c r="AF43" s="1310"/>
      <c r="AG43" s="503">
        <v>2026</v>
      </c>
    </row>
    <row r="44" spans="3:33" ht="14.9" customHeight="1">
      <c r="D44" s="865"/>
      <c r="E44" s="864"/>
      <c r="F44" s="214"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5" t="s">
        <v>283</v>
      </c>
      <c r="V44" s="286" t="s">
        <v>284</v>
      </c>
      <c r="W44" s="326" t="s">
        <v>238</v>
      </c>
      <c r="X44" s="432" t="s">
        <v>282</v>
      </c>
      <c r="Y44" s="433" t="s">
        <v>283</v>
      </c>
      <c r="Z44" s="333" t="s">
        <v>284</v>
      </c>
      <c r="AA44" s="326" t="s">
        <v>238</v>
      </c>
      <c r="AB44" s="326" t="s">
        <v>282</v>
      </c>
      <c r="AC44" s="269" t="s">
        <v>283</v>
      </c>
      <c r="AD44" s="267" t="s">
        <v>284</v>
      </c>
      <c r="AE44" s="270" t="s">
        <v>238</v>
      </c>
      <c r="AF44" s="270" t="s">
        <v>282</v>
      </c>
      <c r="AG44" s="269" t="s">
        <v>283</v>
      </c>
    </row>
    <row r="45" spans="3:33" ht="14.9" customHeight="1">
      <c r="D45" s="893" t="s">
        <v>914</v>
      </c>
      <c r="E45" s="864"/>
      <c r="F45" s="877"/>
      <c r="G45" s="877"/>
      <c r="H45" s="848"/>
      <c r="I45" s="848"/>
      <c r="J45" s="848"/>
      <c r="K45" s="848"/>
      <c r="L45" s="848"/>
    </row>
    <row r="46" spans="3:33" ht="14.9" customHeight="1">
      <c r="D46" s="893" t="s">
        <v>1915</v>
      </c>
      <c r="E46" s="864"/>
      <c r="F46" s="877"/>
      <c r="G46" s="877"/>
      <c r="H46" s="848"/>
      <c r="I46" s="848"/>
      <c r="J46" s="848"/>
      <c r="K46" s="848"/>
      <c r="L46" s="848"/>
      <c r="M46" s="843">
        <f>H35</f>
        <v>0.21275812195653762</v>
      </c>
      <c r="N46" s="843">
        <f>H35</f>
        <v>0.21275812195653762</v>
      </c>
      <c r="O46" s="843">
        <f>H35</f>
        <v>0.21275812195653762</v>
      </c>
      <c r="P46" s="843">
        <f>H35</f>
        <v>0.21275812195653762</v>
      </c>
      <c r="Q46" s="843">
        <f>I35</f>
        <v>0.14490894897971618</v>
      </c>
      <c r="R46" s="843">
        <f>I35</f>
        <v>0.14490894897971618</v>
      </c>
      <c r="S46" s="843">
        <f>I35</f>
        <v>0.14490894897971618</v>
      </c>
      <c r="T46" s="843">
        <f>I35</f>
        <v>0.14490894897971618</v>
      </c>
      <c r="U46" s="843">
        <f>J35</f>
        <v>-0.17311508294565825</v>
      </c>
      <c r="V46" s="843">
        <f>J35</f>
        <v>-0.17311508294565825</v>
      </c>
      <c r="W46" s="843">
        <f>J35</f>
        <v>-0.17311508294565825</v>
      </c>
      <c r="X46" s="843">
        <f>J35</f>
        <v>-0.17311508294565825</v>
      </c>
      <c r="Y46" s="843">
        <f>K35</f>
        <v>0.17913754128797815</v>
      </c>
      <c r="Z46" s="843">
        <f>K35</f>
        <v>0.17913754128797815</v>
      </c>
      <c r="AA46" s="843">
        <f>K35</f>
        <v>0.17913754128797815</v>
      </c>
      <c r="AB46" s="843">
        <f t="shared" ref="AB46:AC50" si="19">K35</f>
        <v>0.17913754128797815</v>
      </c>
      <c r="AC46" s="843">
        <f t="shared" si="19"/>
        <v>4.2180291204676923E-2</v>
      </c>
      <c r="AD46" s="843">
        <f>L35</f>
        <v>4.2180291204676923E-2</v>
      </c>
      <c r="AE46" s="843">
        <f>L35</f>
        <v>4.2180291204676923E-2</v>
      </c>
      <c r="AF46" s="843">
        <f>L35</f>
        <v>4.2180291204676923E-2</v>
      </c>
      <c r="AG46" s="843">
        <f>L35</f>
        <v>4.2180291204676923E-2</v>
      </c>
    </row>
    <row r="47" spans="3:33" ht="14.9" customHeight="1">
      <c r="D47" s="893" t="s">
        <v>915</v>
      </c>
      <c r="E47" s="864"/>
      <c r="F47" s="877"/>
      <c r="G47" s="877"/>
      <c r="H47" s="848"/>
      <c r="I47" s="848"/>
      <c r="J47" s="848"/>
      <c r="K47" s="848"/>
      <c r="L47" s="848"/>
      <c r="Y47" s="843">
        <f>K36</f>
        <v>5.5E-2</v>
      </c>
      <c r="Z47" s="843">
        <f>K36</f>
        <v>5.5E-2</v>
      </c>
      <c r="AA47" s="843">
        <f>K36</f>
        <v>5.5E-2</v>
      </c>
      <c r="AB47" s="843">
        <f t="shared" si="19"/>
        <v>5.5E-2</v>
      </c>
      <c r="AC47" s="843">
        <f t="shared" si="19"/>
        <v>0</v>
      </c>
      <c r="AD47" s="843">
        <f>L36</f>
        <v>0</v>
      </c>
      <c r="AE47" s="843">
        <f>L36</f>
        <v>0</v>
      </c>
      <c r="AF47" s="843">
        <f>L36</f>
        <v>0</v>
      </c>
      <c r="AG47" s="843">
        <f>L36</f>
        <v>0</v>
      </c>
    </row>
    <row r="48" spans="3:33" ht="14.9" customHeight="1">
      <c r="D48" s="893" t="s">
        <v>916</v>
      </c>
      <c r="E48" s="864"/>
      <c r="F48" s="877"/>
      <c r="G48" s="877"/>
      <c r="H48" s="848"/>
      <c r="I48" s="848"/>
      <c r="J48" s="848"/>
      <c r="K48" s="848"/>
      <c r="L48" s="848"/>
      <c r="M48" s="843">
        <f>H37</f>
        <v>2.8432212314821292E-2</v>
      </c>
      <c r="N48" s="843">
        <f>H37</f>
        <v>2.8432212314821292E-2</v>
      </c>
      <c r="O48" s="491">
        <f>H37</f>
        <v>2.8432212314821292E-2</v>
      </c>
      <c r="P48" s="843">
        <f t="shared" ref="P48:Q50" si="20">H37</f>
        <v>2.8432212314821292E-2</v>
      </c>
      <c r="Q48" s="843">
        <f t="shared" si="20"/>
        <v>8.5936999386411639E-2</v>
      </c>
      <c r="R48" s="843">
        <f>I37</f>
        <v>8.5936999386411639E-2</v>
      </c>
      <c r="S48" s="843">
        <f>I37</f>
        <v>8.5936999386411639E-2</v>
      </c>
      <c r="T48" s="843">
        <f t="shared" ref="T48:U50" si="21">I37</f>
        <v>8.5936999386411639E-2</v>
      </c>
      <c r="U48" s="491">
        <f t="shared" si="21"/>
        <v>8.8255952372927604E-2</v>
      </c>
      <c r="V48" s="491">
        <f>J37</f>
        <v>8.8255952372927604E-2</v>
      </c>
      <c r="W48" s="491">
        <f>J37</f>
        <v>8.8255952372927604E-2</v>
      </c>
      <c r="X48" s="491">
        <f>J37</f>
        <v>8.8255952372927604E-2</v>
      </c>
      <c r="Y48" s="843">
        <f>K37</f>
        <v>3.9639977800571824E-2</v>
      </c>
      <c r="Z48" s="843">
        <f>K37</f>
        <v>3.9639977800571824E-2</v>
      </c>
      <c r="AA48" s="843">
        <f>K37</f>
        <v>3.9639977800571824E-2</v>
      </c>
      <c r="AB48" s="843">
        <f t="shared" si="19"/>
        <v>3.9639977800571824E-2</v>
      </c>
      <c r="AC48" s="843">
        <f t="shared" si="19"/>
        <v>3.4996511668780705E-2</v>
      </c>
      <c r="AD48" s="843">
        <f>L37</f>
        <v>3.4996511668780705E-2</v>
      </c>
      <c r="AE48" s="843">
        <f>L37</f>
        <v>3.4996511668780705E-2</v>
      </c>
      <c r="AF48" s="843">
        <f>L37</f>
        <v>3.4996511668780705E-2</v>
      </c>
      <c r="AG48" s="843">
        <f>L37</f>
        <v>3.4996511668780705E-2</v>
      </c>
    </row>
    <row r="49" spans="4:40" ht="14.9" customHeight="1">
      <c r="D49" s="852" t="s">
        <v>917</v>
      </c>
      <c r="E49" s="864"/>
      <c r="F49" s="877"/>
      <c r="G49" s="877"/>
      <c r="H49" s="848"/>
      <c r="I49" s="848"/>
      <c r="J49" s="848"/>
      <c r="K49" s="848"/>
      <c r="L49" s="848"/>
      <c r="M49" s="843">
        <f>H38</f>
        <v>6.2207670720299424E-2</v>
      </c>
      <c r="N49" s="843">
        <f>H38</f>
        <v>6.2207670720299424E-2</v>
      </c>
      <c r="O49" s="843">
        <f>H38</f>
        <v>6.2207670720299424E-2</v>
      </c>
      <c r="P49" s="843">
        <f t="shared" si="20"/>
        <v>6.2207670720299424E-2</v>
      </c>
      <c r="Q49" s="843">
        <f t="shared" si="20"/>
        <v>0.14499779832672832</v>
      </c>
      <c r="R49" s="843">
        <f>I38</f>
        <v>0.14499779832672832</v>
      </c>
      <c r="S49" s="843">
        <f>I38</f>
        <v>0.14499779832672832</v>
      </c>
      <c r="T49" s="843">
        <f t="shared" si="21"/>
        <v>0.14499779832672832</v>
      </c>
      <c r="U49" s="843">
        <f t="shared" si="21"/>
        <v>-0.16946808510638289</v>
      </c>
      <c r="V49" s="843">
        <f>J38</f>
        <v>-0.16946808510638289</v>
      </c>
      <c r="W49" s="843">
        <f>J38</f>
        <v>-0.16946808510638289</v>
      </c>
      <c r="X49" s="843">
        <f>J38</f>
        <v>-0.16946808510638289</v>
      </c>
      <c r="Y49" s="843">
        <f>K38</f>
        <v>4.0995260663506894E-2</v>
      </c>
      <c r="Z49" s="843">
        <f>K38</f>
        <v>4.0995260663506894E-2</v>
      </c>
      <c r="AA49" s="843">
        <f>K38</f>
        <v>4.0995260663506894E-2</v>
      </c>
      <c r="AB49" s="843">
        <f t="shared" si="19"/>
        <v>4.0995260663506894E-2</v>
      </c>
      <c r="AC49" s="843">
        <f t="shared" si="19"/>
        <v>6.2008970044481027E-2</v>
      </c>
      <c r="AD49" s="843">
        <f>L38</f>
        <v>6.2008970044481027E-2</v>
      </c>
      <c r="AE49" s="843">
        <f>L38</f>
        <v>6.2008970044481027E-2</v>
      </c>
      <c r="AF49" s="843">
        <f>L38</f>
        <v>6.2008970044481027E-2</v>
      </c>
      <c r="AG49" s="843">
        <f>L38</f>
        <v>6.2008970044481027E-2</v>
      </c>
    </row>
    <row r="50" spans="4:40" ht="14.9" customHeight="1">
      <c r="D50" s="865"/>
      <c r="E50" s="864"/>
      <c r="F50" s="877"/>
      <c r="G50" s="877"/>
      <c r="H50" s="848"/>
      <c r="I50" s="848"/>
      <c r="J50" s="848"/>
      <c r="K50" s="848"/>
      <c r="L50" s="848"/>
      <c r="M50" s="843">
        <f>H39</f>
        <v>0.22696422408834716</v>
      </c>
      <c r="N50" s="843">
        <f>H39</f>
        <v>0.22696422408834716</v>
      </c>
      <c r="O50" s="843">
        <f>H39</f>
        <v>0.22696422408834716</v>
      </c>
      <c r="P50" s="843">
        <f t="shared" si="20"/>
        <v>0.22696422408834716</v>
      </c>
      <c r="Q50" s="843">
        <f t="shared" si="20"/>
        <v>0.21530114382148868</v>
      </c>
      <c r="R50" s="843">
        <f>I39</f>
        <v>0.21530114382148868</v>
      </c>
      <c r="S50" s="843">
        <f>I39</f>
        <v>0.21530114382148868</v>
      </c>
      <c r="T50" s="843">
        <f t="shared" si="21"/>
        <v>0.21530114382148868</v>
      </c>
      <c r="U50" s="843">
        <f t="shared" si="21"/>
        <v>-1.2434479495936457E-2</v>
      </c>
      <c r="V50" s="843">
        <f>J39</f>
        <v>-1.2434479495936457E-2</v>
      </c>
      <c r="W50" s="843">
        <f>J39</f>
        <v>-1.2434479495936457E-2</v>
      </c>
      <c r="X50" s="843">
        <f>J39</f>
        <v>-1.2434479495936457E-2</v>
      </c>
      <c r="Y50" s="843">
        <f>K39</f>
        <v>0.10219741458206225</v>
      </c>
      <c r="Z50" s="843">
        <f>K39</f>
        <v>0.10219741458206225</v>
      </c>
      <c r="AA50" s="843">
        <f>K39</f>
        <v>0.10219741458206225</v>
      </c>
      <c r="AB50" s="843">
        <f t="shared" si="19"/>
        <v>0.10219741458206225</v>
      </c>
      <c r="AC50" s="843">
        <f t="shared" si="19"/>
        <v>8.2782897666929228E-2</v>
      </c>
      <c r="AD50" s="843">
        <f>L39</f>
        <v>8.2782897666929228E-2</v>
      </c>
      <c r="AE50" s="843">
        <f>L39</f>
        <v>8.2782897666929228E-2</v>
      </c>
      <c r="AF50" s="843">
        <f>L39</f>
        <v>8.2782897666929228E-2</v>
      </c>
      <c r="AG50" s="843">
        <f>L39</f>
        <v>8.2782897666929228E-2</v>
      </c>
    </row>
    <row r="51" spans="4:40" ht="14.9" customHeight="1">
      <c r="D51" s="865"/>
      <c r="E51" s="864"/>
      <c r="F51" s="877"/>
      <c r="G51" s="877"/>
      <c r="H51" s="848"/>
      <c r="I51" s="848"/>
      <c r="J51" s="795"/>
      <c r="K51" s="848"/>
      <c r="L51" s="848"/>
    </row>
    <row r="52" spans="4:40" ht="14.9" customHeight="1">
      <c r="D52" s="865"/>
      <c r="E52" s="864"/>
      <c r="F52" s="877"/>
      <c r="G52" s="877"/>
      <c r="H52" s="848"/>
      <c r="I52" s="848"/>
      <c r="J52" s="848"/>
      <c r="K52" s="848"/>
      <c r="L52" s="848"/>
    </row>
    <row r="53" spans="4:40" ht="41.9" customHeight="1">
      <c r="F53" s="240"/>
      <c r="G53" s="240"/>
      <c r="H53" s="717"/>
      <c r="I53" s="717"/>
      <c r="J53" s="717"/>
      <c r="K53" s="717"/>
      <c r="L53" s="717"/>
      <c r="M53" s="240" t="s">
        <v>1963</v>
      </c>
      <c r="N53" s="283"/>
      <c r="AF53" s="717"/>
      <c r="AG53" s="717"/>
      <c r="AH53" s="717"/>
      <c r="AI53" s="717"/>
      <c r="AJ53" s="717"/>
      <c r="AK53" s="717"/>
      <c r="AM53" s="717"/>
      <c r="AN53" s="717"/>
    </row>
    <row r="54" spans="4:40" ht="30.75" customHeight="1">
      <c r="D54" s="821" t="s">
        <v>1964</v>
      </c>
      <c r="E54" s="658">
        <v>2018</v>
      </c>
      <c r="F54" s="823">
        <v>2019</v>
      </c>
      <c r="G54" s="823">
        <v>2020</v>
      </c>
      <c r="H54" s="823">
        <v>2021</v>
      </c>
      <c r="I54" s="824">
        <v>2022</v>
      </c>
      <c r="J54" s="759">
        <v>2023</v>
      </c>
      <c r="K54" s="760">
        <v>2024</v>
      </c>
      <c r="L54" s="761">
        <v>2025</v>
      </c>
      <c r="M54" s="761">
        <v>2026</v>
      </c>
      <c r="N54" s="902"/>
      <c r="O54" s="223"/>
    </row>
    <row r="55" spans="4:40" ht="30.75" customHeight="1">
      <c r="D55" s="825" t="s">
        <v>491</v>
      </c>
      <c r="E55" s="826">
        <v>1683.5</v>
      </c>
      <c r="F55" s="826">
        <v>1717.9</v>
      </c>
      <c r="G55" s="826">
        <v>1609</v>
      </c>
      <c r="H55" s="367">
        <v>2044.377</v>
      </c>
      <c r="I55" s="460">
        <v>2632.145</v>
      </c>
      <c r="J55" s="460">
        <v>2176.4810000000002</v>
      </c>
      <c r="K55" s="460">
        <v>2446.6640000000002</v>
      </c>
      <c r="L55" s="460">
        <v>2549.8649999999998</v>
      </c>
      <c r="M55" s="894">
        <f>2841.002-147-30</f>
        <v>2664.002</v>
      </c>
      <c r="N55" s="783">
        <v>3121.953</v>
      </c>
      <c r="O55" s="223">
        <v>3224.15</v>
      </c>
      <c r="P55">
        <v>3326.8539999999998</v>
      </c>
      <c r="Q55">
        <v>3455.0859999999998</v>
      </c>
      <c r="R55">
        <v>3583.2</v>
      </c>
      <c r="S55">
        <v>3710.4380000000001</v>
      </c>
      <c r="T55">
        <v>3858.924</v>
      </c>
      <c r="U55">
        <v>4020.6480000000001</v>
      </c>
    </row>
    <row r="56" spans="4:40" ht="16.5" customHeight="1">
      <c r="D56" s="906" t="s">
        <v>492</v>
      </c>
      <c r="E56" s="762">
        <v>1170.7</v>
      </c>
      <c r="F56" s="762">
        <v>1243.4000000000001</v>
      </c>
      <c r="G56" s="762">
        <v>1310</v>
      </c>
      <c r="H56" s="436">
        <v>1314.088</v>
      </c>
      <c r="I56" s="231">
        <v>1483.5260000000001</v>
      </c>
      <c r="J56" s="231">
        <v>1614.4559999999999</v>
      </c>
      <c r="K56" s="231">
        <v>1678.453</v>
      </c>
      <c r="L56" s="231">
        <v>1737.193</v>
      </c>
      <c r="M56" s="781">
        <v>1814.2460000000001</v>
      </c>
      <c r="N56" s="898">
        <v>1885.5429999999999</v>
      </c>
      <c r="O56" s="872">
        <v>1960.0719999999999</v>
      </c>
      <c r="P56" s="895">
        <v>2038.2460000000001</v>
      </c>
      <c r="Q56">
        <v>2118.127</v>
      </c>
      <c r="R56">
        <v>2199.9830000000002</v>
      </c>
      <c r="S56">
        <v>2283.1770000000001</v>
      </c>
      <c r="T56">
        <v>2367.9110000000001</v>
      </c>
      <c r="U56">
        <v>2455.0839999999998</v>
      </c>
    </row>
    <row r="57" spans="4:40">
      <c r="D57" s="1235" t="s">
        <v>493</v>
      </c>
      <c r="E57" s="1234">
        <f t="shared" ref="E57:L57" si="22">E58+E59</f>
        <v>136.30000000000001</v>
      </c>
      <c r="F57" s="1234">
        <f t="shared" si="22"/>
        <v>170.6</v>
      </c>
      <c r="G57" s="1234">
        <f t="shared" si="22"/>
        <v>156</v>
      </c>
      <c r="H57" s="1234">
        <f t="shared" si="22"/>
        <v>155.25900000000001</v>
      </c>
      <c r="I57" s="1234">
        <f t="shared" si="22"/>
        <v>188</v>
      </c>
      <c r="J57" s="1234">
        <f t="shared" si="22"/>
        <v>156.14000000000001</v>
      </c>
      <c r="K57" s="1234">
        <f t="shared" si="22"/>
        <v>162.541</v>
      </c>
      <c r="L57" s="1234">
        <f t="shared" si="22"/>
        <v>172.61999999999998</v>
      </c>
      <c r="M57" s="1230">
        <f>M58+M59</f>
        <v>178.76300000000001</v>
      </c>
      <c r="N57" s="200"/>
      <c r="P57" s="899"/>
      <c r="Q57" s="899"/>
      <c r="R57" s="899"/>
      <c r="S57" s="899"/>
      <c r="T57" s="899"/>
      <c r="U57" s="899"/>
      <c r="V57" s="899"/>
      <c r="W57" s="899"/>
    </row>
    <row r="58" spans="4:40">
      <c r="D58" s="1236" t="s">
        <v>1949</v>
      </c>
      <c r="E58" s="1233">
        <v>95</v>
      </c>
      <c r="F58" s="1233">
        <v>99.8</v>
      </c>
      <c r="G58" s="1233">
        <v>87</v>
      </c>
      <c r="H58" s="1234">
        <v>75.274000000000001</v>
      </c>
      <c r="I58" s="1232">
        <v>88</v>
      </c>
      <c r="J58" s="1238">
        <v>75.802000000000007</v>
      </c>
      <c r="K58" s="1238">
        <v>89.162000000000006</v>
      </c>
      <c r="L58" s="1238">
        <v>96.432999999999979</v>
      </c>
      <c r="M58" s="1229">
        <v>98.983999999999995</v>
      </c>
      <c r="N58" s="1222">
        <v>99.646000000000001</v>
      </c>
      <c r="O58" s="1222">
        <v>99.663999999999987</v>
      </c>
      <c r="P58" s="1222">
        <v>99.603999999999999</v>
      </c>
      <c r="Q58" s="1222">
        <v>99.308000000000007</v>
      </c>
      <c r="R58" s="1222">
        <v>98.682000000000002</v>
      </c>
      <c r="S58" s="1222">
        <v>97.385000000000005</v>
      </c>
      <c r="T58" s="1222">
        <v>97.613</v>
      </c>
      <c r="U58" s="1222">
        <v>98.284999999999997</v>
      </c>
      <c r="V58" s="1223">
        <v>494.33099999999996</v>
      </c>
      <c r="W58" s="1223">
        <v>985.60399999999993</v>
      </c>
    </row>
    <row r="59" spans="4:40" ht="16.5" customHeight="1">
      <c r="D59" s="1231" t="s">
        <v>1948</v>
      </c>
      <c r="E59" s="1233">
        <v>41.3</v>
      </c>
      <c r="F59" s="1233">
        <v>70.8</v>
      </c>
      <c r="G59" s="1233">
        <v>69</v>
      </c>
      <c r="H59" s="1234">
        <v>79.984999999999999</v>
      </c>
      <c r="I59" s="1232">
        <v>100</v>
      </c>
      <c r="J59" s="1238">
        <v>80.338000000000008</v>
      </c>
      <c r="K59" s="1238">
        <v>73.378999999999991</v>
      </c>
      <c r="L59" s="1238">
        <v>76.186999999999998</v>
      </c>
      <c r="M59" s="1229">
        <v>79.779000000000011</v>
      </c>
      <c r="N59" s="1237">
        <v>83.01700000000001</v>
      </c>
      <c r="O59" s="1237">
        <v>85.426999999999992</v>
      </c>
      <c r="P59" s="1237">
        <v>87.106999999999985</v>
      </c>
      <c r="Q59" s="1237">
        <v>88.576999999999998</v>
      </c>
      <c r="R59" s="1237">
        <v>90.27300000000001</v>
      </c>
      <c r="S59" s="1237">
        <v>92.084999999999994</v>
      </c>
      <c r="T59" s="1237">
        <v>94.007999999999996</v>
      </c>
      <c r="U59" s="1237">
        <v>96.02600000000001</v>
      </c>
      <c r="V59" s="1238">
        <v>411.51699999999994</v>
      </c>
      <c r="W59" s="1238">
        <v>872.4860000000001</v>
      </c>
      <c r="X59" s="878"/>
      <c r="Y59" s="878"/>
      <c r="Z59" s="896"/>
    </row>
    <row r="60" spans="4:40" ht="16.5" customHeight="1">
      <c r="D60" s="827" t="s">
        <v>106</v>
      </c>
      <c r="E60" s="828">
        <v>204.7</v>
      </c>
      <c r="F60" s="828">
        <v>230.2</v>
      </c>
      <c r="G60" s="828">
        <v>212</v>
      </c>
      <c r="H60" s="861">
        <v>371.83100000000002</v>
      </c>
      <c r="I60" s="485">
        <v>424.86700000000002</v>
      </c>
      <c r="J60" s="485">
        <v>419.584</v>
      </c>
      <c r="K60" s="485">
        <v>525.40200000000004</v>
      </c>
      <c r="L60" s="485">
        <v>490.08600000000001</v>
      </c>
      <c r="M60" s="794">
        <v>470.452</v>
      </c>
      <c r="N60" s="878">
        <v>459.399</v>
      </c>
      <c r="O60" s="897">
        <v>461.55399999999997</v>
      </c>
      <c r="P60" s="895">
        <v>460.858</v>
      </c>
      <c r="Q60" s="895">
        <v>462.81099999999998</v>
      </c>
      <c r="R60" s="895">
        <v>465.98700000000002</v>
      </c>
      <c r="S60" s="895">
        <v>471.01</v>
      </c>
      <c r="T60" s="895">
        <v>495.30399999999997</v>
      </c>
      <c r="U60" s="895">
        <v>506.70400000000001</v>
      </c>
      <c r="V60" s="895"/>
      <c r="W60" s="895"/>
      <c r="X60" s="878"/>
      <c r="Y60" s="878"/>
      <c r="Z60" s="896"/>
    </row>
    <row r="61" spans="4:40" ht="16.5" customHeight="1"/>
    <row r="62" spans="4:40">
      <c r="D62" s="610" t="s">
        <v>494</v>
      </c>
      <c r="E62" s="658">
        <v>2018</v>
      </c>
      <c r="F62" s="719">
        <v>2019</v>
      </c>
      <c r="G62" s="758">
        <v>2020</v>
      </c>
      <c r="H62" s="719">
        <v>2021</v>
      </c>
      <c r="I62" s="719">
        <v>2022</v>
      </c>
      <c r="J62" s="765">
        <v>2023</v>
      </c>
      <c r="K62" s="765">
        <v>2024</v>
      </c>
      <c r="L62" s="905">
        <v>2025</v>
      </c>
      <c r="M62" s="761">
        <v>2026</v>
      </c>
      <c r="O62" s="514" t="s">
        <v>495</v>
      </c>
    </row>
    <row r="63" spans="4:40" ht="14.9" customHeight="1">
      <c r="D63" s="868" t="s">
        <v>491</v>
      </c>
      <c r="E63" s="308">
        <v>1622</v>
      </c>
      <c r="F63" s="308">
        <v>1687</v>
      </c>
      <c r="G63" s="767">
        <f t="shared" ref="G63:M66" si="23">G31</f>
        <v>1719.875</v>
      </c>
      <c r="H63" s="767">
        <f t="shared" si="23"/>
        <v>2049.6750000000002</v>
      </c>
      <c r="I63" s="767">
        <f t="shared" si="23"/>
        <v>2449.1750000000002</v>
      </c>
      <c r="J63" s="1224">
        <f t="shared" si="23"/>
        <v>2025.1858667265676</v>
      </c>
      <c r="K63" s="1224">
        <f t="shared" si="23"/>
        <v>2276.5874608731669</v>
      </c>
      <c r="L63" s="1224">
        <f t="shared" si="23"/>
        <v>2372.614582925713</v>
      </c>
      <c r="M63" s="1224">
        <f t="shared" si="23"/>
        <v>2478.8175037279489</v>
      </c>
    </row>
    <row r="64" spans="4:40">
      <c r="D64" s="893" t="s">
        <v>496</v>
      </c>
      <c r="E64" s="234">
        <v>1332</v>
      </c>
      <c r="F64" s="234">
        <v>1388</v>
      </c>
      <c r="G64" s="766">
        <f t="shared" si="23"/>
        <v>1424.3</v>
      </c>
      <c r="H64" s="766">
        <f t="shared" si="23"/>
        <v>1507.5250000000001</v>
      </c>
      <c r="I64" s="766">
        <f t="shared" si="23"/>
        <v>1656.6750000000002</v>
      </c>
      <c r="J64" s="1224">
        <f t="shared" ref="J64:M64" si="24">J32</f>
        <v>1802.8864298974202</v>
      </c>
      <c r="K64" s="1224">
        <f t="shared" si="24"/>
        <v>1874.3528079555063</v>
      </c>
      <c r="L64" s="1224">
        <f t="shared" si="24"/>
        <v>1939.9486178705331</v>
      </c>
      <c r="M64" s="1224">
        <f t="shared" si="24"/>
        <v>2025.9948204817445</v>
      </c>
      <c r="N64" s="876"/>
    </row>
    <row r="65" spans="4:22">
      <c r="D65" s="893" t="s">
        <v>105</v>
      </c>
      <c r="E65" s="234">
        <v>150</v>
      </c>
      <c r="F65" s="234">
        <v>175</v>
      </c>
      <c r="G65" s="766">
        <f t="shared" si="23"/>
        <v>160.35</v>
      </c>
      <c r="H65" s="766">
        <f t="shared" si="23"/>
        <v>170.32500000000002</v>
      </c>
      <c r="I65" s="766">
        <f t="shared" si="23"/>
        <v>196.72500000000002</v>
      </c>
      <c r="J65" s="1224">
        <f t="shared" ref="J65:M65" si="25">J33</f>
        <v>163.38639095744685</v>
      </c>
      <c r="K65" s="1224">
        <f t="shared" si="25"/>
        <v>170.08445864361704</v>
      </c>
      <c r="L65" s="1224">
        <f t="shared" si="25"/>
        <v>180.63122074468086</v>
      </c>
      <c r="M65" s="1224">
        <f t="shared" si="25"/>
        <v>187.05931476063833</v>
      </c>
      <c r="N65" s="876"/>
    </row>
    <row r="66" spans="4:22">
      <c r="D66" s="852" t="s">
        <v>258</v>
      </c>
      <c r="E66" s="563">
        <v>208</v>
      </c>
      <c r="F66" s="563">
        <v>219</v>
      </c>
      <c r="G66" s="768">
        <f t="shared" si="23"/>
        <v>217.32499999999999</v>
      </c>
      <c r="H66" s="768">
        <f t="shared" si="23"/>
        <v>266.65000000000003</v>
      </c>
      <c r="I66" s="768">
        <f t="shared" si="23"/>
        <v>351.52499999999998</v>
      </c>
      <c r="J66" s="1224">
        <f t="shared" ref="J66:M66" si="26">J34</f>
        <v>347.15396959519092</v>
      </c>
      <c r="K66" s="1224">
        <f t="shared" si="26"/>
        <v>434.7053031889979</v>
      </c>
      <c r="L66" s="1224">
        <f t="shared" si="26"/>
        <v>405.48567233981447</v>
      </c>
      <c r="M66" s="1224">
        <f t="shared" si="26"/>
        <v>389.24096081832658</v>
      </c>
      <c r="O66" s="1290" t="s">
        <v>896</v>
      </c>
      <c r="P66" s="1290" t="s">
        <v>896</v>
      </c>
      <c r="Q66" s="1290" t="s">
        <v>896</v>
      </c>
      <c r="R66" s="1290" t="s">
        <v>896</v>
      </c>
      <c r="S66" s="1290" t="s">
        <v>896</v>
      </c>
      <c r="T66" s="1290" t="s">
        <v>896</v>
      </c>
      <c r="U66" s="1290" t="s">
        <v>896</v>
      </c>
      <c r="V66" s="1291" t="s">
        <v>896</v>
      </c>
    </row>
    <row r="67" spans="4:22" ht="14.9" customHeight="1">
      <c r="D67" s="265"/>
      <c r="E67" s="234"/>
      <c r="F67" s="234"/>
      <c r="G67" s="234"/>
      <c r="P67" s="1292">
        <v>2022</v>
      </c>
      <c r="Q67" s="1293">
        <v>2022</v>
      </c>
      <c r="R67" s="1293">
        <v>2022</v>
      </c>
      <c r="S67" s="1294">
        <v>2022</v>
      </c>
    </row>
    <row r="68" spans="4:22" ht="17.25" customHeight="1">
      <c r="D68" s="469" t="s">
        <v>498</v>
      </c>
      <c r="E68" s="234"/>
      <c r="F68" s="234"/>
      <c r="G68" s="234"/>
      <c r="P68" s="186" t="s">
        <v>897</v>
      </c>
      <c r="Q68" s="186" t="s">
        <v>898</v>
      </c>
      <c r="R68" s="186" t="s">
        <v>899</v>
      </c>
      <c r="S68" s="186" t="s">
        <v>900</v>
      </c>
      <c r="T68" s="125" t="s">
        <v>913</v>
      </c>
    </row>
    <row r="69" spans="4:22" ht="30" customHeight="1">
      <c r="D69" s="776" t="s">
        <v>499</v>
      </c>
      <c r="E69" s="719">
        <v>2018</v>
      </c>
      <c r="F69" s="719">
        <v>2019</v>
      </c>
      <c r="G69" s="758">
        <v>2020</v>
      </c>
      <c r="H69" s="658">
        <v>2021</v>
      </c>
      <c r="I69" s="719">
        <v>2022</v>
      </c>
      <c r="J69" s="765">
        <v>2023</v>
      </c>
      <c r="K69" s="765">
        <v>2024</v>
      </c>
      <c r="L69" s="905">
        <v>2025</v>
      </c>
      <c r="M69" s="761">
        <v>2026</v>
      </c>
      <c r="O69" s="30" t="s">
        <v>497</v>
      </c>
      <c r="P69" s="190">
        <v>2973</v>
      </c>
      <c r="Q69" s="190">
        <v>3062.8</v>
      </c>
      <c r="R69" s="190">
        <v>3085.2</v>
      </c>
      <c r="S69" s="822">
        <v>2106.1999999999998</v>
      </c>
      <c r="T69" s="190">
        <v>3123.2</v>
      </c>
    </row>
    <row r="70" spans="4:22">
      <c r="D70" s="868" t="s">
        <v>491</v>
      </c>
      <c r="E70" s="777">
        <f t="shared" ref="E70:M72" si="27">E63/E55</f>
        <v>0.96346896346896349</v>
      </c>
      <c r="F70" s="777">
        <f t="shared" si="27"/>
        <v>0.98201292275452579</v>
      </c>
      <c r="G70" s="777">
        <f t="shared" si="27"/>
        <v>1.0689092604101926</v>
      </c>
      <c r="H70" s="777">
        <f t="shared" si="27"/>
        <v>1.0025914985347615</v>
      </c>
      <c r="I70" s="777">
        <f t="shared" si="27"/>
        <v>0.93048635238560196</v>
      </c>
      <c r="J70" s="1227">
        <f>J63/J55</f>
        <v>0.93048635238560196</v>
      </c>
      <c r="K70" s="777">
        <f t="shared" si="27"/>
        <v>0.93048635238560207</v>
      </c>
      <c r="L70" s="777">
        <f t="shared" si="27"/>
        <v>0.93048635238560207</v>
      </c>
      <c r="M70" s="1226">
        <f t="shared" si="27"/>
        <v>0.93048635238560218</v>
      </c>
      <c r="T70" s="223"/>
    </row>
    <row r="71" spans="4:22">
      <c r="D71" s="893" t="s">
        <v>496</v>
      </c>
      <c r="E71" s="842">
        <f t="shared" si="27"/>
        <v>1.1377808148970701</v>
      </c>
      <c r="F71" s="842">
        <f t="shared" si="27"/>
        <v>1.1162940324915553</v>
      </c>
      <c r="G71" s="842">
        <f t="shared" si="27"/>
        <v>1.0872519083969465</v>
      </c>
      <c r="H71" s="842">
        <f t="shared" si="27"/>
        <v>1.1472024704585995</v>
      </c>
      <c r="I71" s="842">
        <f t="shared" si="27"/>
        <v>1.1167145031499279</v>
      </c>
      <c r="J71" s="967">
        <f t="shared" si="27"/>
        <v>1.1167145031499282</v>
      </c>
      <c r="K71" s="1228">
        <f t="shared" ref="K71:M71" si="28">K64/K56</f>
        <v>1.1167145031499282</v>
      </c>
      <c r="L71" s="1228">
        <f t="shared" si="28"/>
        <v>1.1167145031499282</v>
      </c>
      <c r="M71" s="1225">
        <f t="shared" si="28"/>
        <v>1.1167145031499282</v>
      </c>
    </row>
    <row r="72" spans="4:22">
      <c r="D72" s="893" t="s">
        <v>105</v>
      </c>
      <c r="E72" s="842">
        <f t="shared" si="27"/>
        <v>1.1005135730007336</v>
      </c>
      <c r="F72" s="842">
        <f t="shared" si="27"/>
        <v>1.0257913247362251</v>
      </c>
      <c r="G72" s="842">
        <f t="shared" si="27"/>
        <v>1.0278846153846153</v>
      </c>
      <c r="H72" s="842">
        <f t="shared" si="27"/>
        <v>1.097037852878094</v>
      </c>
      <c r="I72" s="842">
        <f t="shared" si="27"/>
        <v>1.0464095744680852</v>
      </c>
      <c r="J72" s="967">
        <f t="shared" si="27"/>
        <v>1.0464095744680852</v>
      </c>
      <c r="K72" s="1228">
        <f t="shared" ref="K72:M72" si="29">K65/K57</f>
        <v>1.0464095744680852</v>
      </c>
      <c r="L72" s="1228">
        <f t="shared" si="29"/>
        <v>1.0464095744680852</v>
      </c>
      <c r="M72" s="1225">
        <f t="shared" si="29"/>
        <v>1.0464095744680852</v>
      </c>
    </row>
    <row r="73" spans="4:22">
      <c r="D73" s="852" t="s">
        <v>258</v>
      </c>
      <c r="E73" s="854">
        <f t="shared" ref="E73:I73" si="30">E66/E60</f>
        <v>1.0161211529066927</v>
      </c>
      <c r="F73" s="854">
        <f t="shared" si="30"/>
        <v>0.95134665508253702</v>
      </c>
      <c r="G73" s="854">
        <f t="shared" si="30"/>
        <v>1.0251179245283017</v>
      </c>
      <c r="H73" s="854">
        <f t="shared" si="30"/>
        <v>0.71712686677549753</v>
      </c>
      <c r="I73" s="854">
        <f t="shared" si="30"/>
        <v>0.82737656725516451</v>
      </c>
      <c r="J73" s="968">
        <f t="shared" ref="J73:M73" si="31">J66/J58</f>
        <v>4.5797468351124095</v>
      </c>
      <c r="K73" s="854">
        <f t="shared" si="31"/>
        <v>4.8754548259235762</v>
      </c>
      <c r="L73" s="854">
        <f t="shared" si="31"/>
        <v>4.2048434907118368</v>
      </c>
      <c r="M73" s="982">
        <f t="shared" si="31"/>
        <v>3.9323624102716259</v>
      </c>
    </row>
    <row r="75" spans="4:22">
      <c r="D75" s="265"/>
      <c r="E75" s="234"/>
      <c r="F75" s="234"/>
      <c r="G75" s="234"/>
    </row>
    <row r="76" spans="4:22">
      <c r="D76" s="240"/>
    </row>
    <row r="77" spans="4:22" ht="30" customHeight="1">
      <c r="D77" s="399" t="s">
        <v>1965</v>
      </c>
      <c r="E77" s="658">
        <v>2018</v>
      </c>
      <c r="F77" s="823">
        <v>2019</v>
      </c>
      <c r="G77" s="823">
        <v>2020</v>
      </c>
      <c r="H77" s="836">
        <v>2021</v>
      </c>
      <c r="I77" s="823">
        <v>2022</v>
      </c>
      <c r="J77" s="829">
        <v>2023</v>
      </c>
      <c r="K77" s="829">
        <v>2024</v>
      </c>
      <c r="L77" s="782">
        <v>2025</v>
      </c>
      <c r="M77" s="761">
        <v>2026</v>
      </c>
    </row>
    <row r="78" spans="4:22">
      <c r="D78" s="562" t="s">
        <v>1951</v>
      </c>
      <c r="E78" s="367">
        <v>14016.099999999999</v>
      </c>
      <c r="F78" s="367">
        <v>14604.2</v>
      </c>
      <c r="G78" s="367">
        <v>14711.300000000001</v>
      </c>
      <c r="H78" s="880">
        <v>21015.3</v>
      </c>
      <c r="I78" s="714">
        <v>21593.3</v>
      </c>
      <c r="J78" s="714">
        <v>22717.9</v>
      </c>
      <c r="K78" s="714">
        <v>24019.200000000001</v>
      </c>
      <c r="L78" s="714">
        <v>25601.3</v>
      </c>
      <c r="M78" s="763">
        <v>26829.599999999999</v>
      </c>
      <c r="N78">
        <v>27946.1</v>
      </c>
      <c r="O78">
        <v>29114.3</v>
      </c>
      <c r="P78">
        <v>30350.5</v>
      </c>
      <c r="Q78">
        <v>31638.799999999999</v>
      </c>
      <c r="R78">
        <v>32975.4</v>
      </c>
      <c r="S78">
        <v>34369.5</v>
      </c>
      <c r="T78">
        <v>35806.400000000001</v>
      </c>
      <c r="U78">
        <v>37320.199999999997</v>
      </c>
    </row>
    <row r="79" spans="4:22">
      <c r="D79" s="893" t="s">
        <v>501</v>
      </c>
      <c r="E79" s="234">
        <v>8804</v>
      </c>
      <c r="F79" s="234">
        <v>9209</v>
      </c>
      <c r="G79" s="436">
        <v>9300</v>
      </c>
      <c r="H79" s="775">
        <v>10074.1</v>
      </c>
      <c r="I79" s="439">
        <v>10975.3</v>
      </c>
      <c r="J79" s="439">
        <v>11633.3</v>
      </c>
      <c r="K79" s="439">
        <v>12314.7</v>
      </c>
      <c r="L79" s="439">
        <v>12911.1</v>
      </c>
      <c r="M79" s="764">
        <v>13456.5</v>
      </c>
      <c r="N79">
        <v>13986.1</v>
      </c>
      <c r="O79">
        <v>14525.5</v>
      </c>
      <c r="P79">
        <v>15089.5</v>
      </c>
      <c r="Q79">
        <v>15670.2</v>
      </c>
      <c r="R79">
        <v>16264.2</v>
      </c>
      <c r="S79">
        <v>16872.900000000001</v>
      </c>
      <c r="T79">
        <v>17495.7</v>
      </c>
      <c r="U79">
        <v>18140.7</v>
      </c>
    </row>
    <row r="80" spans="4:22">
      <c r="D80" s="893" t="s">
        <v>502</v>
      </c>
      <c r="E80" s="234">
        <v>13844</v>
      </c>
      <c r="F80" s="234">
        <v>14403</v>
      </c>
      <c r="G80" s="436">
        <v>14201</v>
      </c>
      <c r="H80" s="775">
        <v>15545.1</v>
      </c>
      <c r="I80" s="439">
        <v>17212</v>
      </c>
      <c r="J80" s="439">
        <v>18321.3</v>
      </c>
      <c r="K80" s="439">
        <v>19338.099999999999</v>
      </c>
      <c r="L80" s="439">
        <v>20190.099999999999</v>
      </c>
      <c r="M80" s="764">
        <v>20873.900000000001</v>
      </c>
      <c r="N80">
        <v>21571.5</v>
      </c>
      <c r="O80">
        <v>22340.1</v>
      </c>
      <c r="P80">
        <v>23227.9</v>
      </c>
      <c r="Q80">
        <v>24187.599999999999</v>
      </c>
      <c r="R80">
        <v>25198.1</v>
      </c>
      <c r="S80">
        <v>26280.5</v>
      </c>
      <c r="T80">
        <v>27389</v>
      </c>
      <c r="U80">
        <v>28538.6</v>
      </c>
    </row>
    <row r="81" spans="4:25">
      <c r="D81" s="852" t="s">
        <v>1950</v>
      </c>
      <c r="E81" s="861">
        <v>2335</v>
      </c>
      <c r="F81" s="861">
        <v>2442</v>
      </c>
      <c r="G81" s="861">
        <v>2392</v>
      </c>
      <c r="H81" s="830">
        <v>2796</v>
      </c>
      <c r="I81" s="837">
        <v>3144.3</v>
      </c>
      <c r="J81" s="837">
        <v>3216.6</v>
      </c>
      <c r="K81" s="837">
        <v>3412.7</v>
      </c>
      <c r="L81" s="837">
        <v>3518.9</v>
      </c>
      <c r="M81" s="769">
        <v>3584.9</v>
      </c>
      <c r="N81">
        <v>3652.1</v>
      </c>
      <c r="O81">
        <v>3702.7</v>
      </c>
      <c r="P81">
        <v>3767.6</v>
      </c>
      <c r="Q81">
        <v>3875.9</v>
      </c>
      <c r="R81">
        <v>4003.6</v>
      </c>
      <c r="S81">
        <v>4146.8999999999996</v>
      </c>
      <c r="T81">
        <v>4293.6000000000004</v>
      </c>
      <c r="U81">
        <v>4443.3999999999996</v>
      </c>
    </row>
    <row r="83" spans="4:25">
      <c r="D83" s="240" t="s">
        <v>503</v>
      </c>
    </row>
    <row r="84" spans="4:25">
      <c r="D84" s="610" t="s">
        <v>504</v>
      </c>
      <c r="E84" s="719">
        <v>2018</v>
      </c>
      <c r="F84" s="823">
        <v>2019</v>
      </c>
      <c r="G84" s="823">
        <v>2020</v>
      </c>
      <c r="H84" s="836">
        <v>2021</v>
      </c>
      <c r="I84" s="823">
        <v>2022</v>
      </c>
      <c r="J84" s="829">
        <v>2023</v>
      </c>
      <c r="K84" s="829">
        <v>2024</v>
      </c>
      <c r="L84" s="782">
        <v>2025</v>
      </c>
      <c r="M84" s="761">
        <v>2026</v>
      </c>
    </row>
    <row r="85" spans="4:25">
      <c r="D85" s="770" t="s">
        <v>491</v>
      </c>
      <c r="E85" s="771">
        <f t="shared" ref="E85:L87" si="32">E55/E78</f>
        <v>0.12011187134794987</v>
      </c>
      <c r="F85" s="771">
        <f t="shared" si="32"/>
        <v>0.11763054463784391</v>
      </c>
      <c r="G85" s="771">
        <f t="shared" si="32"/>
        <v>0.10937170746297063</v>
      </c>
      <c r="H85" s="771">
        <f t="shared" si="32"/>
        <v>9.7280409987009472E-2</v>
      </c>
      <c r="I85" s="771">
        <f t="shared" si="32"/>
        <v>0.12189637526454966</v>
      </c>
      <c r="J85" s="771">
        <f t="shared" si="32"/>
        <v>9.5804673847494706E-2</v>
      </c>
      <c r="K85" s="771">
        <f t="shared" si="32"/>
        <v>0.10186284305888622</v>
      </c>
      <c r="L85" s="771">
        <f t="shared" si="32"/>
        <v>9.9599043798557094E-2</v>
      </c>
      <c r="M85" s="771">
        <f>M55/M78</f>
        <v>9.9293392372603401E-2</v>
      </c>
    </row>
    <row r="86" spans="4:25">
      <c r="D86" s="784" t="s">
        <v>492</v>
      </c>
      <c r="E86" s="889">
        <f t="shared" si="32"/>
        <v>0.13297364834166289</v>
      </c>
      <c r="F86" s="889">
        <f>F56/F79</f>
        <v>0.13502008904332718</v>
      </c>
      <c r="G86" s="889">
        <f>G56/G79</f>
        <v>0.14086021505376345</v>
      </c>
      <c r="H86" s="889">
        <f t="shared" si="32"/>
        <v>0.13044222312663165</v>
      </c>
      <c r="I86" s="889">
        <f t="shared" si="32"/>
        <v>0.13516951700636887</v>
      </c>
      <c r="J86" s="889">
        <f t="shared" si="32"/>
        <v>0.13877885036919876</v>
      </c>
      <c r="K86" s="889">
        <f t="shared" si="32"/>
        <v>0.13629670231511931</v>
      </c>
      <c r="L86" s="889">
        <f t="shared" si="32"/>
        <v>0.13455034815004144</v>
      </c>
      <c r="M86" s="889">
        <f t="shared" ref="M86" si="33">M56/M79</f>
        <v>0.1348230223312154</v>
      </c>
    </row>
    <row r="87" spans="4:25">
      <c r="D87" s="893" t="s">
        <v>505</v>
      </c>
      <c r="E87" s="889">
        <f t="shared" si="32"/>
        <v>9.8454203987286912E-3</v>
      </c>
      <c r="F87" s="889">
        <f t="shared" si="32"/>
        <v>1.1844754565021176E-2</v>
      </c>
      <c r="G87" s="889">
        <f t="shared" si="32"/>
        <v>1.0985141891416098E-2</v>
      </c>
      <c r="H87" s="889">
        <f t="shared" si="32"/>
        <v>9.9876488411139216E-3</v>
      </c>
      <c r="I87" s="889">
        <f t="shared" si="32"/>
        <v>1.0922612131071346E-2</v>
      </c>
      <c r="J87" s="889">
        <f t="shared" si="32"/>
        <v>8.5223210143385037E-3</v>
      </c>
      <c r="K87" s="889">
        <f t="shared" si="32"/>
        <v>8.4052207817727695E-3</v>
      </c>
      <c r="L87" s="889">
        <f t="shared" si="32"/>
        <v>8.5497347710016287E-3</v>
      </c>
      <c r="M87" s="889">
        <f t="shared" ref="M87" si="34">M57/M80</f>
        <v>8.5639482799093596E-3</v>
      </c>
    </row>
    <row r="88" spans="4:25">
      <c r="D88" s="785" t="s">
        <v>106</v>
      </c>
      <c r="E88" s="856">
        <f t="shared" ref="E88:L88" si="35">E60/E81</f>
        <v>8.7665952890792292E-2</v>
      </c>
      <c r="F88" s="856">
        <f t="shared" si="35"/>
        <v>9.4266994266994267E-2</v>
      </c>
      <c r="G88" s="856">
        <f t="shared" si="35"/>
        <v>8.8628762541806017E-2</v>
      </c>
      <c r="H88" s="856">
        <f t="shared" si="35"/>
        <v>0.13298676680972818</v>
      </c>
      <c r="I88" s="856">
        <f t="shared" si="35"/>
        <v>0.13512292084088667</v>
      </c>
      <c r="J88" s="856">
        <f t="shared" si="35"/>
        <v>0.13044332525026425</v>
      </c>
      <c r="K88" s="856">
        <f t="shared" si="35"/>
        <v>0.1539549330442172</v>
      </c>
      <c r="L88" s="856">
        <f t="shared" si="35"/>
        <v>0.13927249992895507</v>
      </c>
      <c r="M88" s="856">
        <f t="shared" ref="M88" si="36">M60/M81</f>
        <v>0.1312315545761388</v>
      </c>
    </row>
    <row r="90" spans="4:25">
      <c r="D90" s="240" t="s">
        <v>506</v>
      </c>
    </row>
    <row r="91" spans="4:25">
      <c r="D91" s="789" t="s">
        <v>352</v>
      </c>
    </row>
    <row r="92" spans="4:25">
      <c r="D92" s="610" t="s">
        <v>507</v>
      </c>
      <c r="E92" s="719">
        <v>2018</v>
      </c>
      <c r="F92" s="823">
        <v>2019</v>
      </c>
      <c r="G92" s="823">
        <v>2020</v>
      </c>
      <c r="H92" s="836">
        <v>2021</v>
      </c>
      <c r="I92" s="823">
        <v>2022</v>
      </c>
      <c r="J92" s="829">
        <v>2023</v>
      </c>
      <c r="K92" s="829">
        <v>2024</v>
      </c>
      <c r="L92" s="782">
        <v>2025</v>
      </c>
      <c r="M92" s="761">
        <v>2026</v>
      </c>
    </row>
    <row r="93" spans="4:25" ht="20.25" customHeight="1">
      <c r="D93" s="770" t="s">
        <v>491</v>
      </c>
      <c r="E93" s="771">
        <f t="shared" ref="E93:G96" si="37">E85*E70</f>
        <v>0.11572406018792676</v>
      </c>
      <c r="F93" s="771">
        <f t="shared" si="37"/>
        <v>0.11551471494501581</v>
      </c>
      <c r="G93" s="771">
        <f t="shared" si="37"/>
        <v>0.11690843093404389</v>
      </c>
      <c r="H93" s="771">
        <f>N112</f>
        <v>0.13265203887386032</v>
      </c>
      <c r="I93" s="771">
        <f>H93</f>
        <v>0.13265203887386032</v>
      </c>
      <c r="J93" s="771">
        <f t="shared" ref="J93" si="38">I93</f>
        <v>0.13265203887386032</v>
      </c>
      <c r="K93" s="771">
        <f>J93</f>
        <v>0.13265203887386032</v>
      </c>
      <c r="L93" s="771">
        <f>K93</f>
        <v>0.13265203887386032</v>
      </c>
      <c r="M93" s="772"/>
      <c r="N93" s="786"/>
      <c r="O93" s="889"/>
      <c r="P93" s="889"/>
      <c r="Q93" s="889"/>
      <c r="R93" s="889"/>
      <c r="S93" s="889"/>
      <c r="T93" s="889"/>
      <c r="U93" s="889"/>
      <c r="V93" s="889"/>
      <c r="W93" s="889"/>
      <c r="X93" s="889"/>
      <c r="Y93" s="889"/>
    </row>
    <row r="94" spans="4:25" ht="18.75" customHeight="1">
      <c r="D94" s="784" t="s">
        <v>492</v>
      </c>
      <c r="E94" s="889">
        <f t="shared" si="37"/>
        <v>0.15129486597001363</v>
      </c>
      <c r="F94" s="889">
        <f t="shared" si="37"/>
        <v>0.15072211966554458</v>
      </c>
      <c r="G94" s="889">
        <f t="shared" si="37"/>
        <v>0.15315053763440861</v>
      </c>
      <c r="H94" s="889">
        <f>N114</f>
        <v>0.14928290766208252</v>
      </c>
      <c r="I94" s="889">
        <f>H94</f>
        <v>0.14928290766208252</v>
      </c>
      <c r="J94" s="889">
        <f>I94</f>
        <v>0.14928290766208252</v>
      </c>
      <c r="K94" s="889">
        <f t="shared" ref="K94:L94" si="39">J94</f>
        <v>0.14928290766208252</v>
      </c>
      <c r="L94" s="889">
        <f t="shared" si="39"/>
        <v>0.14928290766208252</v>
      </c>
      <c r="M94" s="773"/>
      <c r="N94" s="786"/>
      <c r="O94" s="889"/>
      <c r="P94" s="889"/>
      <c r="Q94" s="889"/>
      <c r="R94" s="889"/>
      <c r="S94" s="889"/>
      <c r="T94" s="889"/>
      <c r="U94" s="889"/>
      <c r="V94" s="889"/>
      <c r="W94" s="889"/>
      <c r="X94" s="889"/>
      <c r="Y94" s="889"/>
    </row>
    <row r="95" spans="4:25" ht="19.399999999999999" customHeight="1">
      <c r="D95" s="893" t="s">
        <v>105</v>
      </c>
      <c r="E95" s="889">
        <f t="shared" si="37"/>
        <v>1.0835018780699219E-2</v>
      </c>
      <c r="F95" s="889">
        <f t="shared" si="37"/>
        <v>1.2150246476428523E-2</v>
      </c>
      <c r="G95" s="889">
        <f t="shared" si="37"/>
        <v>1.1291458348003661E-2</v>
      </c>
      <c r="H95" s="889">
        <f>N115</f>
        <v>1.1315975901046335E-2</v>
      </c>
      <c r="I95" s="889">
        <f>AVERAGE($F72:$G72)*I87</f>
        <v>1.1215752868426621E-2</v>
      </c>
      <c r="J95" s="889">
        <f>AVERAGE($F72:$G72)*J87</f>
        <v>8.7510428105666109E-3</v>
      </c>
      <c r="K95" s="889">
        <f>J95</f>
        <v>8.7510428105666109E-3</v>
      </c>
      <c r="L95" s="889">
        <f>K95</f>
        <v>8.7510428105666109E-3</v>
      </c>
      <c r="M95" s="773"/>
      <c r="N95" s="786"/>
      <c r="O95" s="889"/>
      <c r="P95" s="889"/>
      <c r="Q95" s="889"/>
      <c r="R95" s="889"/>
      <c r="S95" s="889"/>
      <c r="T95" s="889"/>
      <c r="U95" s="889"/>
      <c r="V95" s="889"/>
      <c r="W95" s="889"/>
      <c r="X95" s="889"/>
      <c r="Y95" s="889"/>
    </row>
    <row r="96" spans="4:25" ht="19.399999999999999" customHeight="1">
      <c r="D96" s="785" t="s">
        <v>106</v>
      </c>
      <c r="E96" s="856">
        <f t="shared" si="37"/>
        <v>8.9079229122055667E-2</v>
      </c>
      <c r="F96" s="856">
        <f t="shared" si="37"/>
        <v>8.9680589680589687E-2</v>
      </c>
      <c r="G96" s="856">
        <f t="shared" si="37"/>
        <v>9.085493311036788E-2</v>
      </c>
      <c r="H96" s="856">
        <f>M116</f>
        <v>0.11063848447640764</v>
      </c>
      <c r="I96" s="856">
        <f>N116</f>
        <v>0.10992248062015504</v>
      </c>
      <c r="J96" s="856">
        <f>I96</f>
        <v>0.10992248062015504</v>
      </c>
      <c r="K96" s="856">
        <f>J96</f>
        <v>0.10992248062015504</v>
      </c>
      <c r="L96" s="856">
        <f>K96</f>
        <v>0.10992248062015504</v>
      </c>
      <c r="M96" s="774"/>
      <c r="N96" s="786"/>
      <c r="O96" s="889"/>
      <c r="P96" s="889"/>
      <c r="Q96" s="889"/>
      <c r="R96" s="889"/>
      <c r="S96" s="889"/>
      <c r="T96" s="889"/>
      <c r="U96" s="889"/>
      <c r="V96" s="889"/>
      <c r="W96" s="889"/>
      <c r="X96" s="889"/>
      <c r="Y96" s="889"/>
    </row>
    <row r="97" spans="4:68">
      <c r="E97" s="681"/>
      <c r="F97" s="681"/>
      <c r="G97" s="681"/>
      <c r="H97" s="681"/>
      <c r="I97" s="681"/>
      <c r="J97" s="681"/>
      <c r="K97" s="681"/>
      <c r="L97" s="681"/>
    </row>
    <row r="98" spans="4:68">
      <c r="D98" s="788" t="s">
        <v>365</v>
      </c>
      <c r="E98" s="889"/>
      <c r="F98" s="889"/>
      <c r="G98" s="889"/>
      <c r="H98" s="889"/>
      <c r="I98" s="889"/>
      <c r="J98" s="889"/>
      <c r="K98" s="889"/>
      <c r="L98" s="889"/>
      <c r="M98" s="889"/>
      <c r="N98" s="889"/>
      <c r="O98" s="889"/>
      <c r="P98" s="889"/>
      <c r="Q98" s="889"/>
      <c r="R98" s="889"/>
      <c r="S98" s="889"/>
      <c r="T98" s="889"/>
      <c r="U98" s="889"/>
      <c r="V98" s="889"/>
      <c r="W98" s="889"/>
      <c r="X98" s="889"/>
      <c r="Y98" s="889"/>
    </row>
    <row r="99" spans="4:68">
      <c r="D99" s="1393" t="s">
        <v>1966</v>
      </c>
      <c r="E99" s="1412"/>
      <c r="F99" s="1311">
        <v>2019</v>
      </c>
      <c r="G99" s="1312"/>
      <c r="H99" s="1313"/>
      <c r="I99" s="1311">
        <v>2020</v>
      </c>
      <c r="J99" s="1312"/>
      <c r="K99" s="1312"/>
      <c r="L99" s="1313"/>
      <c r="M99" s="1311">
        <v>2021</v>
      </c>
      <c r="N99" s="1312"/>
      <c r="O99" s="1312"/>
      <c r="P99" s="1312"/>
      <c r="Q99" s="1311">
        <v>2022</v>
      </c>
      <c r="R99" s="1333"/>
      <c r="S99" s="1333"/>
      <c r="T99" s="1313"/>
      <c r="U99" s="288"/>
      <c r="V99" s="288">
        <v>2023</v>
      </c>
      <c r="W99" s="553"/>
      <c r="X99" s="260"/>
      <c r="Y99" s="1308">
        <v>2024</v>
      </c>
      <c r="Z99" s="1321"/>
      <c r="AA99" s="1321"/>
      <c r="AB99" s="1310"/>
      <c r="AC99" s="1308">
        <v>2025</v>
      </c>
      <c r="AD99" s="1321"/>
      <c r="AE99" s="1321"/>
      <c r="AF99" s="1310"/>
      <c r="AG99" s="340">
        <v>2026</v>
      </c>
    </row>
    <row r="100" spans="4:68">
      <c r="D100" s="1413"/>
      <c r="E100" s="1414"/>
      <c r="F100" s="214" t="s">
        <v>284</v>
      </c>
      <c r="G100" s="215" t="s">
        <v>238</v>
      </c>
      <c r="H100" s="216" t="s">
        <v>282</v>
      </c>
      <c r="I100" s="214" t="s">
        <v>283</v>
      </c>
      <c r="J100" s="215" t="s">
        <v>284</v>
      </c>
      <c r="K100" s="215" t="s">
        <v>238</v>
      </c>
      <c r="L100" s="216" t="s">
        <v>282</v>
      </c>
      <c r="M100" s="214" t="s">
        <v>283</v>
      </c>
      <c r="N100" s="215" t="s">
        <v>284</v>
      </c>
      <c r="O100" s="215" t="s">
        <v>238</v>
      </c>
      <c r="P100" s="215" t="s">
        <v>282</v>
      </c>
      <c r="Q100" s="214" t="s">
        <v>283</v>
      </c>
      <c r="R100" s="215" t="s">
        <v>284</v>
      </c>
      <c r="S100" s="215" t="s">
        <v>238</v>
      </c>
      <c r="T100" s="216" t="s">
        <v>282</v>
      </c>
      <c r="U100" s="215" t="s">
        <v>283</v>
      </c>
      <c r="V100" s="286" t="s">
        <v>284</v>
      </c>
      <c r="W100" s="270" t="s">
        <v>238</v>
      </c>
      <c r="X100" s="271" t="s">
        <v>282</v>
      </c>
      <c r="Y100" s="269" t="s">
        <v>283</v>
      </c>
      <c r="Z100" s="267" t="s">
        <v>284</v>
      </c>
      <c r="AA100" s="270" t="s">
        <v>238</v>
      </c>
      <c r="AB100" s="270" t="s">
        <v>282</v>
      </c>
      <c r="AC100" s="269" t="s">
        <v>283</v>
      </c>
      <c r="AD100" s="267" t="s">
        <v>284</v>
      </c>
      <c r="AE100" s="270" t="s">
        <v>238</v>
      </c>
      <c r="AF100" s="270" t="s">
        <v>282</v>
      </c>
      <c r="AG100" s="272" t="s">
        <v>283</v>
      </c>
    </row>
    <row r="101" spans="4:68">
      <c r="D101" s="792" t="s">
        <v>500</v>
      </c>
      <c r="E101" s="831"/>
      <c r="F101" s="367">
        <f t="shared" ref="F101:AC101" si="40">F102+F103</f>
        <v>0</v>
      </c>
      <c r="G101" s="367">
        <f t="shared" si="40"/>
        <v>0</v>
      </c>
      <c r="H101" s="367">
        <f t="shared" si="40"/>
        <v>0</v>
      </c>
      <c r="I101" s="367">
        <f t="shared" si="40"/>
        <v>15134.800000000001</v>
      </c>
      <c r="J101" s="367">
        <f t="shared" si="40"/>
        <v>14265.5</v>
      </c>
      <c r="K101" s="367">
        <f t="shared" si="40"/>
        <v>14943.5</v>
      </c>
      <c r="L101" s="367">
        <f t="shared" si="40"/>
        <v>15319.300000000001</v>
      </c>
      <c r="M101" s="367">
        <f t="shared" si="40"/>
        <v>15399.800000000001</v>
      </c>
      <c r="N101" s="367">
        <f t="shared" si="40"/>
        <v>15959.6</v>
      </c>
      <c r="O101" s="367">
        <f t="shared" si="40"/>
        <v>16325.6</v>
      </c>
      <c r="P101" s="367">
        <f t="shared" si="40"/>
        <v>16677.3</v>
      </c>
      <c r="Q101" s="367">
        <f t="shared" si="40"/>
        <v>16822.5</v>
      </c>
      <c r="R101" s="367">
        <f t="shared" si="40"/>
        <v>17045.7</v>
      </c>
      <c r="S101" s="367">
        <f t="shared" si="40"/>
        <v>17425.3</v>
      </c>
      <c r="T101" s="808">
        <f t="shared" si="40"/>
        <v>17575.3</v>
      </c>
      <c r="U101" s="367">
        <f t="shared" si="40"/>
        <v>17915.599999999999</v>
      </c>
      <c r="V101" s="367">
        <f t="shared" si="40"/>
        <v>18121.099999999999</v>
      </c>
      <c r="W101" s="367">
        <f>W102+W103</f>
        <v>18358</v>
      </c>
      <c r="X101" s="367">
        <f t="shared" si="40"/>
        <v>18587</v>
      </c>
      <c r="Y101" s="834">
        <f t="shared" si="40"/>
        <v>18861</v>
      </c>
      <c r="Z101" s="834">
        <f t="shared" si="40"/>
        <v>19328.199999999997</v>
      </c>
      <c r="AA101" s="834">
        <f t="shared" si="40"/>
        <v>19684.3</v>
      </c>
      <c r="AB101" s="834">
        <f t="shared" si="40"/>
        <v>19956.400000000001</v>
      </c>
      <c r="AC101" s="834">
        <f t="shared" si="40"/>
        <v>20210.8</v>
      </c>
      <c r="AD101" s="834">
        <f t="shared" ref="AD101:AG101" si="41">AD102+AD103</f>
        <v>20461.5</v>
      </c>
      <c r="AE101" s="834">
        <f t="shared" si="41"/>
        <v>20706.900000000001</v>
      </c>
      <c r="AF101" s="834">
        <f t="shared" si="41"/>
        <v>20958.7</v>
      </c>
      <c r="AG101" s="833">
        <f t="shared" si="41"/>
        <v>21195.9</v>
      </c>
    </row>
    <row r="102" spans="4:68">
      <c r="D102" s="669" t="s">
        <v>501</v>
      </c>
      <c r="E102" s="603"/>
      <c r="F102" s="436"/>
      <c r="G102" s="436"/>
      <c r="H102" s="436"/>
      <c r="I102" s="223">
        <v>9624.7000000000007</v>
      </c>
      <c r="J102" s="439">
        <v>8995.7000000000007</v>
      </c>
      <c r="K102" s="439">
        <v>9425.4</v>
      </c>
      <c r="L102" s="439">
        <v>9783.7000000000007</v>
      </c>
      <c r="M102" s="439">
        <v>9878.7000000000007</v>
      </c>
      <c r="N102" s="439">
        <v>10170</v>
      </c>
      <c r="O102" s="439">
        <v>10447.700000000001</v>
      </c>
      <c r="P102" s="439">
        <v>10754.1</v>
      </c>
      <c r="Q102" s="439">
        <v>10886.7</v>
      </c>
      <c r="R102" s="439">
        <v>10988.9</v>
      </c>
      <c r="S102" s="439">
        <v>11271.4</v>
      </c>
      <c r="T102" s="439">
        <v>11317</v>
      </c>
      <c r="U102" s="439">
        <v>11565.4</v>
      </c>
      <c r="V102" s="439">
        <v>11733.3</v>
      </c>
      <c r="W102" s="439">
        <v>11917.5</v>
      </c>
      <c r="X102" s="439">
        <v>12049</v>
      </c>
      <c r="Y102" s="438">
        <v>12238.2</v>
      </c>
      <c r="Z102" s="438">
        <v>12410.3</v>
      </c>
      <c r="AA102" s="438">
        <v>12561.1</v>
      </c>
      <c r="AB102" s="438">
        <v>12703.8</v>
      </c>
      <c r="AC102" s="438">
        <v>12842</v>
      </c>
      <c r="AD102" s="438">
        <v>12980.8</v>
      </c>
      <c r="AE102" s="438">
        <v>13118</v>
      </c>
      <c r="AF102" s="438">
        <v>13255.1</v>
      </c>
      <c r="AG102" s="839">
        <v>13389.6</v>
      </c>
      <c r="AH102">
        <v>13523.9</v>
      </c>
      <c r="AI102">
        <v>13657.4</v>
      </c>
      <c r="AJ102">
        <v>13786.3</v>
      </c>
      <c r="AK102">
        <v>13919.5</v>
      </c>
      <c r="AL102">
        <v>14052.5</v>
      </c>
      <c r="AM102">
        <v>14186.3</v>
      </c>
      <c r="AN102">
        <v>14318</v>
      </c>
      <c r="AO102">
        <v>14454.9</v>
      </c>
      <c r="AP102">
        <v>14594.1</v>
      </c>
      <c r="AQ102">
        <v>14734.9</v>
      </c>
      <c r="AR102">
        <v>14873.8</v>
      </c>
      <c r="AS102">
        <v>15016.8</v>
      </c>
      <c r="AT102">
        <v>15161.1</v>
      </c>
      <c r="AU102">
        <v>15306.5</v>
      </c>
      <c r="AV102">
        <v>15449.3</v>
      </c>
      <c r="AW102">
        <v>15596</v>
      </c>
      <c r="AX102">
        <v>15743.5</v>
      </c>
      <c r="AY102">
        <v>15892</v>
      </c>
      <c r="AZ102">
        <v>16036.9</v>
      </c>
      <c r="BA102">
        <v>16187.6</v>
      </c>
      <c r="BB102">
        <v>16339.5</v>
      </c>
      <c r="BC102">
        <v>16492.599999999999</v>
      </c>
      <c r="BD102">
        <v>16640.900000000001</v>
      </c>
      <c r="BE102">
        <v>16794.7</v>
      </c>
      <c r="BF102">
        <v>16949.900000000001</v>
      </c>
      <c r="BG102">
        <v>17106</v>
      </c>
      <c r="BH102">
        <v>17257.8</v>
      </c>
      <c r="BI102">
        <v>17415.7</v>
      </c>
      <c r="BJ102">
        <v>17574.7</v>
      </c>
      <c r="BK102">
        <v>17734.5</v>
      </c>
      <c r="BL102">
        <v>17895.5</v>
      </c>
      <c r="BM102">
        <v>18057.8</v>
      </c>
      <c r="BN102">
        <v>18221.7</v>
      </c>
      <c r="BO102">
        <v>18387.8</v>
      </c>
      <c r="BP102">
        <v>18556.3</v>
      </c>
    </row>
    <row r="103" spans="4:68">
      <c r="D103" s="274" t="s">
        <v>895</v>
      </c>
      <c r="E103" s="556"/>
      <c r="F103" s="436"/>
      <c r="G103" s="436"/>
      <c r="H103" s="436"/>
      <c r="I103" s="439">
        <v>5510.1</v>
      </c>
      <c r="J103" s="439">
        <v>5269.8</v>
      </c>
      <c r="K103" s="439">
        <v>5518.1</v>
      </c>
      <c r="L103" s="439">
        <v>5535.6</v>
      </c>
      <c r="M103" s="439">
        <v>5521.1</v>
      </c>
      <c r="N103" s="439">
        <v>5789.6</v>
      </c>
      <c r="O103" s="439">
        <v>5877.9</v>
      </c>
      <c r="P103" s="439">
        <v>5923.2</v>
      </c>
      <c r="Q103" s="439">
        <v>5935.8</v>
      </c>
      <c r="R103" s="439">
        <v>6056.8</v>
      </c>
      <c r="S103" s="439">
        <v>6153.9</v>
      </c>
      <c r="T103" s="439">
        <v>6258.3</v>
      </c>
      <c r="U103" s="439">
        <v>6350.2</v>
      </c>
      <c r="V103" s="439">
        <v>6387.8</v>
      </c>
      <c r="W103" s="439">
        <v>6440.5</v>
      </c>
      <c r="X103" s="439">
        <v>6538</v>
      </c>
      <c r="Y103" s="438">
        <v>6622.8</v>
      </c>
      <c r="Z103" s="438">
        <v>6917.9</v>
      </c>
      <c r="AA103" s="438">
        <v>7123.2</v>
      </c>
      <c r="AB103" s="438">
        <v>7252.6</v>
      </c>
      <c r="AC103" s="438">
        <v>7368.8</v>
      </c>
      <c r="AD103" s="438">
        <v>7480.7</v>
      </c>
      <c r="AE103" s="438">
        <v>7588.9</v>
      </c>
      <c r="AF103" s="438">
        <v>7703.6</v>
      </c>
      <c r="AG103" s="839">
        <v>7806.3</v>
      </c>
      <c r="AH103">
        <v>7898.1</v>
      </c>
      <c r="AI103">
        <v>7980.1</v>
      </c>
      <c r="AJ103">
        <v>8046.4</v>
      </c>
      <c r="AK103">
        <v>8109.6</v>
      </c>
      <c r="AL103">
        <v>8174.2</v>
      </c>
      <c r="AM103">
        <v>8244.5</v>
      </c>
      <c r="AN103">
        <v>8320.6</v>
      </c>
      <c r="AO103">
        <v>8405.2000000000007</v>
      </c>
      <c r="AP103">
        <v>8493.1</v>
      </c>
      <c r="AQ103">
        <v>8577.5</v>
      </c>
      <c r="AR103">
        <v>8661.2000000000007</v>
      </c>
      <c r="AS103">
        <v>8744.5</v>
      </c>
      <c r="AT103">
        <v>8829.2999999999993</v>
      </c>
      <c r="AU103">
        <v>8916.2999999999993</v>
      </c>
      <c r="AV103">
        <v>9007.5</v>
      </c>
      <c r="AW103">
        <v>9103.1</v>
      </c>
      <c r="AX103">
        <v>9198.1</v>
      </c>
      <c r="AY103">
        <v>9293.2000000000007</v>
      </c>
      <c r="AZ103">
        <v>9389.7999999999993</v>
      </c>
      <c r="BA103">
        <v>9488</v>
      </c>
      <c r="BB103">
        <v>9588.2000000000007</v>
      </c>
      <c r="BC103">
        <v>9688.9</v>
      </c>
      <c r="BD103">
        <v>9791.6</v>
      </c>
      <c r="BE103">
        <v>9896.2999999999993</v>
      </c>
      <c r="BF103">
        <v>10000.6</v>
      </c>
      <c r="BG103">
        <v>10103.6</v>
      </c>
      <c r="BH103">
        <v>10206.200000000001</v>
      </c>
      <c r="BI103">
        <v>10307.5</v>
      </c>
      <c r="BJ103">
        <v>10409.1</v>
      </c>
      <c r="BK103">
        <v>10513.6</v>
      </c>
      <c r="BL103">
        <v>10627.5</v>
      </c>
      <c r="BM103">
        <v>10741.4</v>
      </c>
      <c r="BN103">
        <v>10856.5</v>
      </c>
      <c r="BO103">
        <v>10971.8</v>
      </c>
      <c r="BP103">
        <v>11088.6</v>
      </c>
    </row>
    <row r="104" spans="4:68">
      <c r="D104" s="274" t="s">
        <v>502</v>
      </c>
      <c r="E104" s="556"/>
      <c r="F104" s="436"/>
      <c r="G104" s="436"/>
      <c r="H104" s="436"/>
      <c r="I104" s="439">
        <v>14440.2</v>
      </c>
      <c r="J104" s="439">
        <v>13049.8</v>
      </c>
      <c r="K104" s="439">
        <v>14388.7</v>
      </c>
      <c r="L104" s="439">
        <v>14586</v>
      </c>
      <c r="M104" s="439">
        <v>15217.7</v>
      </c>
      <c r="N104" s="439">
        <v>15950.9</v>
      </c>
      <c r="O104" s="439">
        <v>16285.1</v>
      </c>
      <c r="P104" s="439">
        <v>16718.2</v>
      </c>
      <c r="Q104" s="439">
        <v>17030.599999999999</v>
      </c>
      <c r="R104" s="439">
        <v>17415.099999999999</v>
      </c>
      <c r="S104" s="439">
        <v>17684.2</v>
      </c>
      <c r="T104" s="439">
        <v>17917</v>
      </c>
      <c r="U104" s="439">
        <v>18269.599999999999</v>
      </c>
      <c r="V104" s="439">
        <v>18419</v>
      </c>
      <c r="W104" s="439">
        <v>18679.5</v>
      </c>
      <c r="X104" s="439">
        <v>18914.5</v>
      </c>
      <c r="Y104" s="438">
        <v>19191.599999999999</v>
      </c>
      <c r="Z104" s="438">
        <v>19506.599999999999</v>
      </c>
      <c r="AA104" s="438">
        <v>19739.8</v>
      </c>
      <c r="AB104" s="438">
        <v>19911.8</v>
      </c>
      <c r="AC104" s="438">
        <v>20098.5</v>
      </c>
      <c r="AD104" s="438">
        <v>20285.8</v>
      </c>
      <c r="AE104" s="438">
        <v>20464.099999999999</v>
      </c>
      <c r="AF104" s="438">
        <v>20636.599999999999</v>
      </c>
      <c r="AG104" s="839">
        <v>20786.400000000001</v>
      </c>
      <c r="AH104">
        <v>20949.8</v>
      </c>
      <c r="AI104">
        <v>21122.799999999999</v>
      </c>
      <c r="AJ104">
        <v>21304.1</v>
      </c>
      <c r="AK104">
        <v>21479.7</v>
      </c>
      <c r="AL104">
        <v>21659.5</v>
      </c>
      <c r="AM104">
        <v>21842.799999999999</v>
      </c>
      <c r="AN104">
        <v>22030.5</v>
      </c>
      <c r="AO104">
        <v>22229.7</v>
      </c>
      <c r="AP104">
        <v>22441.1</v>
      </c>
      <c r="AQ104">
        <v>22659.200000000001</v>
      </c>
      <c r="AR104">
        <v>22881.599999999999</v>
      </c>
      <c r="AS104">
        <v>23107.1</v>
      </c>
      <c r="AT104">
        <v>23342.5</v>
      </c>
      <c r="AU104">
        <v>23580.400000000001</v>
      </c>
      <c r="AV104">
        <v>23821.599999999999</v>
      </c>
      <c r="AW104">
        <v>24060.6</v>
      </c>
      <c r="AX104">
        <v>24308.3</v>
      </c>
      <c r="AY104">
        <v>24560.1</v>
      </c>
      <c r="AZ104">
        <v>24811.200000000001</v>
      </c>
      <c r="BA104">
        <v>25066.3</v>
      </c>
      <c r="BB104">
        <v>25325.5</v>
      </c>
      <c r="BC104">
        <v>25589.4</v>
      </c>
      <c r="BD104">
        <v>25868.400000000001</v>
      </c>
      <c r="BE104">
        <v>26142.400000000001</v>
      </c>
      <c r="BF104">
        <v>26418</v>
      </c>
      <c r="BG104">
        <v>26693</v>
      </c>
      <c r="BH104">
        <v>26968</v>
      </c>
      <c r="BI104">
        <v>27246.7</v>
      </c>
      <c r="BJ104">
        <v>27528.2</v>
      </c>
      <c r="BK104">
        <v>27813.200000000001</v>
      </c>
      <c r="BL104">
        <v>28100.799999999999</v>
      </c>
      <c r="BM104">
        <v>28391.5</v>
      </c>
      <c r="BN104">
        <v>28683.8</v>
      </c>
      <c r="BO104">
        <v>28978.400000000001</v>
      </c>
      <c r="BP104">
        <v>29274.3</v>
      </c>
    </row>
    <row r="105" spans="4:68">
      <c r="D105" s="716" t="s">
        <v>1967</v>
      </c>
      <c r="E105" s="579"/>
      <c r="F105" s="579"/>
      <c r="G105" s="579"/>
      <c r="H105" s="861"/>
      <c r="I105" s="837">
        <v>1736.3</v>
      </c>
      <c r="J105" s="837">
        <v>1597.1</v>
      </c>
      <c r="K105" s="837">
        <v>2041.1</v>
      </c>
      <c r="L105" s="837">
        <v>1947.4</v>
      </c>
      <c r="M105" s="837">
        <v>2280.4</v>
      </c>
      <c r="N105" s="837">
        <v>2580</v>
      </c>
      <c r="O105" s="837">
        <v>2541.1</v>
      </c>
      <c r="P105" s="837">
        <v>2555</v>
      </c>
      <c r="Q105" s="837">
        <v>2604.4</v>
      </c>
      <c r="R105" s="837">
        <v>2781.5</v>
      </c>
      <c r="S105" s="837">
        <v>2809</v>
      </c>
      <c r="T105" s="837">
        <v>2748.4</v>
      </c>
      <c r="U105" s="837">
        <v>2673.1</v>
      </c>
      <c r="V105" s="837">
        <v>2658</v>
      </c>
      <c r="W105" s="837">
        <v>2757.8</v>
      </c>
      <c r="X105" s="837">
        <v>2900.3</v>
      </c>
      <c r="Y105" s="838">
        <v>2860.5</v>
      </c>
      <c r="Z105" s="838">
        <v>2913</v>
      </c>
      <c r="AA105" s="838">
        <v>2958.5</v>
      </c>
      <c r="AB105" s="838">
        <v>2980.8</v>
      </c>
      <c r="AC105" s="838">
        <v>3008.1</v>
      </c>
      <c r="AD105" s="838">
        <v>3035.3</v>
      </c>
      <c r="AE105" s="838">
        <v>3052.6</v>
      </c>
      <c r="AF105" s="838">
        <v>3054.1</v>
      </c>
      <c r="AG105" s="840">
        <v>3040.7</v>
      </c>
      <c r="AH105">
        <v>3038.5</v>
      </c>
      <c r="AI105">
        <v>3046.6</v>
      </c>
      <c r="AJ105">
        <v>3065.6</v>
      </c>
      <c r="AK105">
        <v>3073.9</v>
      </c>
      <c r="AL105">
        <v>3078.4</v>
      </c>
      <c r="AM105">
        <v>3078.6</v>
      </c>
      <c r="AN105">
        <v>3087.1</v>
      </c>
      <c r="AO105">
        <v>3087.3</v>
      </c>
      <c r="AP105">
        <v>3092.4</v>
      </c>
      <c r="AQ105">
        <v>3097</v>
      </c>
      <c r="AR105">
        <v>3111</v>
      </c>
      <c r="AS105">
        <v>3123.3</v>
      </c>
      <c r="AT105">
        <v>3140.7</v>
      </c>
      <c r="AU105">
        <v>3157.2</v>
      </c>
      <c r="AV105">
        <v>3188.9</v>
      </c>
      <c r="AW105">
        <v>3210.6</v>
      </c>
      <c r="AX105">
        <v>3237</v>
      </c>
      <c r="AY105">
        <v>3261.4</v>
      </c>
      <c r="AZ105">
        <v>3297</v>
      </c>
      <c r="BA105">
        <v>3322.8</v>
      </c>
      <c r="BB105">
        <v>3352.1</v>
      </c>
      <c r="BC105">
        <v>3378.8</v>
      </c>
      <c r="BD105">
        <v>3422.6</v>
      </c>
      <c r="BE105">
        <v>3449.9</v>
      </c>
      <c r="BF105">
        <v>3480.4</v>
      </c>
      <c r="BG105">
        <v>3508.6</v>
      </c>
      <c r="BH105">
        <v>3548.1</v>
      </c>
      <c r="BI105">
        <v>3576.2</v>
      </c>
      <c r="BJ105">
        <v>3607.8</v>
      </c>
      <c r="BK105">
        <v>3635.6</v>
      </c>
      <c r="BL105">
        <v>3674.3</v>
      </c>
      <c r="BM105">
        <v>3704.5</v>
      </c>
      <c r="BN105">
        <v>3737.4</v>
      </c>
      <c r="BO105">
        <v>3768.1</v>
      </c>
      <c r="BP105">
        <v>3807.3</v>
      </c>
    </row>
    <row r="106" spans="4:68" ht="18.75" customHeight="1"/>
    <row r="107" spans="4:68">
      <c r="D107" s="793"/>
      <c r="E107" s="603"/>
      <c r="F107" s="603"/>
      <c r="G107" s="603"/>
      <c r="H107" s="436"/>
      <c r="I107" s="436"/>
      <c r="J107" s="436"/>
      <c r="K107" s="436"/>
      <c r="L107" s="436"/>
      <c r="M107" s="436"/>
      <c r="N107" s="436"/>
      <c r="O107" s="436"/>
      <c r="P107" s="436"/>
      <c r="Q107" s="436"/>
      <c r="R107" s="436"/>
      <c r="S107" s="436"/>
      <c r="T107" s="436"/>
      <c r="U107" s="436"/>
      <c r="V107" s="436"/>
      <c r="W107" s="436"/>
      <c r="X107" s="436"/>
      <c r="Y107" s="436"/>
      <c r="Z107" s="1243"/>
      <c r="AA107" s="436"/>
      <c r="AB107" s="436"/>
      <c r="AC107" s="436"/>
    </row>
    <row r="108" spans="4:68">
      <c r="D108" s="514"/>
      <c r="AC108" s="56"/>
    </row>
    <row r="109" spans="4:68">
      <c r="D109" s="1393" t="s">
        <v>508</v>
      </c>
      <c r="E109" s="1412"/>
      <c r="F109" s="1311">
        <v>2019</v>
      </c>
      <c r="G109" s="1312"/>
      <c r="H109" s="1313"/>
      <c r="I109" s="1312">
        <v>2020</v>
      </c>
      <c r="J109" s="1312"/>
      <c r="K109" s="1312"/>
      <c r="L109" s="1313"/>
      <c r="M109" s="1311">
        <v>2021</v>
      </c>
      <c r="N109" s="1312"/>
      <c r="O109" s="1312"/>
      <c r="P109" s="1312"/>
      <c r="Q109" s="1311">
        <v>2022</v>
      </c>
      <c r="R109" s="1333"/>
      <c r="S109" s="1333"/>
      <c r="T109" s="1313"/>
      <c r="U109" s="288"/>
      <c r="V109" s="288">
        <v>2023</v>
      </c>
      <c r="W109" s="553"/>
      <c r="X109" s="260"/>
      <c r="Y109" s="1308">
        <v>2024</v>
      </c>
      <c r="Z109" s="1321"/>
      <c r="AA109" s="1321"/>
      <c r="AB109" s="1310"/>
      <c r="AC109" s="1308">
        <v>2025</v>
      </c>
      <c r="AD109" s="1321"/>
      <c r="AE109" s="1321"/>
      <c r="AF109" s="1310"/>
      <c r="AG109" s="503">
        <v>2026</v>
      </c>
    </row>
    <row r="110" spans="4:68">
      <c r="D110" s="1413"/>
      <c r="E110" s="1414"/>
      <c r="F110" s="214" t="s">
        <v>284</v>
      </c>
      <c r="G110" s="215" t="s">
        <v>238</v>
      </c>
      <c r="H110" s="216" t="s">
        <v>282</v>
      </c>
      <c r="I110" s="215" t="s">
        <v>283</v>
      </c>
      <c r="J110" s="215" t="s">
        <v>284</v>
      </c>
      <c r="K110" s="215" t="s">
        <v>238</v>
      </c>
      <c r="L110" s="216" t="s">
        <v>282</v>
      </c>
      <c r="M110" s="214" t="s">
        <v>283</v>
      </c>
      <c r="N110" s="215" t="s">
        <v>284</v>
      </c>
      <c r="O110" s="215" t="s">
        <v>238</v>
      </c>
      <c r="P110" s="215" t="s">
        <v>282</v>
      </c>
      <c r="Q110" s="214" t="s">
        <v>283</v>
      </c>
      <c r="R110" s="215" t="s">
        <v>284</v>
      </c>
      <c r="S110" s="215" t="s">
        <v>238</v>
      </c>
      <c r="T110" s="216" t="s">
        <v>282</v>
      </c>
      <c r="U110" s="214" t="s">
        <v>283</v>
      </c>
      <c r="V110" s="286" t="s">
        <v>284</v>
      </c>
      <c r="W110" s="270" t="s">
        <v>238</v>
      </c>
      <c r="X110" s="271" t="s">
        <v>282</v>
      </c>
      <c r="Y110" s="269" t="s">
        <v>283</v>
      </c>
      <c r="Z110" s="267" t="s">
        <v>284</v>
      </c>
      <c r="AA110" s="270" t="s">
        <v>238</v>
      </c>
      <c r="AB110" s="270" t="s">
        <v>282</v>
      </c>
      <c r="AC110" s="269" t="s">
        <v>283</v>
      </c>
      <c r="AD110" s="267" t="s">
        <v>284</v>
      </c>
      <c r="AE110" s="270" t="s">
        <v>238</v>
      </c>
      <c r="AF110" s="270" t="s">
        <v>282</v>
      </c>
      <c r="AG110" s="269" t="s">
        <v>283</v>
      </c>
    </row>
    <row r="111" spans="4:68">
      <c r="D111" s="1410" t="s">
        <v>509</v>
      </c>
      <c r="E111" s="1411"/>
      <c r="F111" s="253"/>
      <c r="G111" s="308"/>
      <c r="H111" s="308"/>
      <c r="I111" s="308"/>
      <c r="J111" s="308"/>
      <c r="K111" s="308"/>
      <c r="L111" s="308"/>
      <c r="M111" s="308"/>
      <c r="N111" s="308"/>
      <c r="O111" s="308"/>
      <c r="P111" s="308"/>
      <c r="Q111" s="308"/>
      <c r="R111" s="308"/>
      <c r="S111" s="308"/>
      <c r="T111" s="287"/>
      <c r="U111" s="308"/>
      <c r="V111" s="308"/>
      <c r="W111" s="287"/>
      <c r="X111" s="287"/>
      <c r="Y111" s="287"/>
      <c r="Z111" s="287"/>
      <c r="AA111" s="287"/>
      <c r="AB111" s="287"/>
      <c r="AC111" s="308"/>
    </row>
    <row r="112" spans="4:68">
      <c r="D112" s="521" t="s">
        <v>482</v>
      </c>
      <c r="F112" s="862"/>
      <c r="G112" s="889"/>
      <c r="H112" s="889">
        <f t="shared" ref="H112:Y112" si="42">H10/H119</f>
        <v>0.11759515065945329</v>
      </c>
      <c r="I112" s="889">
        <f t="shared" si="42"/>
        <v>0.11879897315968442</v>
      </c>
      <c r="J112" s="889">
        <f t="shared" si="42"/>
        <v>0.11632832053393799</v>
      </c>
      <c r="K112" s="889">
        <f t="shared" si="42"/>
        <v>0.11840135478408127</v>
      </c>
      <c r="L112" s="889">
        <f t="shared" si="42"/>
        <v>0.12252813966462116</v>
      </c>
      <c r="M112" s="889">
        <f t="shared" si="42"/>
        <v>0.1306605059249549</v>
      </c>
      <c r="N112" s="889">
        <f t="shared" si="42"/>
        <v>0.13265203887386032</v>
      </c>
      <c r="O112" s="889">
        <f t="shared" si="42"/>
        <v>0.1346644712277115</v>
      </c>
      <c r="P112" s="889">
        <f t="shared" si="42"/>
        <v>0.13573367367115458</v>
      </c>
      <c r="Q112" s="889">
        <f t="shared" si="42"/>
        <v>0.1488843620641529</v>
      </c>
      <c r="R112" s="889">
        <f t="shared" si="42"/>
        <v>0.14668284362856288</v>
      </c>
      <c r="S112" s="887">
        <f t="shared" si="42"/>
        <v>0.14459192156637904</v>
      </c>
      <c r="T112" s="887">
        <f t="shared" si="42"/>
        <v>0.14154488043064295</v>
      </c>
      <c r="U112" s="887">
        <f t="shared" si="42"/>
        <v>0.12162546494833289</v>
      </c>
      <c r="V112" s="887">
        <f t="shared" si="42"/>
        <v>0.1199155392367658</v>
      </c>
      <c r="W112" s="887">
        <f t="shared" si="42"/>
        <v>0.11910968409022883</v>
      </c>
      <c r="X112" s="887">
        <f t="shared" si="42"/>
        <v>0.11870086281789094</v>
      </c>
      <c r="Y112" s="887">
        <f t="shared" si="42"/>
        <v>0.12597758220214375</v>
      </c>
      <c r="Z112" s="888">
        <f t="shared" ref="Z112:AC112" si="43">Y112+Z113</f>
        <v>0.12597758220214375</v>
      </c>
      <c r="AA112" s="888">
        <f t="shared" si="43"/>
        <v>0.12597758220214375</v>
      </c>
      <c r="AB112" s="888">
        <f t="shared" si="43"/>
        <v>0.12597758220214375</v>
      </c>
      <c r="AC112" s="888">
        <f t="shared" si="43"/>
        <v>0.12597758220214375</v>
      </c>
      <c r="AD112" s="888">
        <f t="shared" ref="AD112" si="44">AC112+AD113</f>
        <v>0.12597758220214375</v>
      </c>
      <c r="AE112" s="888">
        <f t="shared" ref="AE112" si="45">AD112+AE113</f>
        <v>0.12597758220214375</v>
      </c>
      <c r="AF112" s="888">
        <f t="shared" ref="AF112" si="46">AE112+AF113</f>
        <v>0.12597758220214375</v>
      </c>
      <c r="AG112" s="888">
        <f t="shared" ref="AG112" si="47">AF112+AG113</f>
        <v>0.12597758220214375</v>
      </c>
    </row>
    <row r="113" spans="4:33">
      <c r="D113" s="521" t="s">
        <v>892</v>
      </c>
      <c r="F113" s="862"/>
      <c r="G113" s="889"/>
      <c r="H113" s="889"/>
      <c r="I113" s="889"/>
      <c r="J113" s="889"/>
      <c r="K113" s="889"/>
      <c r="L113" s="889"/>
      <c r="M113" s="889"/>
      <c r="N113" s="889"/>
      <c r="O113" s="889"/>
      <c r="P113" s="889"/>
      <c r="Q113" s="889"/>
      <c r="R113" s="889"/>
      <c r="S113" s="887"/>
      <c r="T113" s="887"/>
      <c r="U113" s="887"/>
      <c r="V113" s="887"/>
      <c r="W113" s="889"/>
      <c r="X113" s="889"/>
      <c r="Y113" s="888"/>
      <c r="Z113" s="888"/>
      <c r="AA113" s="888"/>
      <c r="AB113" s="888"/>
      <c r="AC113" s="888"/>
      <c r="AD113" s="888"/>
      <c r="AE113" s="888"/>
      <c r="AF113" s="888"/>
      <c r="AG113" s="888"/>
    </row>
    <row r="114" spans="4:33">
      <c r="D114" s="521" t="s">
        <v>483</v>
      </c>
      <c r="F114" s="862"/>
      <c r="G114" s="889"/>
      <c r="H114" s="889">
        <f t="shared" ref="H114:Y114" si="48">H12/H124</f>
        <v>0.15049219029952995</v>
      </c>
      <c r="I114" s="889">
        <f t="shared" si="48"/>
        <v>0.15082140744507519</v>
      </c>
      <c r="J114" s="889">
        <f t="shared" si="48"/>
        <v>0.15364369322346355</v>
      </c>
      <c r="K114" s="889">
        <f t="shared" si="48"/>
        <v>0.15173662969906893</v>
      </c>
      <c r="L114" s="889">
        <f t="shared" si="48"/>
        <v>0.14977874752747813</v>
      </c>
      <c r="M114" s="889">
        <f t="shared" si="48"/>
        <v>0.15013551231746289</v>
      </c>
      <c r="N114" s="889">
        <f t="shared" si="48"/>
        <v>0.14928290766208252</v>
      </c>
      <c r="O114" s="889">
        <f t="shared" si="48"/>
        <v>0.14884645906435542</v>
      </c>
      <c r="P114" s="889">
        <f t="shared" si="48"/>
        <v>0.14893182240386402</v>
      </c>
      <c r="Q114" s="889">
        <f t="shared" si="48"/>
        <v>0.15097091386063236</v>
      </c>
      <c r="R114" s="889">
        <f t="shared" si="48"/>
        <v>0.15155480435454263</v>
      </c>
      <c r="S114" s="887">
        <f t="shared" si="48"/>
        <v>0.15145823735780856</v>
      </c>
      <c r="T114" s="887">
        <f t="shared" si="48"/>
        <v>0.15146328336612525</v>
      </c>
      <c r="U114" s="887">
        <f t="shared" si="48"/>
        <v>0.15183173745240419</v>
      </c>
      <c r="V114" s="887">
        <f t="shared" si="48"/>
        <v>0.1513684174694489</v>
      </c>
      <c r="W114" s="887">
        <f t="shared" si="48"/>
        <v>0.15093422706325932</v>
      </c>
      <c r="X114" s="887">
        <f t="shared" si="48"/>
        <v>0.15081330298558485</v>
      </c>
      <c r="Y114" s="887">
        <f t="shared" si="48"/>
        <v>0.15178909270379204</v>
      </c>
      <c r="Z114" s="888">
        <f t="shared" ref="Z114:AC114" si="49">Y114</f>
        <v>0.15178909270379204</v>
      </c>
      <c r="AA114" s="888">
        <f t="shared" si="49"/>
        <v>0.15178909270379204</v>
      </c>
      <c r="AB114" s="888">
        <f t="shared" si="49"/>
        <v>0.15178909270379204</v>
      </c>
      <c r="AC114" s="888">
        <f t="shared" si="49"/>
        <v>0.15178909270379204</v>
      </c>
      <c r="AD114" s="888">
        <f t="shared" ref="AD114:AD115" si="50">AC114</f>
        <v>0.15178909270379204</v>
      </c>
      <c r="AE114" s="888">
        <f t="shared" ref="AE114:AE115" si="51">AD114</f>
        <v>0.15178909270379204</v>
      </c>
      <c r="AF114" s="888">
        <f t="shared" ref="AF114:AF115" si="52">AE114</f>
        <v>0.15178909270379204</v>
      </c>
      <c r="AG114" s="888">
        <f t="shared" ref="AG114:AG115" si="53">AF114</f>
        <v>0.15178909270379204</v>
      </c>
    </row>
    <row r="115" spans="4:33">
      <c r="D115" s="521" t="s">
        <v>484</v>
      </c>
      <c r="F115" s="862"/>
      <c r="G115" s="889"/>
      <c r="H115" s="889">
        <f t="shared" ref="H115:Y115" si="54">H14/H125</f>
        <v>1.2114807744750477E-2</v>
      </c>
      <c r="I115" s="889">
        <f t="shared" si="54"/>
        <v>1.2657965466969756E-2</v>
      </c>
      <c r="J115" s="889">
        <f t="shared" si="54"/>
        <v>9.9021178686146908E-3</v>
      </c>
      <c r="K115" s="889">
        <f t="shared" si="54"/>
        <v>1.0383088225121401E-2</v>
      </c>
      <c r="L115" s="889">
        <f t="shared" si="54"/>
        <v>1.0715231518262747E-2</v>
      </c>
      <c r="M115" s="889">
        <f t="shared" si="54"/>
        <v>1.0573214086228536E-2</v>
      </c>
      <c r="N115" s="889">
        <f t="shared" si="54"/>
        <v>1.1315975901046335E-2</v>
      </c>
      <c r="O115" s="889">
        <f t="shared" si="54"/>
        <v>1.1182000724588734E-2</v>
      </c>
      <c r="P115" s="889">
        <f t="shared" si="54"/>
        <v>1.1424674905193142E-2</v>
      </c>
      <c r="Q115" s="889">
        <f t="shared" si="54"/>
        <v>1.1796413514497435E-2</v>
      </c>
      <c r="R115" s="889">
        <f t="shared" si="54"/>
        <v>1.1645066637573143E-2</v>
      </c>
      <c r="S115" s="887">
        <f t="shared" si="54"/>
        <v>1.0868458850273124E-2</v>
      </c>
      <c r="T115" s="887">
        <f t="shared" si="54"/>
        <v>1.0096556343137802E-2</v>
      </c>
      <c r="U115" s="887">
        <f t="shared" si="54"/>
        <v>9.6882252485002412E-3</v>
      </c>
      <c r="V115" s="887">
        <f t="shared" si="54"/>
        <v>9.5227753949725831E-3</v>
      </c>
      <c r="W115" s="887">
        <f t="shared" si="54"/>
        <v>9.1865413956476356E-3</v>
      </c>
      <c r="X115" s="887">
        <f t="shared" si="54"/>
        <v>8.9666657855084729E-3</v>
      </c>
      <c r="Y115" s="887">
        <f t="shared" si="54"/>
        <v>8.9591223716860395E-3</v>
      </c>
      <c r="Z115" s="888">
        <f t="shared" ref="Z115:AC115" si="55">Y115</f>
        <v>8.9591223716860395E-3</v>
      </c>
      <c r="AA115" s="888">
        <f t="shared" si="55"/>
        <v>8.9591223716860395E-3</v>
      </c>
      <c r="AB115" s="888">
        <f t="shared" si="55"/>
        <v>8.9591223716860395E-3</v>
      </c>
      <c r="AC115" s="888">
        <f t="shared" si="55"/>
        <v>8.9591223716860395E-3</v>
      </c>
      <c r="AD115" s="888">
        <f t="shared" si="50"/>
        <v>8.9591223716860395E-3</v>
      </c>
      <c r="AE115" s="888">
        <f t="shared" si="51"/>
        <v>8.9591223716860395E-3</v>
      </c>
      <c r="AF115" s="888">
        <f t="shared" si="52"/>
        <v>8.9591223716860395E-3</v>
      </c>
      <c r="AG115" s="888">
        <f t="shared" si="53"/>
        <v>8.9591223716860395E-3</v>
      </c>
    </row>
    <row r="116" spans="4:33">
      <c r="D116" s="424" t="s">
        <v>485</v>
      </c>
      <c r="F116" s="862"/>
      <c r="G116" s="889"/>
      <c r="H116" s="889">
        <f t="shared" ref="H116:Y116" si="56">H16/H126</f>
        <v>0.1161666500548191</v>
      </c>
      <c r="I116" s="889">
        <f t="shared" si="56"/>
        <v>0.10825625214114422</v>
      </c>
      <c r="J116" s="889">
        <f t="shared" si="56"/>
        <v>0.12146635053802662</v>
      </c>
      <c r="K116" s="889">
        <f t="shared" si="56"/>
        <v>0.10805604203152365</v>
      </c>
      <c r="L116" s="889">
        <f t="shared" si="56"/>
        <v>0.12181977082928724</v>
      </c>
      <c r="M116" s="889">
        <f t="shared" si="56"/>
        <v>0.11063848447640764</v>
      </c>
      <c r="N116" s="889">
        <f t="shared" si="56"/>
        <v>0.10992248062015504</v>
      </c>
      <c r="O116" s="889">
        <f t="shared" si="56"/>
        <v>0.11010979497068199</v>
      </c>
      <c r="P116" s="889">
        <f t="shared" si="56"/>
        <v>0.11894324853228962</v>
      </c>
      <c r="Q116" s="889">
        <f t="shared" si="56"/>
        <v>0.12663185378590078</v>
      </c>
      <c r="R116" s="887">
        <f t="shared" si="56"/>
        <v>0.13978069387021391</v>
      </c>
      <c r="S116" s="887">
        <f t="shared" si="56"/>
        <v>0.13656105375578498</v>
      </c>
      <c r="T116" s="887">
        <f t="shared" si="56"/>
        <v>0.13593363411439383</v>
      </c>
      <c r="U116" s="887">
        <f t="shared" si="56"/>
        <v>0.14537428453855075</v>
      </c>
      <c r="V116" s="887">
        <f t="shared" si="56"/>
        <v>0.15173062452972161</v>
      </c>
      <c r="W116" s="887">
        <f t="shared" si="56"/>
        <v>0.15157009210240047</v>
      </c>
      <c r="X116" s="887">
        <f t="shared" si="56"/>
        <v>0.14805364962245282</v>
      </c>
      <c r="Y116" s="887">
        <f t="shared" si="56"/>
        <v>0.15918338711940508</v>
      </c>
      <c r="Z116" s="888">
        <f t="shared" ref="Z116:AC116" si="57">Y116+Z117</f>
        <v>0.15918338711940508</v>
      </c>
      <c r="AA116" s="888">
        <f t="shared" si="57"/>
        <v>0.15918338711940508</v>
      </c>
      <c r="AB116" s="888">
        <f t="shared" si="57"/>
        <v>0.15918338711940508</v>
      </c>
      <c r="AC116" s="888">
        <f t="shared" si="57"/>
        <v>0.15918338711940508</v>
      </c>
      <c r="AD116" s="888">
        <f t="shared" ref="AD116" si="58">AC116+AD117</f>
        <v>0.15918338711940508</v>
      </c>
      <c r="AE116" s="888">
        <f t="shared" ref="AE116" si="59">AD116+AE117</f>
        <v>0.15918338711940508</v>
      </c>
      <c r="AF116" s="888">
        <f t="shared" ref="AF116" si="60">AE116+AF117</f>
        <v>0.15918338711940508</v>
      </c>
      <c r="AG116" s="888">
        <f t="shared" ref="AG116" si="61">AF116+AG117</f>
        <v>0.15918338711940508</v>
      </c>
    </row>
    <row r="117" spans="4:33">
      <c r="D117" s="424" t="s">
        <v>1751</v>
      </c>
      <c r="F117" s="862"/>
      <c r="G117" s="889"/>
      <c r="H117" s="889"/>
      <c r="I117" s="889"/>
      <c r="J117" s="889"/>
      <c r="K117" s="889"/>
      <c r="L117" s="889"/>
      <c r="M117" s="889"/>
      <c r="N117" s="889"/>
      <c r="O117" s="889"/>
      <c r="P117" s="889"/>
      <c r="Q117" s="889"/>
      <c r="R117" s="889"/>
      <c r="S117" s="889"/>
      <c r="T117" s="889"/>
      <c r="U117" s="889">
        <v>-1.2E-2</v>
      </c>
      <c r="V117" s="889"/>
      <c r="W117" s="889"/>
      <c r="X117" s="889"/>
      <c r="Y117" s="888"/>
      <c r="Z117" s="888"/>
      <c r="AA117" s="888"/>
      <c r="AB117" s="888"/>
      <c r="AC117" s="888"/>
      <c r="AD117" s="888"/>
      <c r="AE117" s="888"/>
      <c r="AF117" s="888"/>
      <c r="AG117" s="888"/>
    </row>
    <row r="118" spans="4:33">
      <c r="D118" s="290" t="s">
        <v>510</v>
      </c>
      <c r="F118" s="275"/>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row>
    <row r="119" spans="4:33" ht="14.9" customHeight="1">
      <c r="D119" s="669" t="s">
        <v>511</v>
      </c>
      <c r="F119" s="857">
        <f>SUM(F120:F123)</f>
        <v>14456.2</v>
      </c>
      <c r="G119" s="436">
        <f t="shared" ref="G119:O119" si="62">SUM(G120:G123)</f>
        <v>14559</v>
      </c>
      <c r="H119" s="436">
        <f t="shared" si="62"/>
        <v>14731.900000000001</v>
      </c>
      <c r="I119" s="436">
        <f t="shared" si="62"/>
        <v>14880.6</v>
      </c>
      <c r="J119" s="436">
        <f t="shared" si="62"/>
        <v>14024.100000000002</v>
      </c>
      <c r="K119" s="436">
        <f t="shared" si="62"/>
        <v>14762.500000000002</v>
      </c>
      <c r="L119" s="436">
        <f t="shared" si="62"/>
        <v>15236.499999999998</v>
      </c>
      <c r="M119" s="436">
        <f t="shared" si="62"/>
        <v>15409.400000000001</v>
      </c>
      <c r="N119" s="436">
        <f t="shared" si="62"/>
        <v>15969.600000000002</v>
      </c>
      <c r="O119" s="436">
        <f t="shared" si="62"/>
        <v>16336.9</v>
      </c>
      <c r="P119" s="436">
        <f t="shared" ref="P119:T119" si="63">SUM(P120:P123)</f>
        <v>16689.3</v>
      </c>
      <c r="Q119" s="436">
        <f t="shared" si="63"/>
        <v>16837.900000000001</v>
      </c>
      <c r="R119" s="436">
        <f t="shared" si="63"/>
        <v>17061.3</v>
      </c>
      <c r="S119" s="331">
        <f t="shared" si="63"/>
        <v>17441.5</v>
      </c>
      <c r="T119" s="331">
        <f t="shared" si="63"/>
        <v>17592.3</v>
      </c>
      <c r="U119" s="331">
        <f t="shared" ref="U119:W119" si="64">SUM(U120:U123)</f>
        <v>17932.099999999999</v>
      </c>
      <c r="V119" s="331">
        <f t="shared" si="64"/>
        <v>18138.599999999999</v>
      </c>
      <c r="W119" s="331">
        <f t="shared" si="64"/>
        <v>18375.5</v>
      </c>
      <c r="X119" s="331">
        <f t="shared" ref="X119:Y119" si="65">SUM(X120:X123)</f>
        <v>18532.3</v>
      </c>
      <c r="Y119" s="331">
        <f t="shared" si="65"/>
        <v>18770.8</v>
      </c>
      <c r="Z119" s="326"/>
      <c r="AA119" s="326"/>
      <c r="AB119" s="326"/>
      <c r="AC119" s="326"/>
      <c r="AD119" s="326"/>
      <c r="AE119" s="326"/>
      <c r="AF119" s="326"/>
      <c r="AG119" s="326"/>
    </row>
    <row r="120" spans="4:33">
      <c r="D120" s="787" t="s">
        <v>785</v>
      </c>
      <c r="E120" s="240" t="s">
        <v>781</v>
      </c>
      <c r="F120" s="857">
        <f>'Haver Pivoted'!GQ81</f>
        <v>9284.9</v>
      </c>
      <c r="G120" s="436">
        <f>'Haver Pivoted'!GR81</f>
        <v>9340.9</v>
      </c>
      <c r="H120" s="436">
        <f>'Haver Pivoted'!GS81</f>
        <v>9488.2000000000007</v>
      </c>
      <c r="I120" s="436">
        <f>'Haver Pivoted'!GT81</f>
        <v>9635.9</v>
      </c>
      <c r="J120" s="436">
        <f>'Haver Pivoted'!GU81</f>
        <v>9004.6</v>
      </c>
      <c r="K120" s="436">
        <f>'Haver Pivoted'!GV81</f>
        <v>9440.7000000000007</v>
      </c>
      <c r="L120" s="436">
        <f>'Haver Pivoted'!GW81</f>
        <v>9807.7999999999993</v>
      </c>
      <c r="M120" s="436">
        <f>'Haver Pivoted'!GX81</f>
        <v>9888.4</v>
      </c>
      <c r="N120" s="436">
        <f>'Haver Pivoted'!GY81</f>
        <v>10180</v>
      </c>
      <c r="O120" s="436">
        <f>'Haver Pivoted'!GZ81</f>
        <v>10459.1</v>
      </c>
      <c r="P120" s="436">
        <f>'Haver Pivoted'!HA81</f>
        <v>10766</v>
      </c>
      <c r="Q120" s="436">
        <f>'Haver Pivoted'!HB81</f>
        <v>10902.1</v>
      </c>
      <c r="R120" s="436">
        <f>'Haver Pivoted'!HC81</f>
        <v>11004.6</v>
      </c>
      <c r="S120" s="331">
        <f>'Haver Pivoted'!HD81</f>
        <v>11287.6</v>
      </c>
      <c r="T120" s="331">
        <f>'Haver Pivoted'!HE81</f>
        <v>11334.1</v>
      </c>
      <c r="U120" s="331">
        <f>'Haver Pivoted'!HF81</f>
        <v>11581.9</v>
      </c>
      <c r="V120" s="331">
        <f>'Haver Pivoted'!HG81</f>
        <v>11750.8</v>
      </c>
      <c r="W120" s="331">
        <f>'Haver Pivoted'!HH81</f>
        <v>11935</v>
      </c>
      <c r="X120" s="331">
        <f>'Haver Pivoted'!HI81</f>
        <v>11994.3</v>
      </c>
      <c r="Y120" s="331">
        <f>'Haver Pivoted'!HJ81</f>
        <v>12157</v>
      </c>
      <c r="Z120" s="326"/>
      <c r="AA120" s="326"/>
      <c r="AB120" s="326"/>
      <c r="AC120" s="326"/>
      <c r="AD120" s="326"/>
      <c r="AE120" s="326"/>
      <c r="AF120" s="326"/>
      <c r="AG120" s="326"/>
    </row>
    <row r="121" spans="4:33">
      <c r="D121" s="787" t="s">
        <v>512</v>
      </c>
      <c r="E121" s="240" t="s">
        <v>782</v>
      </c>
      <c r="F121" s="857">
        <f>'Haver Pivoted'!GQ82</f>
        <v>1533.5</v>
      </c>
      <c r="G121" s="436">
        <f>'Haver Pivoted'!GR82</f>
        <v>1570.1</v>
      </c>
      <c r="H121" s="436">
        <f>'Haver Pivoted'!GS82</f>
        <v>1581.1</v>
      </c>
      <c r="I121" s="436">
        <f>'Haver Pivoted'!GT82</f>
        <v>1577.7</v>
      </c>
      <c r="J121" s="436">
        <f>'Haver Pivoted'!GU82</f>
        <v>1411.5</v>
      </c>
      <c r="K121" s="436">
        <f>'Haver Pivoted'!GV82</f>
        <v>1691.6</v>
      </c>
      <c r="L121" s="436">
        <f>'Haver Pivoted'!GW82</f>
        <v>1654.4</v>
      </c>
      <c r="M121" s="436">
        <f>'Haver Pivoted'!GX82</f>
        <v>1650.2</v>
      </c>
      <c r="N121" s="436">
        <f>'Haver Pivoted'!GY82</f>
        <v>1784.1</v>
      </c>
      <c r="O121" s="436">
        <f>'Haver Pivoted'!GZ82</f>
        <v>1792.8</v>
      </c>
      <c r="P121" s="436">
        <f>'Haver Pivoted'!HA82</f>
        <v>1769.2</v>
      </c>
      <c r="Q121" s="436">
        <f>'Haver Pivoted'!HB82</f>
        <v>1756.4</v>
      </c>
      <c r="R121" s="436">
        <f>'Haver Pivoted'!HC82</f>
        <v>1774.4</v>
      </c>
      <c r="S121" s="331">
        <f>'Haver Pivoted'!HD82</f>
        <v>1807.4</v>
      </c>
      <c r="T121" s="331">
        <f>'Haver Pivoted'!HE82</f>
        <v>1825.3</v>
      </c>
      <c r="U121" s="331">
        <f>'Haver Pivoted'!HF82</f>
        <v>1827.4</v>
      </c>
      <c r="V121" s="331">
        <f>'Haver Pivoted'!HG82</f>
        <v>1824.1</v>
      </c>
      <c r="W121" s="331">
        <f>'Haver Pivoted'!HH82</f>
        <v>1859.6</v>
      </c>
      <c r="X121" s="331">
        <f>'Haver Pivoted'!HI82</f>
        <v>1882.6</v>
      </c>
      <c r="Y121" s="331">
        <f>'Haver Pivoted'!HJ82</f>
        <v>1890.4</v>
      </c>
      <c r="Z121" s="326"/>
      <c r="AA121" s="326"/>
      <c r="AB121" s="326"/>
      <c r="AC121" s="326"/>
      <c r="AD121" s="326"/>
      <c r="AE121" s="326"/>
      <c r="AF121" s="326"/>
      <c r="AG121" s="326"/>
    </row>
    <row r="122" spans="4:33">
      <c r="D122" s="787" t="s">
        <v>513</v>
      </c>
      <c r="E122" s="240" t="s">
        <v>788</v>
      </c>
      <c r="F122" s="857">
        <f>'Haver Pivoted'!GQ83</f>
        <v>674.7</v>
      </c>
      <c r="G122" s="436">
        <f>'Haver Pivoted'!GR83</f>
        <v>685.7</v>
      </c>
      <c r="H122" s="436">
        <f>'Haver Pivoted'!GS83</f>
        <v>709.8</v>
      </c>
      <c r="I122" s="436">
        <f>'Haver Pivoted'!GT83</f>
        <v>740.9</v>
      </c>
      <c r="J122" s="436">
        <f>'Haver Pivoted'!GU83</f>
        <v>738.2</v>
      </c>
      <c r="K122" s="436">
        <f>'Haver Pivoted'!GV83</f>
        <v>765.2</v>
      </c>
      <c r="L122" s="436">
        <f>'Haver Pivoted'!GW83</f>
        <v>780.3</v>
      </c>
      <c r="M122" s="436">
        <f>'Haver Pivoted'!GX83</f>
        <v>791.6</v>
      </c>
      <c r="N122" s="436">
        <f>'Haver Pivoted'!GY83</f>
        <v>807.2</v>
      </c>
      <c r="O122" s="436">
        <f>'Haver Pivoted'!GZ83</f>
        <v>822.4</v>
      </c>
      <c r="P122" s="436">
        <f>'Haver Pivoted'!HA83</f>
        <v>835.5</v>
      </c>
      <c r="Q122" s="436">
        <f>'Haver Pivoted'!HB83</f>
        <v>837.2</v>
      </c>
      <c r="R122" s="436">
        <f>'Haver Pivoted'!HC83</f>
        <v>875.3</v>
      </c>
      <c r="S122" s="331">
        <f>'Haver Pivoted'!HD83</f>
        <v>893.1</v>
      </c>
      <c r="T122" s="331">
        <f>'Haver Pivoted'!HE83</f>
        <v>907.5</v>
      </c>
      <c r="U122" s="331">
        <f>'Haver Pivoted'!HF83</f>
        <v>945.8</v>
      </c>
      <c r="V122" s="331">
        <f>'Haver Pivoted'!HG83</f>
        <v>961.1</v>
      </c>
      <c r="W122" s="331">
        <f>'Haver Pivoted'!HH83</f>
        <v>974.4</v>
      </c>
      <c r="X122" s="331">
        <f>'Haver Pivoted'!HI83</f>
        <v>988.1</v>
      </c>
      <c r="Y122" s="331">
        <f>'Haver Pivoted'!HJ83</f>
        <v>1023.9</v>
      </c>
      <c r="Z122" s="326"/>
      <c r="AA122" s="326"/>
      <c r="AB122" s="326"/>
      <c r="AC122" s="326"/>
      <c r="AD122" s="326"/>
      <c r="AE122" s="326"/>
      <c r="AF122" s="326"/>
      <c r="AG122" s="326"/>
    </row>
    <row r="123" spans="4:33">
      <c r="D123" s="787" t="s">
        <v>514</v>
      </c>
      <c r="E123" s="240" t="s">
        <v>784</v>
      </c>
      <c r="F123" s="857">
        <f>'Haver Pivoted'!GQ84</f>
        <v>2963.1</v>
      </c>
      <c r="G123" s="436">
        <f>'Haver Pivoted'!GR84</f>
        <v>2962.3</v>
      </c>
      <c r="H123" s="436">
        <f>'Haver Pivoted'!GS84</f>
        <v>2952.8</v>
      </c>
      <c r="I123" s="436">
        <f>'Haver Pivoted'!GT84</f>
        <v>2926.1</v>
      </c>
      <c r="J123" s="436">
        <f>'Haver Pivoted'!GU84</f>
        <v>2869.8</v>
      </c>
      <c r="K123" s="436">
        <f>'Haver Pivoted'!GV84</f>
        <v>2865</v>
      </c>
      <c r="L123" s="436">
        <f>'Haver Pivoted'!GW84</f>
        <v>2994</v>
      </c>
      <c r="M123" s="436">
        <f>'Haver Pivoted'!GX84</f>
        <v>3079.2</v>
      </c>
      <c r="N123" s="436">
        <f>'Haver Pivoted'!GY84</f>
        <v>3198.3</v>
      </c>
      <c r="O123" s="436">
        <f>'Haver Pivoted'!GZ84</f>
        <v>3262.6</v>
      </c>
      <c r="P123" s="436">
        <f>'Haver Pivoted'!HA84</f>
        <v>3318.6</v>
      </c>
      <c r="Q123" s="436">
        <f>'Haver Pivoted'!HB84</f>
        <v>3342.2</v>
      </c>
      <c r="R123" s="436">
        <f>'Haver Pivoted'!HC84</f>
        <v>3407</v>
      </c>
      <c r="S123" s="331">
        <f>'Haver Pivoted'!HD84</f>
        <v>3453.4</v>
      </c>
      <c r="T123" s="331">
        <f>'Haver Pivoted'!HE84</f>
        <v>3525.4</v>
      </c>
      <c r="U123" s="331">
        <f>'Haver Pivoted'!HF84</f>
        <v>3577</v>
      </c>
      <c r="V123" s="331">
        <f>'Haver Pivoted'!HG84</f>
        <v>3602.6</v>
      </c>
      <c r="W123" s="331">
        <f>'Haver Pivoted'!HH84</f>
        <v>3606.5</v>
      </c>
      <c r="X123" s="331">
        <f>'Haver Pivoted'!HI84</f>
        <v>3667.3</v>
      </c>
      <c r="Y123" s="331">
        <f>'Haver Pivoted'!HJ84</f>
        <v>3699.5</v>
      </c>
      <c r="Z123" s="326"/>
      <c r="AA123" s="326"/>
      <c r="AB123" s="326"/>
      <c r="AC123" s="326"/>
      <c r="AD123" s="326"/>
      <c r="AE123" s="326"/>
      <c r="AF123" s="326"/>
      <c r="AG123" s="326"/>
    </row>
    <row r="124" spans="4:33">
      <c r="D124" s="669" t="s">
        <v>501</v>
      </c>
      <c r="F124" s="857">
        <f>F120</f>
        <v>9284.9</v>
      </c>
      <c r="G124" s="436">
        <f t="shared" ref="G124:O124" si="66">G120</f>
        <v>9340.9</v>
      </c>
      <c r="H124" s="436">
        <f t="shared" si="66"/>
        <v>9488.2000000000007</v>
      </c>
      <c r="I124" s="436">
        <f t="shared" si="66"/>
        <v>9635.9</v>
      </c>
      <c r="J124" s="436">
        <f t="shared" si="66"/>
        <v>9004.6</v>
      </c>
      <c r="K124" s="436">
        <f t="shared" si="66"/>
        <v>9440.7000000000007</v>
      </c>
      <c r="L124" s="436">
        <f t="shared" si="66"/>
        <v>9807.7999999999993</v>
      </c>
      <c r="M124" s="436">
        <f t="shared" si="66"/>
        <v>9888.4</v>
      </c>
      <c r="N124" s="436">
        <f t="shared" si="66"/>
        <v>10180</v>
      </c>
      <c r="O124" s="436">
        <f t="shared" si="66"/>
        <v>10459.1</v>
      </c>
      <c r="P124" s="436">
        <f t="shared" ref="P124:T124" si="67">P120</f>
        <v>10766</v>
      </c>
      <c r="Q124" s="436">
        <f t="shared" si="67"/>
        <v>10902.1</v>
      </c>
      <c r="R124" s="436">
        <f t="shared" si="67"/>
        <v>11004.6</v>
      </c>
      <c r="S124" s="331">
        <f t="shared" si="67"/>
        <v>11287.6</v>
      </c>
      <c r="T124" s="331">
        <f t="shared" si="67"/>
        <v>11334.1</v>
      </c>
      <c r="U124" s="331">
        <f t="shared" ref="U124:W124" si="68">U120</f>
        <v>11581.9</v>
      </c>
      <c r="V124" s="331">
        <f t="shared" si="68"/>
        <v>11750.8</v>
      </c>
      <c r="W124" s="331">
        <f t="shared" si="68"/>
        <v>11935</v>
      </c>
      <c r="X124" s="331">
        <f t="shared" ref="X124:Y124" si="69">X120</f>
        <v>11994.3</v>
      </c>
      <c r="Y124" s="331">
        <f t="shared" si="69"/>
        <v>12157</v>
      </c>
      <c r="Z124" s="326"/>
      <c r="AA124" s="326"/>
      <c r="AB124" s="326"/>
      <c r="AC124" s="326"/>
      <c r="AD124" s="326"/>
      <c r="AE124" s="326"/>
      <c r="AF124" s="326"/>
      <c r="AG124" s="326"/>
    </row>
    <row r="125" spans="4:33">
      <c r="D125" s="669" t="s">
        <v>502</v>
      </c>
      <c r="E125" s="240" t="s">
        <v>518</v>
      </c>
      <c r="F125" s="857">
        <f>'Haver Pivoted'!GQ5</f>
        <v>14336.8</v>
      </c>
      <c r="G125" s="436">
        <f>'Haver Pivoted'!GR5</f>
        <v>14517.7</v>
      </c>
      <c r="H125" s="436">
        <f>'Haver Pivoted'!GS5</f>
        <v>14668</v>
      </c>
      <c r="I125" s="436">
        <f>'Haver Pivoted'!GT5</f>
        <v>14473.1</v>
      </c>
      <c r="J125" s="436">
        <f>'Haver Pivoted'!GU5</f>
        <v>13168.9</v>
      </c>
      <c r="K125" s="436">
        <f>'Haver Pivoted'!GV5</f>
        <v>14456.2</v>
      </c>
      <c r="L125" s="436">
        <f>'Haver Pivoted'!GW5</f>
        <v>14726.7</v>
      </c>
      <c r="M125" s="436">
        <f>'Haver Pivoted'!GX5</f>
        <v>15217.7</v>
      </c>
      <c r="N125" s="436">
        <f>'Haver Pivoted'!GY5</f>
        <v>15950.9</v>
      </c>
      <c r="O125" s="436">
        <f>'Haver Pivoted'!GZ5</f>
        <v>16285.1</v>
      </c>
      <c r="P125" s="436">
        <f>'Haver Pivoted'!HA5</f>
        <v>16718.2</v>
      </c>
      <c r="Q125" s="436">
        <f>'Haver Pivoted'!HB5</f>
        <v>17030.599999999999</v>
      </c>
      <c r="R125" s="436">
        <f>'Haver Pivoted'!HC5</f>
        <v>17415.099999999999</v>
      </c>
      <c r="S125" s="331">
        <f>'Haver Pivoted'!HD5</f>
        <v>17684.2</v>
      </c>
      <c r="T125" s="331">
        <f>'Haver Pivoted'!HE5</f>
        <v>17917</v>
      </c>
      <c r="U125" s="331">
        <f>'Haver Pivoted'!HF5</f>
        <v>18269.599999999999</v>
      </c>
      <c r="V125" s="331">
        <f>'Haver Pivoted'!HG5</f>
        <v>18419</v>
      </c>
      <c r="W125" s="331">
        <f>'Haver Pivoted'!HH5</f>
        <v>18679.5</v>
      </c>
      <c r="X125" s="331">
        <f>'Haver Pivoted'!HI5</f>
        <v>18914.5</v>
      </c>
      <c r="Y125" s="331">
        <f>'Haver Pivoted'!HJ5</f>
        <v>19142.5</v>
      </c>
      <c r="Z125" s="326"/>
      <c r="AA125" s="326"/>
      <c r="AB125" s="326"/>
      <c r="AC125" s="326"/>
      <c r="AD125" s="326"/>
      <c r="AE125" s="326"/>
      <c r="AF125" s="326"/>
      <c r="AG125" s="326"/>
    </row>
    <row r="126" spans="4:33">
      <c r="D126" s="669" t="s">
        <v>515</v>
      </c>
      <c r="E126" s="240" t="s">
        <v>783</v>
      </c>
      <c r="F126" s="857">
        <f>'Haver Pivoted'!GQ85</f>
        <v>1896.6</v>
      </c>
      <c r="G126" s="436">
        <f>'Haver Pivoted'!GR85</f>
        <v>1975</v>
      </c>
      <c r="H126" s="436">
        <f>'Haver Pivoted'!GS85</f>
        <v>2006.6</v>
      </c>
      <c r="I126" s="436">
        <f>'Haver Pivoted'!GT85</f>
        <v>1751.4</v>
      </c>
      <c r="J126" s="436">
        <f>'Haver Pivoted'!GU85</f>
        <v>1644.9</v>
      </c>
      <c r="K126" s="436">
        <f>'Haver Pivoted'!GV85</f>
        <v>2284</v>
      </c>
      <c r="L126" s="436">
        <f>'Haver Pivoted'!GW85</f>
        <v>2059.6</v>
      </c>
      <c r="M126" s="436">
        <f>'Haver Pivoted'!GX85</f>
        <v>2280.4</v>
      </c>
      <c r="N126" s="436">
        <f>'Haver Pivoted'!GY85</f>
        <v>2580</v>
      </c>
      <c r="O126" s="436">
        <f>'Haver Pivoted'!GZ85</f>
        <v>2541.1</v>
      </c>
      <c r="P126" s="436">
        <f>'Haver Pivoted'!HA85</f>
        <v>2555</v>
      </c>
      <c r="Q126" s="436">
        <f>'Haver Pivoted'!HB85</f>
        <v>2604.4</v>
      </c>
      <c r="R126" s="331">
        <f>'Haver Pivoted'!HC85</f>
        <v>2781.5</v>
      </c>
      <c r="S126" s="331">
        <f>'Haver Pivoted'!HD85</f>
        <v>2809</v>
      </c>
      <c r="T126" s="331">
        <f>'Haver Pivoted'!HE85</f>
        <v>2748.4</v>
      </c>
      <c r="U126" s="331">
        <f>'Haver Pivoted'!HF85</f>
        <v>2673.1</v>
      </c>
      <c r="V126" s="331">
        <f>'Haver Pivoted'!HG85</f>
        <v>2658</v>
      </c>
      <c r="W126" s="331">
        <f>'Haver Pivoted'!HH85</f>
        <v>2757.8</v>
      </c>
      <c r="X126" s="331">
        <f>'Haver Pivoted'!HI85</f>
        <v>2900.3</v>
      </c>
      <c r="Y126" s="331">
        <f>'Haver Pivoted'!HJ85</f>
        <v>2850.8</v>
      </c>
      <c r="Z126" s="326"/>
      <c r="AA126" s="326"/>
      <c r="AB126" s="326"/>
      <c r="AC126" s="326"/>
      <c r="AD126" s="326"/>
      <c r="AE126" s="326"/>
      <c r="AF126" s="326"/>
      <c r="AG126" s="326"/>
    </row>
    <row r="127" spans="4:33">
      <c r="D127" s="290" t="s">
        <v>516</v>
      </c>
      <c r="F127" s="275"/>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row>
    <row r="128" spans="4:33">
      <c r="D128" s="893" t="s">
        <v>486</v>
      </c>
      <c r="F128" s="862">
        <f t="shared" ref="F128:Y128" si="70">F21/F119</f>
        <v>3.6876910944784937E-2</v>
      </c>
      <c r="G128" s="889">
        <f t="shared" si="70"/>
        <v>3.4178171577718248E-2</v>
      </c>
      <c r="H128" s="889">
        <f t="shared" si="70"/>
        <v>3.3125394551958669E-2</v>
      </c>
      <c r="I128" s="889">
        <f t="shared" si="70"/>
        <v>3.2807816889103933E-2</v>
      </c>
      <c r="J128" s="889">
        <f t="shared" si="70"/>
        <v>3.4262448214145647E-2</v>
      </c>
      <c r="K128" s="889">
        <f t="shared" si="70"/>
        <v>3.4919559695173574E-2</v>
      </c>
      <c r="L128" s="889">
        <f t="shared" si="70"/>
        <v>3.4647064614576839E-2</v>
      </c>
      <c r="M128" s="889">
        <f t="shared" si="70"/>
        <v>3.6614014822121559E-2</v>
      </c>
      <c r="N128" s="889">
        <f t="shared" si="70"/>
        <v>3.6669672377517282E-2</v>
      </c>
      <c r="O128" s="889">
        <f t="shared" si="70"/>
        <v>3.6102320513683742E-2</v>
      </c>
      <c r="P128" s="889">
        <f t="shared" si="70"/>
        <v>3.8126224587010836E-2</v>
      </c>
      <c r="Q128" s="889">
        <f t="shared" si="70"/>
        <v>3.8953788774134537E-2</v>
      </c>
      <c r="R128" s="889">
        <f t="shared" si="70"/>
        <v>3.8396839631212161E-2</v>
      </c>
      <c r="S128" s="887">
        <f t="shared" si="70"/>
        <v>3.5272195625376257E-2</v>
      </c>
      <c r="T128" s="887">
        <f t="shared" si="70"/>
        <v>3.4424151475361382E-2</v>
      </c>
      <c r="U128" s="859">
        <f t="shared" si="70"/>
        <v>3.2494799828240981E-2</v>
      </c>
      <c r="V128" s="859">
        <f t="shared" si="70"/>
        <v>2.9153297387891016E-2</v>
      </c>
      <c r="W128" s="859">
        <f t="shared" si="70"/>
        <v>3.1378737993523989E-2</v>
      </c>
      <c r="X128" s="859">
        <f t="shared" si="70"/>
        <v>3.1976603012038446E-2</v>
      </c>
      <c r="Y128" s="859">
        <f t="shared" si="70"/>
        <v>3.1133462612142265E-2</v>
      </c>
      <c r="Z128" s="888">
        <f t="shared" ref="Z128:AC130" si="71">Y128</f>
        <v>3.1133462612142265E-2</v>
      </c>
      <c r="AA128" s="888">
        <f t="shared" si="71"/>
        <v>3.1133462612142265E-2</v>
      </c>
      <c r="AB128" s="888">
        <f t="shared" si="71"/>
        <v>3.1133462612142265E-2</v>
      </c>
      <c r="AC128" s="888">
        <f t="shared" si="71"/>
        <v>3.1133462612142265E-2</v>
      </c>
      <c r="AD128" s="888">
        <f t="shared" ref="AD128:AD131" si="72">AC128</f>
        <v>3.1133462612142265E-2</v>
      </c>
      <c r="AE128" s="888">
        <f t="shared" ref="AE128:AE131" si="73">AD128</f>
        <v>3.1133462612142265E-2</v>
      </c>
      <c r="AF128" s="888">
        <f t="shared" ref="AF128:AF131" si="74">AE128</f>
        <v>3.1133462612142265E-2</v>
      </c>
      <c r="AG128" s="888">
        <f t="shared" ref="AG128:AG131" si="75">AF128</f>
        <v>3.1133462612142265E-2</v>
      </c>
    </row>
    <row r="129" spans="4:33">
      <c r="D129" s="893" t="s">
        <v>483</v>
      </c>
      <c r="F129" s="862">
        <f t="shared" ref="F129:Y129" si="76">F23/F124</f>
        <v>2.240196447996209E-3</v>
      </c>
      <c r="G129" s="889">
        <f t="shared" si="76"/>
        <v>2.2053549443843742E-3</v>
      </c>
      <c r="H129" s="889">
        <f t="shared" si="76"/>
        <v>2.1500389958053158E-3</v>
      </c>
      <c r="I129" s="889">
        <f t="shared" si="76"/>
        <v>2.106705133926255E-3</v>
      </c>
      <c r="J129" s="889">
        <f t="shared" si="76"/>
        <v>2.1433489549785665E-3</v>
      </c>
      <c r="K129" s="889">
        <f t="shared" si="76"/>
        <v>2.1078945417183047E-3</v>
      </c>
      <c r="L129" s="889">
        <f t="shared" si="76"/>
        <v>2.1105650604620811E-3</v>
      </c>
      <c r="M129" s="889">
        <f t="shared" si="76"/>
        <v>2.1540390760891553E-3</v>
      </c>
      <c r="N129" s="889">
        <f t="shared" si="76"/>
        <v>2.1611001964636544E-3</v>
      </c>
      <c r="O129" s="889">
        <f t="shared" si="76"/>
        <v>2.1607977741870715E-3</v>
      </c>
      <c r="P129" s="889">
        <f t="shared" si="76"/>
        <v>2.1270666914360021E-3</v>
      </c>
      <c r="Q129" s="889">
        <f t="shared" si="76"/>
        <v>2.1005127452509149E-3</v>
      </c>
      <c r="R129" s="889">
        <f t="shared" si="76"/>
        <v>2.0536866401323086E-3</v>
      </c>
      <c r="S129" s="887">
        <f t="shared" si="76"/>
        <v>1.9844785428257557E-3</v>
      </c>
      <c r="T129" s="887">
        <f t="shared" si="76"/>
        <v>1.9410451645918069E-3</v>
      </c>
      <c r="U129" s="859">
        <f t="shared" si="76"/>
        <v>1.8563448138906398E-3</v>
      </c>
      <c r="V129" s="859">
        <f t="shared" si="76"/>
        <v>1.8211526023760084E-3</v>
      </c>
      <c r="W129" s="859">
        <f t="shared" si="76"/>
        <v>1.8349392542940928E-3</v>
      </c>
      <c r="X129" s="859">
        <f t="shared" si="76"/>
        <v>1.9009029288912236E-3</v>
      </c>
      <c r="Y129" s="859">
        <f t="shared" si="76"/>
        <v>1.9988484000987086E-3</v>
      </c>
      <c r="Z129" s="888">
        <f t="shared" si="71"/>
        <v>1.9988484000987086E-3</v>
      </c>
      <c r="AA129" s="888">
        <f t="shared" si="71"/>
        <v>1.9988484000987086E-3</v>
      </c>
      <c r="AB129" s="888">
        <f t="shared" si="71"/>
        <v>1.9988484000987086E-3</v>
      </c>
      <c r="AC129" s="888">
        <f t="shared" si="71"/>
        <v>1.9988484000987086E-3</v>
      </c>
      <c r="AD129" s="888">
        <f t="shared" si="72"/>
        <v>1.9988484000987086E-3</v>
      </c>
      <c r="AE129" s="888">
        <f t="shared" si="73"/>
        <v>1.9988484000987086E-3</v>
      </c>
      <c r="AF129" s="888">
        <f t="shared" si="74"/>
        <v>1.9988484000987086E-3</v>
      </c>
      <c r="AG129" s="888">
        <f t="shared" si="75"/>
        <v>1.9988484000987086E-3</v>
      </c>
    </row>
    <row r="130" spans="4:33">
      <c r="D130" s="893" t="s">
        <v>484</v>
      </c>
      <c r="F130" s="862">
        <f t="shared" ref="F130:Y130" si="77">F24/F125</f>
        <v>9.4079571452485911E-2</v>
      </c>
      <c r="G130" s="889">
        <f t="shared" si="77"/>
        <v>9.4656867134601211E-2</v>
      </c>
      <c r="H130" s="889">
        <f t="shared" si="77"/>
        <v>9.381647122988819E-2</v>
      </c>
      <c r="I130" s="889">
        <f t="shared" si="77"/>
        <v>9.5307846971277754E-2</v>
      </c>
      <c r="J130" s="889">
        <f t="shared" si="77"/>
        <v>9.7996036115393093E-2</v>
      </c>
      <c r="K130" s="889">
        <f t="shared" si="77"/>
        <v>9.5855065646573784E-2</v>
      </c>
      <c r="L130" s="889">
        <f t="shared" si="77"/>
        <v>9.5404944760197466E-2</v>
      </c>
      <c r="M130" s="889">
        <f t="shared" si="77"/>
        <v>9.3364963167890017E-2</v>
      </c>
      <c r="N130" s="889">
        <f t="shared" si="77"/>
        <v>9.3700042003899461E-2</v>
      </c>
      <c r="O130" s="889">
        <f t="shared" si="77"/>
        <v>9.2311376657189692E-2</v>
      </c>
      <c r="P130" s="889">
        <f t="shared" si="77"/>
        <v>9.298249811582586E-2</v>
      </c>
      <c r="Q130" s="889">
        <f t="shared" si="77"/>
        <v>9.2956208236938218E-2</v>
      </c>
      <c r="R130" s="889">
        <f t="shared" si="77"/>
        <v>9.2425538756596287E-2</v>
      </c>
      <c r="S130" s="887">
        <f t="shared" si="77"/>
        <v>9.2274459687178373E-2</v>
      </c>
      <c r="T130" s="887">
        <f t="shared" si="77"/>
        <v>9.1510855611988615E-2</v>
      </c>
      <c r="U130" s="859">
        <f t="shared" si="77"/>
        <v>9.0538380697990112E-2</v>
      </c>
      <c r="V130" s="859">
        <f t="shared" si="77"/>
        <v>8.9375101797057391E-2</v>
      </c>
      <c r="W130" s="859">
        <f t="shared" si="77"/>
        <v>8.8824647340667584E-2</v>
      </c>
      <c r="X130" s="859">
        <f t="shared" si="77"/>
        <v>8.869385920854371E-2</v>
      </c>
      <c r="Y130" s="859">
        <f t="shared" si="77"/>
        <v>8.8180749640851513E-2</v>
      </c>
      <c r="Z130" s="888">
        <f t="shared" si="71"/>
        <v>8.8180749640851513E-2</v>
      </c>
      <c r="AA130" s="888">
        <f t="shared" si="71"/>
        <v>8.8180749640851513E-2</v>
      </c>
      <c r="AB130" s="888">
        <f t="shared" si="71"/>
        <v>8.8180749640851513E-2</v>
      </c>
      <c r="AC130" s="888">
        <f t="shared" si="71"/>
        <v>8.8180749640851513E-2</v>
      </c>
      <c r="AD130" s="888">
        <f t="shared" si="72"/>
        <v>8.8180749640851513E-2</v>
      </c>
      <c r="AE130" s="888">
        <f t="shared" si="73"/>
        <v>8.8180749640851513E-2</v>
      </c>
      <c r="AF130" s="888">
        <f t="shared" si="74"/>
        <v>8.8180749640851513E-2</v>
      </c>
      <c r="AG130" s="888">
        <f t="shared" si="75"/>
        <v>8.8180749640851513E-2</v>
      </c>
    </row>
    <row r="131" spans="4:33">
      <c r="D131" s="852" t="s">
        <v>517</v>
      </c>
      <c r="E131" s="358"/>
      <c r="F131" s="855">
        <f t="shared" ref="F131:Y131" si="78">F25/F126</f>
        <v>3.9386270167668463E-2</v>
      </c>
      <c r="G131" s="856">
        <f t="shared" si="78"/>
        <v>3.7569620253164557E-2</v>
      </c>
      <c r="H131" s="856">
        <f t="shared" si="78"/>
        <v>3.5732084122396097E-2</v>
      </c>
      <c r="I131" s="856">
        <f t="shared" si="78"/>
        <v>3.7569944044764186E-2</v>
      </c>
      <c r="J131" s="856">
        <f t="shared" si="78"/>
        <v>3.8725758404766247E-2</v>
      </c>
      <c r="K131" s="856">
        <f t="shared" si="78"/>
        <v>3.4851138353765319E-2</v>
      </c>
      <c r="L131" s="856">
        <f t="shared" si="78"/>
        <v>3.99592153816275E-2</v>
      </c>
      <c r="M131" s="856">
        <f t="shared" si="78"/>
        <v>3.7931941764602697E-2</v>
      </c>
      <c r="N131" s="856">
        <f t="shared" si="78"/>
        <v>3.6937984496124031E-2</v>
      </c>
      <c r="O131" s="856">
        <f t="shared" si="78"/>
        <v>4.3957341308881979E-2</v>
      </c>
      <c r="P131" s="856">
        <f t="shared" si="78"/>
        <v>5.8747553816046967E-2</v>
      </c>
      <c r="Q131" s="856">
        <f t="shared" si="78"/>
        <v>7.0726462908923357E-2</v>
      </c>
      <c r="R131" s="860">
        <f t="shared" si="78"/>
        <v>5.1590868236563003E-2</v>
      </c>
      <c r="S131" s="860">
        <f t="shared" si="78"/>
        <v>5.2046991812032747E-2</v>
      </c>
      <c r="T131" s="809">
        <f t="shared" si="78"/>
        <v>5.8397613156745742E-2</v>
      </c>
      <c r="U131" s="890">
        <f t="shared" si="78"/>
        <v>6.4531816991507993E-2</v>
      </c>
      <c r="V131" s="890">
        <f t="shared" si="78"/>
        <v>5.6696764484574863E-2</v>
      </c>
      <c r="W131" s="890">
        <f t="shared" si="78"/>
        <v>5.3919791137863507E-2</v>
      </c>
      <c r="X131" s="890">
        <f t="shared" si="78"/>
        <v>5.7132020825431847E-2</v>
      </c>
      <c r="Y131" s="890">
        <f t="shared" si="78"/>
        <v>5.9316683036340669E-2</v>
      </c>
      <c r="Z131" s="858">
        <f t="shared" ref="Z131:AC131" si="79">Y131</f>
        <v>5.9316683036340669E-2</v>
      </c>
      <c r="AA131" s="858">
        <f t="shared" si="79"/>
        <v>5.9316683036340669E-2</v>
      </c>
      <c r="AB131" s="858">
        <f t="shared" si="79"/>
        <v>5.9316683036340669E-2</v>
      </c>
      <c r="AC131" s="888">
        <f t="shared" si="79"/>
        <v>5.9316683036340669E-2</v>
      </c>
      <c r="AD131" s="888">
        <f t="shared" si="72"/>
        <v>5.9316683036340669E-2</v>
      </c>
      <c r="AE131" s="888">
        <f t="shared" si="73"/>
        <v>5.9316683036340669E-2</v>
      </c>
      <c r="AF131" s="888">
        <f t="shared" si="74"/>
        <v>5.9316683036340669E-2</v>
      </c>
      <c r="AG131" s="888">
        <f t="shared" si="75"/>
        <v>5.9316683036340669E-2</v>
      </c>
    </row>
    <row r="135" spans="4:33">
      <c r="D135" s="1409" t="s">
        <v>1705</v>
      </c>
      <c r="E135" s="1409"/>
      <c r="F135" s="1409"/>
      <c r="G135" s="1409"/>
      <c r="H135" s="1409"/>
      <c r="I135" s="1409"/>
      <c r="J135" s="1409"/>
      <c r="K135" s="1409"/>
      <c r="L135" s="1409"/>
      <c r="M135" s="1409"/>
      <c r="N135" s="1409"/>
      <c r="O135" s="1409"/>
      <c r="P135" s="1409"/>
      <c r="Q135" s="1409"/>
      <c r="R135" s="1409"/>
      <c r="S135" s="1409"/>
      <c r="T135" s="1409"/>
      <c r="U135" s="1409"/>
      <c r="V135" s="1409"/>
      <c r="W135" s="1409"/>
      <c r="X135" s="1409"/>
      <c r="Y135" s="1409"/>
      <c r="Z135" s="1409"/>
      <c r="AA135" s="1409"/>
      <c r="AB135" s="1409"/>
      <c r="AC135" s="1409"/>
    </row>
    <row r="136" spans="4:33">
      <c r="D136" s="820" t="s">
        <v>1698</v>
      </c>
      <c r="E136" s="447"/>
      <c r="F136" s="287"/>
      <c r="G136" s="287"/>
      <c r="H136" s="287"/>
      <c r="I136" s="287"/>
      <c r="J136" s="287"/>
      <c r="K136" s="287"/>
      <c r="L136" s="287"/>
      <c r="M136" s="287"/>
      <c r="N136" s="287"/>
      <c r="O136" s="287"/>
      <c r="P136" s="287"/>
      <c r="Q136" s="287"/>
      <c r="R136" s="287"/>
      <c r="S136" s="894"/>
      <c r="T136" s="287"/>
      <c r="U136" s="291"/>
      <c r="V136" s="291"/>
      <c r="W136" s="291"/>
      <c r="X136" s="291"/>
      <c r="Y136" s="291"/>
      <c r="Z136" s="291"/>
      <c r="AA136" s="291"/>
      <c r="AB136" s="291"/>
      <c r="AC136" s="218"/>
    </row>
    <row r="137" spans="4:33">
      <c r="D137" s="810" t="s">
        <v>511</v>
      </c>
      <c r="E137" s="811"/>
      <c r="F137" s="812"/>
      <c r="G137" s="812">
        <f>(G119/F119)^4-1</f>
        <v>2.8749393280061097E-2</v>
      </c>
      <c r="H137" s="812">
        <f t="shared" ref="H137:S137" si="80">(H119/G119)^4-1</f>
        <v>4.835619208374009E-2</v>
      </c>
      <c r="I137" s="812">
        <f t="shared" si="80"/>
        <v>4.0990394317915957E-2</v>
      </c>
      <c r="J137" s="812">
        <f t="shared" si="80"/>
        <v>-0.21110677102287756</v>
      </c>
      <c r="K137" s="812">
        <f t="shared" si="80"/>
        <v>0.22783396531706446</v>
      </c>
      <c r="L137" s="812">
        <f t="shared" si="80"/>
        <v>0.13475269153096958</v>
      </c>
      <c r="M137" s="812">
        <f t="shared" si="80"/>
        <v>4.6169492161351133E-2</v>
      </c>
      <c r="N137" s="812">
        <f t="shared" si="80"/>
        <v>0.15354153816413141</v>
      </c>
      <c r="O137" s="812">
        <f t="shared" si="80"/>
        <v>9.5222733313579777E-2</v>
      </c>
      <c r="P137" s="812">
        <f t="shared" si="80"/>
        <v>8.911535984386032E-2</v>
      </c>
      <c r="Q137" s="812">
        <f t="shared" si="80"/>
        <v>3.6094141365687449E-2</v>
      </c>
      <c r="R137" s="812">
        <f t="shared" si="80"/>
        <v>5.413631344975145E-2</v>
      </c>
      <c r="S137" s="812">
        <f t="shared" si="80"/>
        <v>9.2161469921289818E-2</v>
      </c>
      <c r="T137" s="813"/>
      <c r="U137" s="326"/>
      <c r="V137" s="326"/>
      <c r="W137" s="326"/>
      <c r="X137" s="326"/>
      <c r="Y137" s="326"/>
      <c r="Z137" s="326"/>
      <c r="AA137" s="326"/>
      <c r="AB137" s="326"/>
      <c r="AC137" s="432"/>
    </row>
    <row r="138" spans="4:33">
      <c r="D138" s="814" t="s">
        <v>785</v>
      </c>
      <c r="E138" s="815"/>
      <c r="F138" s="812"/>
      <c r="G138" s="812">
        <f t="shared" ref="G138:S138" si="81">(G120/F120)^4-1</f>
        <v>2.4344330774321188E-2</v>
      </c>
      <c r="H138" s="812">
        <f t="shared" si="81"/>
        <v>6.458521711215659E-2</v>
      </c>
      <c r="I138" s="812">
        <f t="shared" si="81"/>
        <v>6.3735896602801656E-2</v>
      </c>
      <c r="J138" s="812">
        <f t="shared" si="81"/>
        <v>-0.23741446237196107</v>
      </c>
      <c r="K138" s="812">
        <f t="shared" si="81"/>
        <v>0.20825635125685005</v>
      </c>
      <c r="L138" s="812">
        <f t="shared" si="81"/>
        <v>0.16484895945116618</v>
      </c>
      <c r="M138" s="812">
        <f t="shared" si="81"/>
        <v>3.3279228577432596E-2</v>
      </c>
      <c r="N138" s="812">
        <f t="shared" si="81"/>
        <v>0.12327736678651791</v>
      </c>
      <c r="O138" s="812">
        <f t="shared" si="81"/>
        <v>0.11425899665317862</v>
      </c>
      <c r="P138" s="812">
        <f t="shared" si="81"/>
        <v>0.12263929791752348</v>
      </c>
      <c r="Q138" s="812">
        <f t="shared" si="81"/>
        <v>5.1533573038161862E-2</v>
      </c>
      <c r="R138" s="812">
        <f t="shared" si="81"/>
        <v>3.8141135194219355E-2</v>
      </c>
      <c r="S138" s="812">
        <f t="shared" si="81"/>
        <v>0.10690257689405547</v>
      </c>
      <c r="T138" s="813"/>
      <c r="U138" s="326"/>
      <c r="V138" s="326"/>
      <c r="W138" s="326"/>
      <c r="X138" s="326"/>
      <c r="Y138" s="326"/>
      <c r="Z138" s="326"/>
      <c r="AA138" s="326"/>
      <c r="AB138" s="326"/>
      <c r="AC138" s="432"/>
    </row>
    <row r="139" spans="4:33">
      <c r="D139" s="814" t="s">
        <v>512</v>
      </c>
      <c r="E139" s="815"/>
      <c r="F139" s="812"/>
      <c r="G139" s="812">
        <f t="shared" ref="G139:S139" si="82">(G121/F121)^4-1</f>
        <v>9.8940383820250055E-2</v>
      </c>
      <c r="H139" s="812">
        <f t="shared" si="82"/>
        <v>2.8319568411775409E-2</v>
      </c>
      <c r="I139" s="812">
        <f t="shared" si="82"/>
        <v>-8.5739008681605666E-3</v>
      </c>
      <c r="J139" s="812">
        <f t="shared" si="82"/>
        <v>-0.35934262816006057</v>
      </c>
      <c r="K139" s="812">
        <f t="shared" si="82"/>
        <v>1.0628477511227197</v>
      </c>
      <c r="L139" s="812">
        <f t="shared" si="82"/>
        <v>-8.510473536398655E-2</v>
      </c>
      <c r="M139" s="812">
        <f t="shared" si="82"/>
        <v>-1.0116134762455764E-2</v>
      </c>
      <c r="N139" s="812">
        <f t="shared" si="82"/>
        <v>0.36625083933278457</v>
      </c>
      <c r="O139" s="812">
        <f t="shared" si="82"/>
        <v>1.9648773635073002E-2</v>
      </c>
      <c r="P139" s="812">
        <f t="shared" si="82"/>
        <v>-5.1624450555260104E-2</v>
      </c>
      <c r="Q139" s="812">
        <f t="shared" si="82"/>
        <v>-2.8627082405951798E-2</v>
      </c>
      <c r="R139" s="812">
        <f t="shared" si="82"/>
        <v>4.1627414399892038E-2</v>
      </c>
      <c r="S139" s="812">
        <f t="shared" si="82"/>
        <v>7.6492470624414111E-2</v>
      </c>
      <c r="T139" s="813"/>
      <c r="U139" s="326"/>
      <c r="V139" s="326"/>
      <c r="W139" s="326"/>
      <c r="X139" s="326"/>
      <c r="Y139" s="326"/>
      <c r="Z139" s="326"/>
      <c r="AA139" s="326"/>
      <c r="AB139" s="326"/>
      <c r="AC139" s="432"/>
    </row>
    <row r="140" spans="4:33">
      <c r="D140" s="814" t="s">
        <v>513</v>
      </c>
      <c r="E140" s="815"/>
      <c r="F140" s="812"/>
      <c r="G140" s="812">
        <f t="shared" ref="G140:S140" si="83">(G122/F122)^4-1</f>
        <v>6.6826407149440659E-2</v>
      </c>
      <c r="H140" s="812">
        <f t="shared" si="83"/>
        <v>0.14817313810277866</v>
      </c>
      <c r="I140" s="812">
        <f t="shared" si="83"/>
        <v>0.18711939115613641</v>
      </c>
      <c r="J140" s="812">
        <f t="shared" si="83"/>
        <v>-1.4497377499696595E-2</v>
      </c>
      <c r="K140" s="812">
        <f t="shared" si="83"/>
        <v>0.15452590504057984</v>
      </c>
      <c r="L140" s="812">
        <f t="shared" si="83"/>
        <v>8.1300944253331897E-2</v>
      </c>
      <c r="M140" s="812">
        <f t="shared" si="83"/>
        <v>5.9196932796567792E-2</v>
      </c>
      <c r="N140" s="812">
        <f t="shared" si="83"/>
        <v>8.1188632132453531E-2</v>
      </c>
      <c r="O140" s="812">
        <f t="shared" si="83"/>
        <v>7.7476467280115147E-2</v>
      </c>
      <c r="P140" s="812">
        <f t="shared" si="83"/>
        <v>6.5254580521259653E-2</v>
      </c>
      <c r="Q140" s="812">
        <f t="shared" si="83"/>
        <v>8.1637129935556718E-3</v>
      </c>
      <c r="R140" s="812">
        <f t="shared" si="83"/>
        <v>0.19484297690017338</v>
      </c>
      <c r="S140" s="812">
        <f t="shared" si="83"/>
        <v>8.3858639128562951E-2</v>
      </c>
      <c r="T140" s="813"/>
      <c r="U140" s="326"/>
      <c r="V140" s="326"/>
      <c r="W140" s="326"/>
      <c r="X140" s="326"/>
      <c r="Y140" s="326"/>
      <c r="Z140" s="326"/>
      <c r="AA140" s="326"/>
      <c r="AB140" s="326"/>
      <c r="AC140" s="432"/>
    </row>
    <row r="141" spans="4:33">
      <c r="D141" s="814" t="s">
        <v>514</v>
      </c>
      <c r="E141" s="815"/>
      <c r="F141" s="812"/>
      <c r="G141" s="812">
        <f t="shared" ref="G141:S141" si="84">(G123/F123)^4-1</f>
        <v>-1.0795127714819941E-3</v>
      </c>
      <c r="H141" s="812">
        <f t="shared" si="84"/>
        <v>-1.2766294214684004E-2</v>
      </c>
      <c r="I141" s="812">
        <f t="shared" si="84"/>
        <v>-3.568143513043176E-2</v>
      </c>
      <c r="J141" s="812">
        <f t="shared" si="84"/>
        <v>-7.4769653961980542E-2</v>
      </c>
      <c r="K141" s="812">
        <f t="shared" si="84"/>
        <v>-6.6735950541658706E-3</v>
      </c>
      <c r="L141" s="812">
        <f t="shared" si="84"/>
        <v>0.19263809895026496</v>
      </c>
      <c r="M141" s="812">
        <f t="shared" si="84"/>
        <v>0.11877926392131299</v>
      </c>
      <c r="N141" s="812">
        <f t="shared" si="84"/>
        <v>0.16392554515507163</v>
      </c>
      <c r="O141" s="812">
        <f t="shared" si="84"/>
        <v>8.2875517920269814E-2</v>
      </c>
      <c r="P141" s="812">
        <f t="shared" si="84"/>
        <v>7.0444876940621848E-2</v>
      </c>
      <c r="Q141" s="812">
        <f t="shared" si="84"/>
        <v>2.8750606091571207E-2</v>
      </c>
      <c r="R141" s="812">
        <f t="shared" si="84"/>
        <v>7.9838468306118182E-2</v>
      </c>
      <c r="S141" s="812">
        <f t="shared" si="84"/>
        <v>5.559908334102559E-2</v>
      </c>
      <c r="T141" s="813"/>
      <c r="U141" s="326"/>
      <c r="V141" s="326"/>
      <c r="W141" s="326"/>
      <c r="X141" s="326"/>
      <c r="Y141" s="326"/>
      <c r="Z141" s="326"/>
      <c r="AA141" s="326"/>
      <c r="AB141" s="326"/>
      <c r="AC141" s="432"/>
    </row>
    <row r="142" spans="4:33">
      <c r="D142" s="810" t="s">
        <v>501</v>
      </c>
      <c r="E142" s="811"/>
      <c r="F142" s="812"/>
      <c r="G142" s="812">
        <f t="shared" ref="G142:S142" si="85">(G124/F124)^4-1</f>
        <v>2.4344330774321188E-2</v>
      </c>
      <c r="H142" s="812">
        <f t="shared" si="85"/>
        <v>6.458521711215659E-2</v>
      </c>
      <c r="I142" s="812">
        <f t="shared" si="85"/>
        <v>6.3735896602801656E-2</v>
      </c>
      <c r="J142" s="812">
        <f t="shared" si="85"/>
        <v>-0.23741446237196107</v>
      </c>
      <c r="K142" s="812">
        <f t="shared" si="85"/>
        <v>0.20825635125685005</v>
      </c>
      <c r="L142" s="812">
        <f t="shared" si="85"/>
        <v>0.16484895945116618</v>
      </c>
      <c r="M142" s="812">
        <f t="shared" si="85"/>
        <v>3.3279228577432596E-2</v>
      </c>
      <c r="N142" s="812">
        <f t="shared" si="85"/>
        <v>0.12327736678651791</v>
      </c>
      <c r="O142" s="812">
        <f t="shared" si="85"/>
        <v>0.11425899665317862</v>
      </c>
      <c r="P142" s="812">
        <f t="shared" si="85"/>
        <v>0.12263929791752348</v>
      </c>
      <c r="Q142" s="812">
        <f t="shared" si="85"/>
        <v>5.1533573038161862E-2</v>
      </c>
      <c r="R142" s="812">
        <f t="shared" si="85"/>
        <v>3.8141135194219355E-2</v>
      </c>
      <c r="S142" s="812">
        <f t="shared" si="85"/>
        <v>0.10690257689405547</v>
      </c>
      <c r="T142" s="813"/>
      <c r="U142" s="326"/>
      <c r="V142" s="326"/>
      <c r="W142" s="326"/>
      <c r="X142" s="326"/>
      <c r="Y142" s="326"/>
      <c r="Z142" s="326"/>
      <c r="AA142" s="326"/>
      <c r="AB142" s="326"/>
      <c r="AC142" s="432"/>
    </row>
    <row r="143" spans="4:33">
      <c r="D143" s="810" t="s">
        <v>502</v>
      </c>
      <c r="E143" s="815"/>
      <c r="F143" s="812"/>
      <c r="G143" s="812">
        <f t="shared" ref="G143:S143" si="86">(G125/F125)^4-1</f>
        <v>5.143483996947551E-2</v>
      </c>
      <c r="H143" s="812">
        <f t="shared" si="86"/>
        <v>4.2059061110245599E-2</v>
      </c>
      <c r="I143" s="812">
        <f t="shared" si="86"/>
        <v>-5.2099731854827525E-2</v>
      </c>
      <c r="J143" s="812">
        <f t="shared" si="86"/>
        <v>-0.31458793015184205</v>
      </c>
      <c r="K143" s="812">
        <f t="shared" si="86"/>
        <v>0.45217378617217441</v>
      </c>
      <c r="L143" s="812">
        <f t="shared" si="86"/>
        <v>7.697387214774043E-2</v>
      </c>
      <c r="M143" s="812">
        <f t="shared" si="86"/>
        <v>0.14018234924805895</v>
      </c>
      <c r="N143" s="812">
        <f t="shared" si="86"/>
        <v>0.2071040207465018</v>
      </c>
      <c r="O143" s="812">
        <f t="shared" si="86"/>
        <v>8.6478031973165059E-2</v>
      </c>
      <c r="P143" s="812">
        <f t="shared" si="86"/>
        <v>0.11069891254354447</v>
      </c>
      <c r="Q143" s="812">
        <f t="shared" si="86"/>
        <v>7.6866159166873782E-2</v>
      </c>
      <c r="R143" s="812">
        <f t="shared" si="86"/>
        <v>9.3412653381198307E-2</v>
      </c>
      <c r="S143" s="812">
        <f t="shared" si="86"/>
        <v>6.3255851262993046E-2</v>
      </c>
      <c r="T143" s="813"/>
      <c r="U143" s="326"/>
      <c r="V143" s="326"/>
      <c r="W143" s="326"/>
      <c r="X143" s="326"/>
      <c r="Y143" s="326"/>
      <c r="Z143" s="326"/>
      <c r="AA143" s="326"/>
      <c r="AB143" s="326"/>
      <c r="AC143" s="432"/>
    </row>
    <row r="144" spans="4:33">
      <c r="D144" s="816" t="s">
        <v>515</v>
      </c>
      <c r="E144" s="817"/>
      <c r="F144" s="818"/>
      <c r="G144" s="818">
        <f t="shared" ref="G144:S144" si="87">(G126/F126)^4-1</f>
        <v>0.1758865286082909</v>
      </c>
      <c r="H144" s="818">
        <f t="shared" si="87"/>
        <v>6.5552449536000035E-2</v>
      </c>
      <c r="I144" s="818">
        <f t="shared" si="87"/>
        <v>-0.41963909421919576</v>
      </c>
      <c r="J144" s="818">
        <f t="shared" si="87"/>
        <v>-0.22193367207862924</v>
      </c>
      <c r="K144" s="818">
        <f t="shared" si="87"/>
        <v>2.7172895933690313</v>
      </c>
      <c r="L144" s="818">
        <f t="shared" si="87"/>
        <v>-0.33877824443000826</v>
      </c>
      <c r="M144" s="818">
        <f t="shared" si="87"/>
        <v>0.50283948391983824</v>
      </c>
      <c r="N144" s="818">
        <f t="shared" si="87"/>
        <v>0.63845566586397662</v>
      </c>
      <c r="O144" s="818">
        <f t="shared" si="87"/>
        <v>-5.8959746681685132E-2</v>
      </c>
      <c r="P144" s="818">
        <f t="shared" si="87"/>
        <v>2.206047378184639E-2</v>
      </c>
      <c r="Q144" s="818">
        <f t="shared" si="87"/>
        <v>7.9610572291598736E-2</v>
      </c>
      <c r="R144" s="818">
        <f t="shared" si="87"/>
        <v>0.30102460615002213</v>
      </c>
      <c r="S144" s="818">
        <f t="shared" si="87"/>
        <v>4.0137369361875175E-2</v>
      </c>
      <c r="T144" s="819"/>
      <c r="U144" s="270"/>
      <c r="V144" s="270"/>
      <c r="W144" s="270"/>
      <c r="X144" s="270"/>
      <c r="Y144" s="270"/>
      <c r="Z144" s="270"/>
      <c r="AA144" s="270"/>
      <c r="AB144" s="270"/>
      <c r="AC144" s="271"/>
    </row>
    <row r="147" ht="14.9" customHeight="1"/>
  </sheetData>
  <mergeCells count="38">
    <mergeCell ref="D135:AC135"/>
    <mergeCell ref="D111:E111"/>
    <mergeCell ref="D109:E110"/>
    <mergeCell ref="Y43:AB43"/>
    <mergeCell ref="D99:E100"/>
    <mergeCell ref="F99:H99"/>
    <mergeCell ref="I99:L99"/>
    <mergeCell ref="M109:P109"/>
    <mergeCell ref="F109:H109"/>
    <mergeCell ref="I109:L109"/>
    <mergeCell ref="Q109:T109"/>
    <mergeCell ref="AC99:AF99"/>
    <mergeCell ref="AC109:AF109"/>
    <mergeCell ref="Y109:AB109"/>
    <mergeCell ref="O66:V66"/>
    <mergeCell ref="P67:S67"/>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F42:V42"/>
    <mergeCell ref="W42:AG42"/>
    <mergeCell ref="F43:H43"/>
    <mergeCell ref="M43:P43"/>
    <mergeCell ref="Q43:T43"/>
    <mergeCell ref="I43:L43"/>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16" zoomScale="91" zoomScaleNormal="91" workbookViewId="0">
      <pane xSplit="3" topLeftCell="N1" activePane="topRight" state="frozen"/>
      <selection activeCell="A16" sqref="A16"/>
      <selection pane="topRight" activeCell="Z48" sqref="Z48"/>
    </sheetView>
  </sheetViews>
  <sheetFormatPr defaultColWidth="10.81640625" defaultRowHeight="14.5"/>
  <cols>
    <col min="2" max="2" width="37" customWidth="1"/>
    <col min="3" max="3" width="13.1796875" customWidth="1"/>
    <col min="20" max="29" width="11.54296875" customWidth="1"/>
    <col min="30" max="32" width="12.1796875" customWidth="1"/>
  </cols>
  <sheetData>
    <row r="1" spans="2:36">
      <c r="B1" s="1297" t="s">
        <v>1706</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6">
      <c r="B2" s="1349" t="s">
        <v>1707</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2:36">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2:36">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2:36">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row>
    <row r="6" spans="2:36">
      <c r="B6" s="56"/>
      <c r="C6" s="935"/>
      <c r="D6" s="933"/>
      <c r="E6" s="933"/>
      <c r="F6" s="933"/>
      <c r="G6" s="933"/>
      <c r="H6" s="933"/>
      <c r="I6" s="933"/>
      <c r="J6" s="933"/>
      <c r="K6" s="933"/>
      <c r="L6" s="933"/>
      <c r="M6" s="933"/>
      <c r="N6" s="933"/>
      <c r="O6" s="933"/>
      <c r="P6" s="933"/>
      <c r="Q6" s="933"/>
      <c r="R6" s="933"/>
      <c r="S6" s="933"/>
      <c r="T6" s="933"/>
      <c r="U6" s="933"/>
      <c r="V6" s="933"/>
      <c r="W6" s="933"/>
      <c r="X6" s="933"/>
      <c r="Y6" s="933"/>
      <c r="Z6" s="933"/>
      <c r="AA6" s="933"/>
      <c r="AB6" s="933"/>
      <c r="AC6" s="933"/>
      <c r="AD6" s="933"/>
      <c r="AE6" s="933"/>
      <c r="AF6" s="933"/>
    </row>
    <row r="7" spans="2:36" ht="14.5" customHeight="1">
      <c r="B7" s="1417" t="s">
        <v>1732</v>
      </c>
      <c r="C7" s="1417"/>
      <c r="D7" s="1417"/>
      <c r="E7" s="1417"/>
      <c r="F7" s="1417"/>
      <c r="G7" s="247"/>
      <c r="H7" s="247"/>
      <c r="I7" s="247"/>
      <c r="J7" s="247"/>
      <c r="K7" s="247"/>
      <c r="L7" s="247"/>
      <c r="M7" s="247"/>
      <c r="N7" s="247"/>
      <c r="O7" s="247"/>
      <c r="P7" s="247"/>
      <c r="Q7" s="247"/>
      <c r="R7" s="247"/>
      <c r="S7" s="247"/>
      <c r="T7" s="659"/>
      <c r="U7" s="659"/>
      <c r="V7" s="247"/>
      <c r="W7" s="247"/>
      <c r="X7" s="247"/>
      <c r="Y7" s="247"/>
      <c r="Z7" s="247"/>
      <c r="AA7" s="247"/>
      <c r="AB7" s="247"/>
      <c r="AC7" s="247"/>
    </row>
    <row r="8" spans="2:36">
      <c r="B8" s="1302" t="s">
        <v>1721</v>
      </c>
      <c r="C8" s="1303"/>
      <c r="D8" s="1306" t="s">
        <v>280</v>
      </c>
      <c r="E8" s="1319"/>
      <c r="F8" s="1319"/>
      <c r="G8" s="1319"/>
      <c r="H8" s="1319"/>
      <c r="I8" s="1319"/>
      <c r="J8" s="1319"/>
      <c r="K8" s="1319"/>
      <c r="L8" s="1319"/>
      <c r="M8" s="1319"/>
      <c r="N8" s="1319"/>
      <c r="O8" s="1319"/>
      <c r="P8" s="1319"/>
      <c r="Q8" s="1319"/>
      <c r="R8" s="1319"/>
      <c r="S8" s="1319"/>
      <c r="T8" s="1319"/>
      <c r="U8" s="1319"/>
      <c r="V8" s="1319"/>
      <c r="W8" s="1317" t="s">
        <v>1747</v>
      </c>
      <c r="X8" s="1317"/>
      <c r="Y8" s="1317"/>
      <c r="Z8" s="1317"/>
      <c r="AA8" s="1317"/>
      <c r="AB8" s="1317"/>
      <c r="AC8" s="1317"/>
      <c r="AD8" s="1317"/>
      <c r="AE8" s="1317"/>
      <c r="AF8" s="1347"/>
    </row>
    <row r="9" spans="2:36">
      <c r="B9" s="1304"/>
      <c r="C9" s="1305"/>
      <c r="D9" s="214">
        <v>2018</v>
      </c>
      <c r="E9" s="1299">
        <v>2019</v>
      </c>
      <c r="F9" s="1300"/>
      <c r="G9" s="1300"/>
      <c r="H9" s="1301"/>
      <c r="I9" s="1299">
        <v>2020</v>
      </c>
      <c r="J9" s="1300"/>
      <c r="K9" s="1300"/>
      <c r="L9" s="1300"/>
      <c r="M9" s="1299">
        <v>2021</v>
      </c>
      <c r="N9" s="1300"/>
      <c r="O9" s="1300"/>
      <c r="P9" s="1300"/>
      <c r="Q9" s="1328">
        <v>2022</v>
      </c>
      <c r="R9" s="1392"/>
      <c r="S9" s="557"/>
      <c r="T9" s="296"/>
      <c r="U9" s="239"/>
      <c r="V9" s="557">
        <v>2023</v>
      </c>
      <c r="W9" s="289"/>
      <c r="X9" s="289"/>
      <c r="Y9" s="1308">
        <v>2024</v>
      </c>
      <c r="Z9" s="1309"/>
      <c r="AA9" s="1309"/>
      <c r="AB9" s="1310"/>
      <c r="AC9" s="1308">
        <v>2025</v>
      </c>
      <c r="AD9" s="1309"/>
      <c r="AE9" s="1309"/>
      <c r="AF9" s="1310"/>
      <c r="AG9" s="1308">
        <v>2026</v>
      </c>
      <c r="AH9" s="1309"/>
      <c r="AI9" s="1309"/>
      <c r="AJ9" s="1310"/>
    </row>
    <row r="10" spans="2:36">
      <c r="B10" s="1306"/>
      <c r="C10" s="1307"/>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4" t="s">
        <v>283</v>
      </c>
      <c r="V10" s="215" t="s">
        <v>284</v>
      </c>
      <c r="W10" s="326" t="s">
        <v>238</v>
      </c>
      <c r="X10" s="326" t="s">
        <v>282</v>
      </c>
      <c r="Y10" s="433" t="s">
        <v>283</v>
      </c>
      <c r="Z10" s="333" t="s">
        <v>284</v>
      </c>
      <c r="AA10" s="326" t="s">
        <v>238</v>
      </c>
      <c r="AB10" s="432" t="s">
        <v>282</v>
      </c>
      <c r="AC10" s="911" t="s">
        <v>283</v>
      </c>
      <c r="AD10" s="326" t="s">
        <v>284</v>
      </c>
      <c r="AE10" s="326" t="s">
        <v>238</v>
      </c>
      <c r="AF10" s="432" t="s">
        <v>282</v>
      </c>
      <c r="AG10" s="433" t="s">
        <v>283</v>
      </c>
      <c r="AH10" s="333" t="s">
        <v>284</v>
      </c>
      <c r="AI10" s="326" t="s">
        <v>238</v>
      </c>
      <c r="AJ10" s="432" t="s">
        <v>282</v>
      </c>
    </row>
    <row r="11" spans="2:36">
      <c r="B11" s="1418" t="s">
        <v>1731</v>
      </c>
      <c r="C11" s="1419"/>
      <c r="D11" s="1419"/>
      <c r="E11" s="1419"/>
      <c r="F11" s="1419"/>
      <c r="G11" s="1419"/>
      <c r="H11" s="1419"/>
      <c r="I11" s="1419"/>
      <c r="J11" s="1419"/>
      <c r="K11" s="1419"/>
      <c r="L11" s="1419"/>
      <c r="M11" s="1419"/>
      <c r="N11" s="1419"/>
      <c r="O11" s="1419"/>
      <c r="P11" s="1419"/>
      <c r="Q11" s="1419"/>
      <c r="R11" s="1419"/>
      <c r="S11" s="1419"/>
      <c r="T11" s="1419"/>
      <c r="U11" s="1419"/>
      <c r="V11" s="1419"/>
      <c r="W11" s="1419"/>
      <c r="X11" s="1419"/>
      <c r="Y11" s="1419"/>
      <c r="Z11" s="1419"/>
      <c r="AA11" s="1419"/>
      <c r="AB11" s="1419"/>
      <c r="AC11" s="1419"/>
      <c r="AD11" s="1419"/>
      <c r="AE11" s="1419"/>
      <c r="AF11" s="1420"/>
    </row>
    <row r="12" spans="2:36">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2.423474992777825E-2</v>
      </c>
      <c r="AA12" s="940">
        <f t="shared" si="1"/>
        <v>2.2474645472145172E-2</v>
      </c>
      <c r="AB12" s="940">
        <f t="shared" si="1"/>
        <v>2.0485836297992499E-2</v>
      </c>
      <c r="AC12" s="940">
        <f t="shared" si="1"/>
        <v>2.1796033645922641E-2</v>
      </c>
      <c r="AD12" s="940">
        <f t="shared" si="1"/>
        <v>2.1576747995004641E-2</v>
      </c>
      <c r="AE12" s="940">
        <f t="shared" si="1"/>
        <v>2.0708760783051394E-2</v>
      </c>
      <c r="AF12" s="938">
        <f t="shared" si="1"/>
        <v>2.0110814282412459E-2</v>
      </c>
      <c r="AG12" s="938">
        <f>AG45+AG13</f>
        <v>1.9760549063349009E-2</v>
      </c>
      <c r="AH12" s="938"/>
      <c r="AI12" s="938"/>
      <c r="AJ12" s="938"/>
    </row>
    <row r="13" spans="2:36">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c r="B14" s="744" t="s">
        <v>1711</v>
      </c>
      <c r="C14" s="946"/>
      <c r="D14" s="933">
        <f t="shared" ref="D14:S14" si="2">D48</f>
        <v>2.9477765289275926E-2</v>
      </c>
      <c r="E14" s="933">
        <f t="shared" si="2"/>
        <v>4.2202135370129845E-2</v>
      </c>
      <c r="F14" s="933">
        <f t="shared" si="2"/>
        <v>-2.3704834981612466E-2</v>
      </c>
      <c r="G14" s="933">
        <f t="shared" si="2"/>
        <v>6.4629467492742787E-3</v>
      </c>
      <c r="H14" s="933">
        <f t="shared" si="2"/>
        <v>1.3942439977386201E-2</v>
      </c>
      <c r="I14" s="933">
        <f t="shared" si="2"/>
        <v>1.2621468504538935E-2</v>
      </c>
      <c r="J14" s="933">
        <f t="shared" si="2"/>
        <v>9.5192305533120525E-4</v>
      </c>
      <c r="K14" s="933">
        <f t="shared" si="2"/>
        <v>2.3028813031033213E-2</v>
      </c>
      <c r="L14" s="933">
        <f t="shared" si="2"/>
        <v>2.9378026710950689E-2</v>
      </c>
      <c r="M14" s="933">
        <f t="shared" si="2"/>
        <v>3.4124335135575334E-2</v>
      </c>
      <c r="N14" s="933">
        <f t="shared" si="2"/>
        <v>3.9538213787325915E-2</v>
      </c>
      <c r="O14" s="933">
        <f t="shared" si="2"/>
        <v>4.1165152093425528E-2</v>
      </c>
      <c r="P14" s="933">
        <f t="shared" si="2"/>
        <v>4.6364460300687638E-2</v>
      </c>
      <c r="Q14" s="933">
        <f t="shared" si="2"/>
        <v>7.2410998904413937E-2</v>
      </c>
      <c r="R14" s="933">
        <f t="shared" si="2"/>
        <v>6.8511037124212137E-2</v>
      </c>
      <c r="S14" s="933">
        <f t="shared" si="2"/>
        <v>4.8282007704063767E-2</v>
      </c>
      <c r="T14" s="933">
        <f>T48</f>
        <v>4.093597497107293E-2</v>
      </c>
      <c r="U14" s="933">
        <f>U48+U15</f>
        <v>4.1330736826713066E-2</v>
      </c>
      <c r="V14" s="933">
        <f t="shared" ref="V14:AF14" si="3">V48+V15</f>
        <v>2.0643513935327373E-2</v>
      </c>
      <c r="W14" s="933">
        <f t="shared" si="3"/>
        <v>3.9726565698527727E-2</v>
      </c>
      <c r="X14" s="933">
        <f t="shared" si="3"/>
        <v>3.9575951716406488E-2</v>
      </c>
      <c r="Y14" s="933">
        <f t="shared" si="3"/>
        <v>4.1294742159051934E-2</v>
      </c>
      <c r="Z14" s="933">
        <f t="shared" si="3"/>
        <v>2.5493852387617873E-2</v>
      </c>
      <c r="AA14" s="933">
        <f t="shared" si="3"/>
        <v>2.7505871693797701E-2</v>
      </c>
      <c r="AB14" s="933">
        <f t="shared" si="3"/>
        <v>2.5438723088733628E-2</v>
      </c>
      <c r="AC14" s="933">
        <f t="shared" si="3"/>
        <v>2.4377163912874478E-2</v>
      </c>
      <c r="AD14" s="933">
        <f t="shared" si="3"/>
        <v>2.3708971853545924E-2</v>
      </c>
      <c r="AE14" s="933">
        <f t="shared" si="3"/>
        <v>2.3471980846518914E-2</v>
      </c>
      <c r="AF14" s="965">
        <f t="shared" si="3"/>
        <v>2.3530345294352939E-2</v>
      </c>
      <c r="AG14" s="965">
        <f t="shared" ref="AG14" si="4">AG48+AG15</f>
        <v>1.7936865457563567E-2</v>
      </c>
      <c r="AH14" s="965"/>
      <c r="AI14" s="965"/>
      <c r="AJ14" s="965"/>
    </row>
    <row r="15" spans="2:36">
      <c r="B15" s="319"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c r="B16" s="744" t="s">
        <v>1712</v>
      </c>
      <c r="C16" s="946"/>
      <c r="D16" s="933">
        <f t="shared" ref="D16:T16" si="5">D49</f>
        <v>1.7606158659444704E-2</v>
      </c>
      <c r="E16" s="933">
        <f t="shared" si="5"/>
        <v>-1.7151418638734928E-2</v>
      </c>
      <c r="F16" s="933">
        <f t="shared" si="5"/>
        <v>2.7663740902592604E-2</v>
      </c>
      <c r="G16" s="933">
        <f t="shared" si="5"/>
        <v>1.5104723907904294E-2</v>
      </c>
      <c r="H16" s="933">
        <f t="shared" si="5"/>
        <v>2.4480958799653285E-2</v>
      </c>
      <c r="I16" s="933">
        <f t="shared" si="5"/>
        <v>5.2574904831641067E-2</v>
      </c>
      <c r="J16" s="933">
        <f t="shared" si="5"/>
        <v>-8.4277759405785302E-3</v>
      </c>
      <c r="K16" s="933">
        <f t="shared" si="5"/>
        <v>4.907445416510936E-2</v>
      </c>
      <c r="L16" s="933">
        <f t="shared" si="5"/>
        <v>5.0954864858178572E-2</v>
      </c>
      <c r="M16" s="933">
        <f t="shared" si="5"/>
        <v>9.2354867824980369E-2</v>
      </c>
      <c r="N16" s="933">
        <f t="shared" si="5"/>
        <v>7.5885854631137173E-2</v>
      </c>
      <c r="O16" s="933">
        <f t="shared" si="5"/>
        <v>6.4839018796936099E-2</v>
      </c>
      <c r="P16" s="933">
        <f t="shared" si="5"/>
        <v>7.8606616627874493E-2</v>
      </c>
      <c r="Q16" s="933">
        <f t="shared" si="5"/>
        <v>9.0996244334734522E-2</v>
      </c>
      <c r="R16" s="933">
        <f t="shared" si="5"/>
        <v>0.13763433325959551</v>
      </c>
      <c r="S16" s="933">
        <f t="shared" si="5"/>
        <v>1.6839709416048398E-2</v>
      </c>
      <c r="T16" s="933">
        <f t="shared" si="5"/>
        <v>2.7352303497218955E-2</v>
      </c>
      <c r="U16" s="934">
        <f>U49+U17</f>
        <v>-6.3056175150344451E-5</v>
      </c>
      <c r="V16" s="933">
        <f t="shared" ref="V16:AF16" si="6">V49+V17</f>
        <v>-2.8662130748749126E-2</v>
      </c>
      <c r="W16" s="933">
        <f t="shared" si="6"/>
        <v>5.7410273514926002E-2</v>
      </c>
      <c r="X16" s="933">
        <f t="shared" si="6"/>
        <v>6.4988621204677965E-3</v>
      </c>
      <c r="Y16" s="933">
        <f t="shared" si="6"/>
        <v>3.8310837184705404E-2</v>
      </c>
      <c r="Z16" s="933">
        <f t="shared" si="6"/>
        <v>3.2769034245715041E-2</v>
      </c>
      <c r="AA16" s="933">
        <f t="shared" si="6"/>
        <v>2.4724337980433164E-2</v>
      </c>
      <c r="AB16" s="933">
        <f t="shared" si="6"/>
        <v>2.3533565330379203E-2</v>
      </c>
      <c r="AC16" s="933">
        <f t="shared" si="6"/>
        <v>2.5821649071183117E-2</v>
      </c>
      <c r="AD16" s="933">
        <f t="shared" si="6"/>
        <v>2.5493967451795996E-2</v>
      </c>
      <c r="AE16" s="933">
        <f t="shared" si="6"/>
        <v>2.5095343044312823E-2</v>
      </c>
      <c r="AF16" s="965">
        <f t="shared" si="6"/>
        <v>2.4877364391311607E-2</v>
      </c>
      <c r="AG16" s="965">
        <f t="shared" ref="AG16" si="7">AG49+AG17</f>
        <v>2.492676444114772E-2</v>
      </c>
      <c r="AH16" s="965"/>
      <c r="AI16" s="965"/>
      <c r="AJ16" s="965"/>
    </row>
    <row r="17" spans="2:36">
      <c r="B17" s="319"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c r="B18" s="744" t="s">
        <v>1713</v>
      </c>
      <c r="C18" s="946"/>
      <c r="D18" s="933">
        <f t="shared" ref="D18:T18" si="8">D51</f>
        <v>1.2331231439726587E-2</v>
      </c>
      <c r="E18" s="933">
        <f t="shared" si="8"/>
        <v>-2.4548871147293649E-2</v>
      </c>
      <c r="F18" s="933">
        <f t="shared" si="8"/>
        <v>2.4115177005201271E-2</v>
      </c>
      <c r="G18" s="933">
        <f t="shared" si="8"/>
        <v>1.4753974603383124E-2</v>
      </c>
      <c r="H18" s="933">
        <f t="shared" si="8"/>
        <v>2.894174832740215E-2</v>
      </c>
      <c r="I18" s="933">
        <f t="shared" si="8"/>
        <v>6.2522667611889737E-2</v>
      </c>
      <c r="J18" s="933">
        <f t="shared" si="8"/>
        <v>-7.4240991087901609E-3</v>
      </c>
      <c r="K18" s="933">
        <f t="shared" si="8"/>
        <v>5.0929448665746779E-2</v>
      </c>
      <c r="L18" s="933">
        <f t="shared" si="8"/>
        <v>5.7456046457014187E-2</v>
      </c>
      <c r="M18" s="933">
        <f t="shared" si="8"/>
        <v>9.8185028225247883E-2</v>
      </c>
      <c r="N18" s="933">
        <f t="shared" si="8"/>
        <v>7.1275335420445396E-2</v>
      </c>
      <c r="O18" s="933">
        <f t="shared" si="8"/>
        <v>6.0639425152128945E-2</v>
      </c>
      <c r="P18" s="933">
        <f t="shared" si="8"/>
        <v>7.3083340350689641E-2</v>
      </c>
      <c r="Q18" s="933">
        <f t="shared" si="8"/>
        <v>8.7536929602414215E-2</v>
      </c>
      <c r="R18" s="933">
        <f t="shared" si="8"/>
        <v>0.14059958977185572</v>
      </c>
      <c r="S18" s="933">
        <f t="shared" si="8"/>
        <v>5.1674533625485353E-3</v>
      </c>
      <c r="T18" s="933">
        <f t="shared" si="8"/>
        <v>2.4708021569921135E-2</v>
      </c>
      <c r="U18" s="934">
        <f>U51+U19</f>
        <v>-1.0701402735953436E-2</v>
      </c>
      <c r="V18" s="933">
        <f t="shared" ref="V18:AF18" si="9">V51+V19</f>
        <v>-3.5605877057299118E-2</v>
      </c>
      <c r="W18" s="933">
        <f t="shared" si="9"/>
        <v>6.8186173678186135E-2</v>
      </c>
      <c r="X18" s="933">
        <f t="shared" si="9"/>
        <v>5.6734763882242412E-3</v>
      </c>
      <c r="Y18" s="933">
        <f t="shared" si="9"/>
        <v>4.1686540954535056E-2</v>
      </c>
      <c r="Z18" s="933">
        <f t="shared" si="9"/>
        <v>3.2769034245715041E-2</v>
      </c>
      <c r="AA18" s="933">
        <f t="shared" si="9"/>
        <v>2.4724337980433164E-2</v>
      </c>
      <c r="AB18" s="933">
        <f t="shared" si="9"/>
        <v>2.3533565330379203E-2</v>
      </c>
      <c r="AC18" s="933">
        <f t="shared" si="9"/>
        <v>2.5821649071183117E-2</v>
      </c>
      <c r="AD18" s="933">
        <f t="shared" si="9"/>
        <v>2.5493967451795996E-2</v>
      </c>
      <c r="AE18" s="933">
        <f t="shared" si="9"/>
        <v>2.5095343044312823E-2</v>
      </c>
      <c r="AF18" s="965">
        <f t="shared" si="9"/>
        <v>2.4877364391311607E-2</v>
      </c>
      <c r="AG18" s="965">
        <f t="shared" ref="AG18" si="10">AG51+AG19</f>
        <v>2.492676444114772E-2</v>
      </c>
      <c r="AH18" s="965"/>
      <c r="AI18" s="965"/>
      <c r="AJ18" s="965"/>
    </row>
    <row r="19" spans="2:36">
      <c r="B19" s="319"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c r="B20" s="744" t="s">
        <v>1714</v>
      </c>
      <c r="C20" s="946"/>
      <c r="D20" s="933">
        <f t="shared" ref="D20:T20" si="11">D52</f>
        <v>4.0962242441666019E-2</v>
      </c>
      <c r="E20" s="933">
        <f t="shared" si="11"/>
        <v>1.5719050974356552E-2</v>
      </c>
      <c r="F20" s="933">
        <f t="shared" si="11"/>
        <v>4.3088224053848823E-2</v>
      </c>
      <c r="G20" s="933">
        <f t="shared" si="11"/>
        <v>1.6823112159823461E-2</v>
      </c>
      <c r="H20" s="933">
        <f t="shared" si="11"/>
        <v>5.3982501773912617E-3</v>
      </c>
      <c r="I20" s="933">
        <f t="shared" si="11"/>
        <v>9.7871671399678561E-3</v>
      </c>
      <c r="J20" s="933">
        <f t="shared" si="11"/>
        <v>-1.264897125361697E-2</v>
      </c>
      <c r="K20" s="933">
        <f t="shared" si="11"/>
        <v>4.0611329344794056E-2</v>
      </c>
      <c r="L20" s="933">
        <f t="shared" si="11"/>
        <v>2.1607225299700827E-2</v>
      </c>
      <c r="M20" s="933">
        <f t="shared" si="11"/>
        <v>6.5587978667649205E-2</v>
      </c>
      <c r="N20" s="933">
        <f t="shared" si="11"/>
        <v>9.6562691223789132E-2</v>
      </c>
      <c r="O20" s="933">
        <f t="shared" si="11"/>
        <v>8.4807929469169041E-2</v>
      </c>
      <c r="P20" s="933">
        <f t="shared" si="11"/>
        <v>0.1057724485451752</v>
      </c>
      <c r="Q20" s="933">
        <f t="shared" si="11"/>
        <v>0.10808480173082224</v>
      </c>
      <c r="R20" s="933">
        <f t="shared" si="11"/>
        <v>0.12258858608776269</v>
      </c>
      <c r="S20" s="933">
        <f t="shared" si="11"/>
        <v>7.7728691252704651E-2</v>
      </c>
      <c r="T20" s="933">
        <f t="shared" si="11"/>
        <v>4.0349668009795225E-2</v>
      </c>
      <c r="U20" s="933">
        <f>U52+U21</f>
        <v>5.1960248713186719E-2</v>
      </c>
      <c r="V20" s="933">
        <f t="shared" ref="V20:AF20" si="12">V52+V21</f>
        <v>3.571644947314212E-3</v>
      </c>
      <c r="W20" s="933">
        <f t="shared" si="12"/>
        <v>1.126058576943012E-2</v>
      </c>
      <c r="X20" s="933">
        <f t="shared" si="12"/>
        <v>1.0024676064772642E-2</v>
      </c>
      <c r="Y20" s="933">
        <f t="shared" si="12"/>
        <v>2.4361298023588995E-2</v>
      </c>
      <c r="Z20" s="933">
        <f t="shared" si="12"/>
        <v>3.2769034245715041E-2</v>
      </c>
      <c r="AA20" s="933">
        <f t="shared" si="12"/>
        <v>2.4724337980433164E-2</v>
      </c>
      <c r="AB20" s="933">
        <f t="shared" si="12"/>
        <v>2.3533565330379203E-2</v>
      </c>
      <c r="AC20" s="933">
        <f t="shared" si="12"/>
        <v>2.5821649071183117E-2</v>
      </c>
      <c r="AD20" s="933">
        <f t="shared" si="12"/>
        <v>2.5493967451795996E-2</v>
      </c>
      <c r="AE20" s="933">
        <f t="shared" si="12"/>
        <v>2.5095343044312823E-2</v>
      </c>
      <c r="AF20" s="965">
        <f t="shared" si="12"/>
        <v>2.4877364391311607E-2</v>
      </c>
      <c r="AG20" s="965">
        <f t="shared" ref="AG20" si="13">AG52+AG21</f>
        <v>2.492676444114772E-2</v>
      </c>
      <c r="AH20" s="965"/>
      <c r="AI20" s="965"/>
      <c r="AJ20" s="965"/>
    </row>
    <row r="21" spans="2:36">
      <c r="B21" s="319" t="s">
        <v>1746</v>
      </c>
      <c r="C21" s="947"/>
      <c r="D21" s="913"/>
      <c r="E21" s="913"/>
      <c r="F21" s="913"/>
      <c r="G21" s="913"/>
      <c r="H21" s="913"/>
      <c r="I21" s="913"/>
      <c r="J21" s="913"/>
      <c r="K21" s="913"/>
      <c r="L21" s="913"/>
      <c r="M21" s="913"/>
      <c r="N21" s="913"/>
      <c r="O21" s="913"/>
      <c r="P21" s="913"/>
      <c r="Q21" s="913"/>
      <c r="R21" s="913"/>
      <c r="S21" s="913"/>
      <c r="T21" s="913"/>
      <c r="U21" s="913"/>
      <c r="V21" s="913"/>
      <c r="W21" s="913"/>
      <c r="X21" s="913"/>
      <c r="Y21" s="913"/>
      <c r="Z21" s="913"/>
      <c r="AA21" s="913"/>
      <c r="AB21" s="913"/>
      <c r="AC21" s="913"/>
      <c r="AD21" s="913"/>
      <c r="AE21" s="913"/>
      <c r="AF21" s="914"/>
    </row>
    <row r="22" spans="2:36">
      <c r="B22" s="1415" t="s">
        <v>1735</v>
      </c>
      <c r="C22" s="1416"/>
      <c r="D22" s="1416"/>
      <c r="E22" s="1416"/>
      <c r="F22" s="1416"/>
      <c r="G22" s="1416"/>
      <c r="H22" s="1416"/>
      <c r="I22" s="1416"/>
      <c r="J22" s="1416"/>
      <c r="K22" s="1416"/>
      <c r="L22" s="1416"/>
      <c r="M22" s="1416"/>
      <c r="N22" s="1416"/>
      <c r="O22" s="1416"/>
      <c r="P22" s="1416"/>
      <c r="Q22" s="1416"/>
      <c r="R22" s="1416"/>
      <c r="S22" s="1416"/>
      <c r="T22" s="1416"/>
      <c r="U22" s="1416"/>
      <c r="V22" s="1416"/>
      <c r="W22" s="1416"/>
      <c r="X22" s="1416"/>
      <c r="Y22" s="1416"/>
      <c r="Z22" s="1416"/>
      <c r="AA22" s="1416"/>
      <c r="AB22" s="1416"/>
      <c r="AC22" s="1416"/>
      <c r="AD22" s="1416"/>
      <c r="AE22" s="1416"/>
      <c r="AF22" s="1416"/>
      <c r="AG22" s="1416"/>
      <c r="AH22" s="1416"/>
      <c r="AI22" s="1416"/>
      <c r="AJ22" s="1416"/>
    </row>
    <row r="23" spans="2:36">
      <c r="B23" s="932" t="s">
        <v>1710</v>
      </c>
      <c r="C23" s="941"/>
      <c r="D23" s="930">
        <f t="shared" ref="D23:AF23" si="14">(D12+1)^0.25-1</f>
        <v>3.7944725878693575E-3</v>
      </c>
      <c r="E23" s="930">
        <f t="shared" si="14"/>
        <v>2.2895111163072634E-3</v>
      </c>
      <c r="F23" s="930">
        <f t="shared" si="14"/>
        <v>5.2975883822428127E-3</v>
      </c>
      <c r="G23" s="930">
        <f t="shared" si="14"/>
        <v>2.4366189012010597E-3</v>
      </c>
      <c r="H23" s="930">
        <f t="shared" si="14"/>
        <v>3.9161216891407946E-3</v>
      </c>
      <c r="I23" s="930">
        <f t="shared" si="14"/>
        <v>3.2282859338970127E-3</v>
      </c>
      <c r="J23" s="930">
        <f t="shared" si="14"/>
        <v>-4.347992644805343E-3</v>
      </c>
      <c r="K23" s="930">
        <f t="shared" si="14"/>
        <v>8.2433966256900693E-3</v>
      </c>
      <c r="L23" s="930">
        <f t="shared" si="14"/>
        <v>4.9990936757648985E-3</v>
      </c>
      <c r="M23" s="930">
        <f t="shared" si="14"/>
        <v>1.1723607643602252E-2</v>
      </c>
      <c r="N23" s="930">
        <f t="shared" si="14"/>
        <v>1.5293963106832509E-2</v>
      </c>
      <c r="O23" s="930">
        <f t="shared" si="14"/>
        <v>1.3834466952535873E-2</v>
      </c>
      <c r="P23" s="930">
        <f t="shared" si="14"/>
        <v>1.6489676860671709E-2</v>
      </c>
      <c r="Q23" s="930">
        <f t="shared" si="14"/>
        <v>1.8616496583388598E-2</v>
      </c>
      <c r="R23" s="930">
        <f t="shared" si="14"/>
        <v>1.7492737036710837E-2</v>
      </c>
      <c r="S23" s="931">
        <f t="shared" si="14"/>
        <v>1.1490175380914902E-2</v>
      </c>
      <c r="T23" s="930">
        <f t="shared" si="14"/>
        <v>1.0204867199863132E-2</v>
      </c>
      <c r="U23" s="930">
        <f t="shared" si="14"/>
        <v>1.0254195668004451E-2</v>
      </c>
      <c r="V23" s="930">
        <f t="shared" si="14"/>
        <v>6.1604740631469035E-3</v>
      </c>
      <c r="W23" s="930">
        <f t="shared" si="14"/>
        <v>6.4143147512578658E-3</v>
      </c>
      <c r="X23" s="930">
        <f t="shared" si="14"/>
        <v>4.4448491068915796E-3</v>
      </c>
      <c r="Y23" s="930">
        <f t="shared" si="14"/>
        <v>8.4053695478405466E-3</v>
      </c>
      <c r="Z23" s="930">
        <f t="shared" si="14"/>
        <v>6.0043916045433576E-3</v>
      </c>
      <c r="AA23" s="930">
        <f t="shared" si="14"/>
        <v>5.571918722356628E-3</v>
      </c>
      <c r="AB23" s="930">
        <f t="shared" si="14"/>
        <v>5.0825787020194468E-3</v>
      </c>
      <c r="AC23" s="930">
        <f t="shared" si="14"/>
        <v>5.4050287894606974E-3</v>
      </c>
      <c r="AD23" s="930">
        <f t="shared" si="14"/>
        <v>5.3510824454261474E-3</v>
      </c>
      <c r="AE23" s="930">
        <f t="shared" si="14"/>
        <v>5.1374641193888682E-3</v>
      </c>
      <c r="AF23" s="931">
        <f t="shared" si="14"/>
        <v>4.9902256196157069E-3</v>
      </c>
      <c r="AG23" s="931">
        <f t="shared" ref="AG23" si="15">(AG12+1)^0.25-1</f>
        <v>4.9039461559314823E-3</v>
      </c>
    </row>
    <row r="24" spans="2:36">
      <c r="B24" s="909" t="s">
        <v>1711</v>
      </c>
      <c r="C24" s="941"/>
      <c r="D24" s="930">
        <f t="shared" ref="D24:AF24" si="16">(D14+1)^0.25-1</f>
        <v>7.2893513350869021E-3</v>
      </c>
      <c r="E24" s="930">
        <f t="shared" si="16"/>
        <v>1.0387558056620838E-2</v>
      </c>
      <c r="F24" s="930">
        <f t="shared" si="16"/>
        <v>-5.979629205767889E-3</v>
      </c>
      <c r="G24" s="930">
        <f t="shared" si="16"/>
        <v>1.6118354776502031E-3</v>
      </c>
      <c r="H24" s="930">
        <f t="shared" si="16"/>
        <v>3.4675325919326649E-3</v>
      </c>
      <c r="I24" s="930">
        <f t="shared" si="16"/>
        <v>3.1405416241085948E-3</v>
      </c>
      <c r="J24" s="930">
        <f t="shared" si="16"/>
        <v>2.3789585870903629E-4</v>
      </c>
      <c r="K24" s="930">
        <f t="shared" si="16"/>
        <v>5.7081426655123391E-3</v>
      </c>
      <c r="L24" s="930">
        <f t="shared" si="16"/>
        <v>7.2649532224040581E-3</v>
      </c>
      <c r="M24" s="930">
        <f t="shared" si="16"/>
        <v>8.4240380913027657E-3</v>
      </c>
      <c r="N24" s="930">
        <f t="shared" si="16"/>
        <v>9.7412877870699521E-3</v>
      </c>
      <c r="O24" s="930">
        <f t="shared" si="16"/>
        <v>1.013613222164822E-2</v>
      </c>
      <c r="P24" s="930">
        <f t="shared" si="16"/>
        <v>1.1394866831624384E-2</v>
      </c>
      <c r="Q24" s="930">
        <f t="shared" si="16"/>
        <v>1.763096839425482E-2</v>
      </c>
      <c r="R24" s="930">
        <f t="shared" si="16"/>
        <v>1.6704517227919435E-2</v>
      </c>
      <c r="S24" s="931">
        <f t="shared" si="16"/>
        <v>1.1857914438035966E-2</v>
      </c>
      <c r="T24" s="930">
        <f t="shared" si="16"/>
        <v>1.0080540848179664E-2</v>
      </c>
      <c r="U24" s="930">
        <f t="shared" si="16"/>
        <v>1.0176292312289226E-2</v>
      </c>
      <c r="V24" s="930">
        <f t="shared" si="16"/>
        <v>5.1214008637083808E-3</v>
      </c>
      <c r="W24" s="930">
        <f t="shared" si="16"/>
        <v>9.7870229456920033E-3</v>
      </c>
      <c r="X24" s="930">
        <f t="shared" si="16"/>
        <v>9.7504517181945527E-3</v>
      </c>
      <c r="Y24" s="930">
        <f t="shared" si="16"/>
        <v>1.0167562753570669E-2</v>
      </c>
      <c r="Z24" s="930">
        <f t="shared" si="16"/>
        <v>6.313422103157551E-3</v>
      </c>
      <c r="AA24" s="930">
        <f t="shared" si="16"/>
        <v>6.8066561780799617E-3</v>
      </c>
      <c r="AB24" s="930">
        <f t="shared" si="16"/>
        <v>6.2998972849144241E-3</v>
      </c>
      <c r="AC24" s="930">
        <f t="shared" si="16"/>
        <v>6.0393595708148062E-3</v>
      </c>
      <c r="AD24" s="930">
        <f t="shared" si="16"/>
        <v>5.875261807140264E-3</v>
      </c>
      <c r="AE24" s="930">
        <f t="shared" si="16"/>
        <v>5.8170411371414321E-3</v>
      </c>
      <c r="AF24" s="931">
        <f t="shared" si="16"/>
        <v>5.8313802450995489E-3</v>
      </c>
      <c r="AG24" s="931">
        <f t="shared" ref="AG24" si="17">(AG14+1)^0.25-1</f>
        <v>4.454365822902373E-3</v>
      </c>
    </row>
    <row r="25" spans="2:36">
      <c r="B25" s="909" t="s">
        <v>1712</v>
      </c>
      <c r="C25" s="941"/>
      <c r="D25" s="930">
        <f t="shared" ref="D25:AF25" si="18">(D16+1)^0.25-1</f>
        <v>4.372774229274734E-3</v>
      </c>
      <c r="E25" s="930">
        <f t="shared" si="18"/>
        <v>-4.3157124252592993E-3</v>
      </c>
      <c r="F25" s="930">
        <f t="shared" si="18"/>
        <v>6.8453261793151032E-3</v>
      </c>
      <c r="G25" s="930">
        <f t="shared" si="18"/>
        <v>3.754978190783298E-3</v>
      </c>
      <c r="H25" s="930">
        <f t="shared" si="18"/>
        <v>6.0648428053204917E-3</v>
      </c>
      <c r="I25" s="930">
        <f t="shared" si="18"/>
        <v>1.2892260887528373E-2</v>
      </c>
      <c r="J25" s="930">
        <f t="shared" si="18"/>
        <v>-2.1136357315681975E-3</v>
      </c>
      <c r="K25" s="930">
        <f t="shared" si="18"/>
        <v>1.2049088189663992E-2</v>
      </c>
      <c r="L25" s="930">
        <f t="shared" si="18"/>
        <v>1.2502294841197026E-2</v>
      </c>
      <c r="M25" s="930">
        <f t="shared" si="18"/>
        <v>2.2329604177621309E-2</v>
      </c>
      <c r="N25" s="930">
        <f t="shared" si="18"/>
        <v>1.8454307630913824E-2</v>
      </c>
      <c r="O25" s="930">
        <f t="shared" si="18"/>
        <v>1.5829893944934836E-2</v>
      </c>
      <c r="P25" s="930">
        <f t="shared" si="18"/>
        <v>1.9097579373242857E-2</v>
      </c>
      <c r="Q25" s="930">
        <f t="shared" si="18"/>
        <v>2.2011573528917028E-2</v>
      </c>
      <c r="R25" s="930">
        <f t="shared" si="18"/>
        <v>3.2763005209490714E-2</v>
      </c>
      <c r="S25" s="931">
        <f t="shared" si="18"/>
        <v>4.1836002868755884E-3</v>
      </c>
      <c r="T25" s="930">
        <f t="shared" si="18"/>
        <v>6.7690354322897939E-3</v>
      </c>
      <c r="U25" s="930">
        <f t="shared" si="18"/>
        <v>-1.5764416558927685E-5</v>
      </c>
      <c r="V25" s="930">
        <f t="shared" si="18"/>
        <v>-7.2438636041176618E-3</v>
      </c>
      <c r="W25" s="930">
        <f t="shared" si="18"/>
        <v>1.4053530453285834E-2</v>
      </c>
      <c r="X25" s="930">
        <f t="shared" si="18"/>
        <v>1.6207709232129996E-3</v>
      </c>
      <c r="Y25" s="930">
        <f t="shared" si="18"/>
        <v>9.4431068446889643E-3</v>
      </c>
      <c r="Z25" s="930">
        <f t="shared" si="18"/>
        <v>8.0934709244024905E-3</v>
      </c>
      <c r="AA25" s="930">
        <f t="shared" si="18"/>
        <v>6.1245885294678448E-3</v>
      </c>
      <c r="AB25" s="930">
        <f t="shared" si="18"/>
        <v>5.8321713328954861E-3</v>
      </c>
      <c r="AC25" s="930">
        <f t="shared" si="18"/>
        <v>6.3938288917109176E-3</v>
      </c>
      <c r="AD25" s="930">
        <f t="shared" si="18"/>
        <v>6.3134503311721435E-3</v>
      </c>
      <c r="AE25" s="930">
        <f t="shared" si="18"/>
        <v>6.2156439075380376E-3</v>
      </c>
      <c r="AF25" s="931">
        <f t="shared" si="18"/>
        <v>6.1621486341001397E-3</v>
      </c>
      <c r="AG25" s="931">
        <f t="shared" ref="AG25" si="19">(AG16+1)^0.25-1</f>
        <v>6.1742729046745382E-3</v>
      </c>
    </row>
    <row r="26" spans="2:36">
      <c r="B26" s="909" t="s">
        <v>1713</v>
      </c>
      <c r="C26" s="941"/>
      <c r="D26" s="930">
        <f t="shared" ref="D26:AF26" si="20">(D18+1)^0.25-1</f>
        <v>3.0686539854383188E-3</v>
      </c>
      <c r="E26" s="930">
        <f t="shared" si="20"/>
        <v>-6.1945389248865279E-3</v>
      </c>
      <c r="F26" s="930">
        <f t="shared" si="20"/>
        <v>5.9750291581421866E-3</v>
      </c>
      <c r="G26" s="930">
        <f t="shared" si="20"/>
        <v>3.6682600473261218E-3</v>
      </c>
      <c r="H26" s="930">
        <f t="shared" si="20"/>
        <v>7.1582096900950631E-3</v>
      </c>
      <c r="I26" s="930">
        <f t="shared" si="20"/>
        <v>1.5277007398772247E-2</v>
      </c>
      <c r="J26" s="930">
        <f t="shared" si="20"/>
        <v>-1.8612145119172308E-3</v>
      </c>
      <c r="K26" s="930">
        <f t="shared" si="20"/>
        <v>1.2496173220895468E-2</v>
      </c>
      <c r="L26" s="930">
        <f t="shared" si="20"/>
        <v>1.4064504306395387E-2</v>
      </c>
      <c r="M26" s="930">
        <f t="shared" si="20"/>
        <v>2.3690987124463492E-2</v>
      </c>
      <c r="N26" s="930">
        <f t="shared" si="20"/>
        <v>1.7361448228990994E-2</v>
      </c>
      <c r="O26" s="930">
        <f t="shared" si="20"/>
        <v>1.48268323153804E-2</v>
      </c>
      <c r="P26" s="930">
        <f t="shared" si="20"/>
        <v>1.7790430270233415E-2</v>
      </c>
      <c r="Q26" s="930">
        <f t="shared" si="20"/>
        <v>2.1200463655148161E-2</v>
      </c>
      <c r="R26" s="930">
        <f t="shared" si="20"/>
        <v>3.3435325470068555E-2</v>
      </c>
      <c r="S26" s="931">
        <f t="shared" si="20"/>
        <v>1.2893674936129695E-3</v>
      </c>
      <c r="T26" s="930">
        <f t="shared" si="20"/>
        <v>6.1205834426294459E-3</v>
      </c>
      <c r="U26" s="930">
        <f t="shared" si="20"/>
        <v>-2.6861544538810955E-3</v>
      </c>
      <c r="V26" s="930">
        <f t="shared" si="20"/>
        <v>-9.0228542004990864E-3</v>
      </c>
      <c r="W26" s="930">
        <f t="shared" si="20"/>
        <v>1.6627230287139527E-2</v>
      </c>
      <c r="X26" s="930">
        <f t="shared" si="20"/>
        <v>1.4153613889411609E-3</v>
      </c>
      <c r="Y26" s="930">
        <f t="shared" si="20"/>
        <v>1.0262571060648984E-2</v>
      </c>
      <c r="Z26" s="930">
        <f t="shared" si="20"/>
        <v>8.0934709244024905E-3</v>
      </c>
      <c r="AA26" s="930">
        <f t="shared" si="20"/>
        <v>6.1245885294678448E-3</v>
      </c>
      <c r="AB26" s="930">
        <f t="shared" si="20"/>
        <v>5.8321713328954861E-3</v>
      </c>
      <c r="AC26" s="930">
        <f t="shared" si="20"/>
        <v>6.3938288917109176E-3</v>
      </c>
      <c r="AD26" s="930">
        <f t="shared" si="20"/>
        <v>6.3134503311721435E-3</v>
      </c>
      <c r="AE26" s="930">
        <f t="shared" si="20"/>
        <v>6.2156439075380376E-3</v>
      </c>
      <c r="AF26" s="931">
        <f t="shared" si="20"/>
        <v>6.1621486341001397E-3</v>
      </c>
      <c r="AG26" s="931">
        <f t="shared" ref="AG26" si="21">(AG18+1)^0.25-1</f>
        <v>6.1742729046745382E-3</v>
      </c>
    </row>
    <row r="27" spans="2:36">
      <c r="B27" s="910"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8.0934709244024905E-3</v>
      </c>
      <c r="AA27" s="943">
        <f t="shared" si="22"/>
        <v>6.1245885294678448E-3</v>
      </c>
      <c r="AB27" s="943">
        <f t="shared" si="22"/>
        <v>5.8321713328954861E-3</v>
      </c>
      <c r="AC27" s="943">
        <f t="shared" si="22"/>
        <v>6.3938288917109176E-3</v>
      </c>
      <c r="AD27" s="943">
        <f t="shared" si="22"/>
        <v>6.3134503311721435E-3</v>
      </c>
      <c r="AE27" s="943">
        <f t="shared" si="22"/>
        <v>6.2156439075380376E-3</v>
      </c>
      <c r="AF27" s="944">
        <f t="shared" si="22"/>
        <v>6.1621486341001397E-3</v>
      </c>
      <c r="AG27" s="944">
        <f t="shared" ref="AG27" si="23">(AG20+1)^0.25-1</f>
        <v>6.1742729046745382E-3</v>
      </c>
    </row>
    <row r="28" spans="2:36">
      <c r="B28" s="56"/>
      <c r="C28" s="935"/>
      <c r="D28" s="933"/>
      <c r="E28" s="933"/>
      <c r="F28" s="933"/>
      <c r="G28" s="933"/>
      <c r="H28" s="933"/>
      <c r="I28" s="933"/>
      <c r="J28" s="933"/>
      <c r="K28" s="933"/>
      <c r="L28" s="933"/>
      <c r="M28" s="933"/>
      <c r="N28" s="933"/>
      <c r="O28" s="933"/>
      <c r="P28" s="933"/>
      <c r="Q28" s="933"/>
      <c r="R28" s="933"/>
      <c r="S28" s="933"/>
      <c r="T28" s="933"/>
      <c r="U28" s="933"/>
      <c r="V28" s="933"/>
      <c r="W28" s="933"/>
      <c r="X28" s="933"/>
      <c r="Y28" s="933"/>
      <c r="Z28" s="933"/>
      <c r="AA28" s="933"/>
      <c r="AB28" s="933"/>
      <c r="AC28" s="933"/>
      <c r="AD28" s="933"/>
      <c r="AE28" s="933"/>
      <c r="AF28" s="933"/>
    </row>
    <row r="29" spans="2:36">
      <c r="B29" s="56"/>
      <c r="C29" s="935"/>
      <c r="D29" s="933"/>
      <c r="E29" s="933"/>
      <c r="F29" s="933"/>
      <c r="G29" s="933"/>
      <c r="H29" s="933"/>
      <c r="I29" s="933"/>
      <c r="J29" s="933"/>
      <c r="K29" s="933"/>
      <c r="L29" s="933"/>
      <c r="M29" s="933"/>
      <c r="N29" s="933"/>
      <c r="O29" s="933"/>
      <c r="P29" s="933"/>
      <c r="Q29" s="491"/>
      <c r="R29" s="933"/>
      <c r="S29" s="933"/>
      <c r="T29" s="933"/>
      <c r="U29" s="933"/>
      <c r="V29" s="933"/>
      <c r="W29" s="933"/>
      <c r="X29" s="933"/>
      <c r="Y29" s="933"/>
      <c r="Z29" s="933"/>
      <c r="AA29" s="933"/>
      <c r="AB29" s="933"/>
      <c r="AC29" s="933"/>
      <c r="AD29" s="933"/>
      <c r="AE29" s="933"/>
      <c r="AF29" s="933"/>
    </row>
    <row r="30" spans="2:36">
      <c r="B30" s="56"/>
      <c r="C30" s="935"/>
      <c r="D30" s="933"/>
      <c r="E30" s="933"/>
      <c r="F30" s="933"/>
      <c r="G30" s="933"/>
      <c r="H30" s="933"/>
      <c r="I30" s="933"/>
      <c r="J30" s="933"/>
      <c r="K30" s="933"/>
      <c r="L30" s="933"/>
      <c r="M30" s="933"/>
      <c r="N30" s="933"/>
      <c r="O30" s="933"/>
      <c r="P30" s="933"/>
      <c r="Q30" s="491"/>
      <c r="R30" s="933"/>
      <c r="S30" s="933"/>
      <c r="T30" s="933"/>
      <c r="U30" s="933"/>
      <c r="V30" s="933"/>
      <c r="W30" s="933"/>
      <c r="X30" s="933"/>
      <c r="Y30" s="933"/>
      <c r="Z30" s="933"/>
      <c r="AA30" s="933"/>
      <c r="AB30" s="933"/>
      <c r="AC30" s="933"/>
      <c r="AD30" s="933"/>
      <c r="AE30" s="933"/>
      <c r="AF30" s="933"/>
    </row>
    <row r="31" spans="2:36">
      <c r="B31" s="56"/>
      <c r="C31" s="935"/>
      <c r="D31" s="933"/>
      <c r="E31" s="933"/>
      <c r="F31" s="933"/>
      <c r="G31" s="933"/>
      <c r="H31" s="933"/>
      <c r="I31" s="933"/>
      <c r="J31" s="933"/>
      <c r="K31" s="933"/>
      <c r="L31" s="933"/>
      <c r="M31" s="933"/>
      <c r="N31" s="933"/>
      <c r="O31" s="933"/>
      <c r="P31" s="933"/>
      <c r="Q31" s="56"/>
      <c r="R31" s="933"/>
      <c r="S31" s="933"/>
      <c r="T31" s="933"/>
      <c r="U31" s="933"/>
      <c r="V31" s="933"/>
      <c r="W31" s="933"/>
      <c r="X31" s="933"/>
      <c r="Y31" s="933"/>
      <c r="Z31" s="933"/>
      <c r="AA31" s="933"/>
      <c r="AB31" s="933"/>
      <c r="AC31" s="933"/>
      <c r="AD31" s="933"/>
      <c r="AE31" s="933"/>
      <c r="AF31" s="933"/>
    </row>
    <row r="32" spans="2:36">
      <c r="B32" s="56"/>
      <c r="C32" s="935"/>
      <c r="D32" s="933"/>
      <c r="E32" s="933"/>
      <c r="F32" s="933"/>
      <c r="G32" s="933"/>
      <c r="H32" s="933"/>
      <c r="I32" s="933"/>
      <c r="J32" s="933"/>
      <c r="K32" s="933"/>
      <c r="L32" s="933"/>
      <c r="M32" s="933"/>
      <c r="N32" s="933"/>
      <c r="O32" s="933"/>
      <c r="P32" s="933"/>
      <c r="Q32" s="56"/>
      <c r="R32" s="933"/>
      <c r="S32" s="933"/>
      <c r="T32" s="933"/>
      <c r="U32" s="933"/>
      <c r="V32" s="933"/>
      <c r="W32" s="933"/>
      <c r="X32" s="933"/>
      <c r="Y32" s="933"/>
      <c r="Z32" s="933"/>
      <c r="AA32" s="933"/>
      <c r="AB32" s="933"/>
      <c r="AC32" s="933"/>
      <c r="AD32" s="933"/>
      <c r="AE32" s="933"/>
      <c r="AF32" s="933"/>
    </row>
    <row r="33" spans="2:33">
      <c r="B33" s="56"/>
      <c r="C33" s="935"/>
      <c r="D33" s="933"/>
      <c r="E33" s="933"/>
      <c r="F33" s="933"/>
      <c r="G33" s="933"/>
      <c r="H33" s="933"/>
      <c r="I33" s="933"/>
      <c r="J33" s="933"/>
      <c r="K33" s="933"/>
      <c r="L33" s="933"/>
      <c r="M33" s="933"/>
      <c r="N33" s="933"/>
      <c r="O33" s="933"/>
      <c r="P33" s="933"/>
      <c r="Q33" s="56"/>
      <c r="R33" s="933"/>
      <c r="S33" s="933"/>
      <c r="T33" s="933"/>
      <c r="U33" s="933"/>
      <c r="V33" s="933"/>
      <c r="W33" s="933"/>
      <c r="X33" s="933"/>
      <c r="Y33" s="933"/>
      <c r="Z33" s="933"/>
      <c r="AA33" s="933"/>
      <c r="AB33" s="933"/>
      <c r="AC33" s="933"/>
      <c r="AD33" s="933"/>
      <c r="AE33" s="933"/>
      <c r="AF33" s="933"/>
    </row>
    <row r="34" spans="2:33">
      <c r="B34" s="56"/>
      <c r="C34" s="935"/>
      <c r="D34" s="933"/>
      <c r="E34" s="933"/>
      <c r="F34" s="933"/>
      <c r="G34" s="933"/>
      <c r="H34" s="933"/>
      <c r="I34" s="933"/>
      <c r="J34" s="933"/>
      <c r="K34" s="933"/>
      <c r="L34" s="933"/>
      <c r="M34" s="933"/>
      <c r="N34" s="933"/>
      <c r="O34" s="933"/>
      <c r="P34" s="933"/>
      <c r="Q34" s="56"/>
      <c r="R34" s="933"/>
      <c r="S34" s="933"/>
      <c r="T34" s="933"/>
      <c r="U34" s="933"/>
      <c r="V34" s="933"/>
      <c r="W34" s="933"/>
      <c r="X34" s="933"/>
      <c r="Y34" s="933"/>
      <c r="Z34" s="933"/>
      <c r="AA34" s="933"/>
      <c r="AB34" s="933"/>
      <c r="AC34" s="933"/>
      <c r="AD34" s="933"/>
      <c r="AE34" s="933"/>
      <c r="AF34" s="933"/>
    </row>
    <row r="35" spans="2:33">
      <c r="B35" s="56"/>
      <c r="C35" s="935"/>
      <c r="D35" s="933"/>
      <c r="E35" s="933"/>
      <c r="F35" s="933"/>
      <c r="G35" s="933"/>
      <c r="H35" s="933"/>
      <c r="I35" s="933"/>
      <c r="J35" s="933"/>
      <c r="K35" s="933"/>
      <c r="L35" s="933"/>
      <c r="M35" s="933"/>
      <c r="N35" s="933"/>
      <c r="O35" s="933"/>
      <c r="P35" s="933"/>
      <c r="Q35" s="56"/>
      <c r="R35" s="933"/>
      <c r="S35" s="933"/>
      <c r="T35" s="933"/>
      <c r="U35" s="933"/>
      <c r="V35" s="933"/>
      <c r="W35" s="933"/>
      <c r="X35" s="933"/>
      <c r="Y35" s="933"/>
      <c r="Z35" s="933"/>
      <c r="AA35" s="933"/>
      <c r="AB35" s="933"/>
      <c r="AC35" s="933"/>
      <c r="AD35" s="933"/>
      <c r="AE35" s="933"/>
      <c r="AF35" s="933"/>
    </row>
    <row r="36" spans="2:33">
      <c r="B36" s="56"/>
      <c r="C36" s="935"/>
      <c r="D36" s="933"/>
      <c r="E36" s="933"/>
      <c r="F36" s="933"/>
      <c r="G36" s="933"/>
      <c r="H36" s="933"/>
      <c r="I36" s="933"/>
      <c r="J36" s="933"/>
      <c r="K36" s="933"/>
      <c r="L36" s="933"/>
      <c r="M36" s="933"/>
      <c r="N36" s="933"/>
      <c r="O36" s="933"/>
      <c r="P36" s="933"/>
      <c r="Q36" s="56"/>
      <c r="R36" s="933"/>
      <c r="S36" s="933"/>
      <c r="T36" s="933"/>
      <c r="U36" s="933"/>
      <c r="V36" s="933"/>
      <c r="W36" s="933"/>
      <c r="X36" s="933"/>
      <c r="Y36" s="933"/>
      <c r="Z36" s="933"/>
      <c r="AA36" s="933"/>
      <c r="AB36" s="933"/>
      <c r="AC36" s="933"/>
      <c r="AD36" s="933"/>
      <c r="AE36" s="933"/>
      <c r="AF36" s="933"/>
    </row>
    <row r="37" spans="2:33">
      <c r="B37" s="56"/>
      <c r="C37" s="935"/>
      <c r="D37" s="933"/>
      <c r="E37" s="933"/>
      <c r="F37" s="933"/>
      <c r="G37" s="933"/>
      <c r="H37" s="933"/>
      <c r="I37" s="933"/>
      <c r="J37" s="933"/>
      <c r="K37" s="933"/>
      <c r="L37" s="933"/>
      <c r="M37" s="933"/>
      <c r="N37" s="933"/>
      <c r="O37" s="933"/>
      <c r="P37" s="933"/>
      <c r="Q37" s="56"/>
      <c r="R37" s="933"/>
      <c r="S37" s="933"/>
      <c r="T37" s="933"/>
      <c r="U37" s="933"/>
      <c r="V37" s="933"/>
      <c r="W37" s="933"/>
      <c r="X37" s="933"/>
      <c r="Y37" s="933"/>
      <c r="Z37" s="933"/>
      <c r="AA37" s="933"/>
      <c r="AB37" s="933"/>
      <c r="AC37" s="933"/>
      <c r="AD37" s="933"/>
      <c r="AE37" s="933"/>
      <c r="AF37" s="933"/>
    </row>
    <row r="38" spans="2:33">
      <c r="B38" s="56"/>
      <c r="C38" s="935"/>
      <c r="D38" s="933"/>
      <c r="E38" s="933"/>
      <c r="F38" s="933"/>
      <c r="G38" s="933"/>
      <c r="H38" s="933"/>
      <c r="I38" s="933"/>
      <c r="J38" s="933"/>
      <c r="K38" s="933"/>
      <c r="L38" s="933"/>
      <c r="M38" s="933"/>
      <c r="N38" s="933"/>
      <c r="O38" s="933"/>
      <c r="P38" s="933"/>
      <c r="Q38" s="56"/>
      <c r="R38" s="933"/>
      <c r="S38" s="933"/>
      <c r="T38" s="933"/>
      <c r="U38" s="933"/>
      <c r="V38" s="933"/>
      <c r="W38" s="933"/>
      <c r="X38" s="933"/>
      <c r="Y38" s="933"/>
      <c r="Z38" s="933"/>
      <c r="AA38" s="933"/>
      <c r="AB38" s="933"/>
      <c r="AC38" s="933"/>
      <c r="AD38" s="933"/>
      <c r="AE38" s="933"/>
      <c r="AF38" s="933"/>
    </row>
    <row r="39" spans="2:33">
      <c r="B39" s="56"/>
      <c r="C39" s="935"/>
      <c r="D39" s="933"/>
      <c r="E39" s="933"/>
      <c r="F39" s="933"/>
      <c r="G39" s="933"/>
      <c r="H39" s="933"/>
      <c r="I39" s="933"/>
      <c r="J39" s="933"/>
      <c r="K39" s="933"/>
      <c r="L39" s="933"/>
      <c r="M39" s="933"/>
      <c r="N39" s="933"/>
      <c r="O39" s="933"/>
      <c r="P39" s="933"/>
      <c r="Q39" s="933"/>
      <c r="R39" s="933"/>
      <c r="S39" s="933"/>
      <c r="T39" s="933"/>
      <c r="U39" s="933"/>
      <c r="V39" s="933"/>
      <c r="W39" s="933"/>
      <c r="X39" s="933"/>
      <c r="Y39" s="933"/>
      <c r="Z39" s="933"/>
      <c r="AA39" s="933"/>
      <c r="AB39" s="933"/>
      <c r="AC39" s="933"/>
      <c r="AD39" s="933"/>
      <c r="AE39" s="933"/>
      <c r="AF39" s="933"/>
    </row>
    <row r="40" spans="2:33">
      <c r="B40" s="56"/>
      <c r="C40" s="935"/>
      <c r="D40" s="933"/>
      <c r="E40" s="933"/>
      <c r="F40" s="933"/>
      <c r="G40" s="933"/>
      <c r="H40" s="933"/>
      <c r="I40" s="933"/>
      <c r="J40" s="933"/>
      <c r="K40" s="933"/>
      <c r="L40" s="933"/>
      <c r="M40" s="933"/>
      <c r="N40" s="933"/>
      <c r="O40" s="933"/>
      <c r="P40" s="933"/>
      <c r="Q40" s="933"/>
      <c r="R40" s="933"/>
      <c r="S40" s="933"/>
      <c r="T40" s="933"/>
      <c r="U40" s="933"/>
      <c r="V40" s="933"/>
      <c r="W40" s="933"/>
      <c r="X40" s="933"/>
      <c r="Y40" s="933"/>
      <c r="Z40" s="933"/>
      <c r="AA40" s="933"/>
      <c r="AB40" s="933"/>
      <c r="AC40" s="933"/>
      <c r="AD40" s="933"/>
      <c r="AE40" s="933"/>
      <c r="AF40" s="933"/>
    </row>
    <row r="41" spans="2:33">
      <c r="B41" s="937" t="s">
        <v>1828</v>
      </c>
      <c r="C41" s="937"/>
      <c r="D41" s="247"/>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row>
    <row r="42" spans="2:33">
      <c r="B42" s="1302" t="s">
        <v>1709</v>
      </c>
      <c r="C42" s="1303"/>
      <c r="D42" s="1368" t="s">
        <v>1733</v>
      </c>
      <c r="E42" s="1369"/>
      <c r="F42" s="1369"/>
      <c r="G42" s="1369"/>
      <c r="H42" s="1369"/>
      <c r="I42" s="1369"/>
      <c r="J42" s="1369"/>
      <c r="K42" s="1369"/>
      <c r="L42" s="1369"/>
      <c r="M42" s="1369"/>
      <c r="N42" s="1369"/>
      <c r="O42" s="1369"/>
      <c r="P42" s="1369"/>
      <c r="Q42" s="1369"/>
      <c r="R42" s="1369"/>
      <c r="S42" s="1369"/>
      <c r="T42" s="1369"/>
      <c r="U42" s="1369"/>
      <c r="V42" s="1369"/>
      <c r="W42" s="1341" t="s">
        <v>1741</v>
      </c>
      <c r="X42" s="1341"/>
      <c r="Y42" s="1341"/>
      <c r="Z42" s="1341"/>
      <c r="AA42" s="1341"/>
      <c r="AB42" s="1341"/>
      <c r="AC42" s="1341"/>
      <c r="AD42" s="1341"/>
      <c r="AE42" s="1341"/>
      <c r="AF42" s="1341"/>
      <c r="AG42" s="1341"/>
    </row>
    <row r="43" spans="2:33">
      <c r="B43" s="1304"/>
      <c r="C43" s="1305"/>
      <c r="D43" s="214">
        <v>2018</v>
      </c>
      <c r="E43" s="1299">
        <v>2019</v>
      </c>
      <c r="F43" s="1300"/>
      <c r="G43" s="1300"/>
      <c r="H43" s="1301"/>
      <c r="I43" s="1299">
        <v>2020</v>
      </c>
      <c r="J43" s="1300"/>
      <c r="K43" s="1300"/>
      <c r="L43" s="1300"/>
      <c r="M43" s="1299">
        <v>2021</v>
      </c>
      <c r="N43" s="1300"/>
      <c r="O43" s="1300"/>
      <c r="P43" s="1300"/>
      <c r="Q43" s="1311">
        <v>2022</v>
      </c>
      <c r="R43" s="1333"/>
      <c r="S43" s="1333"/>
      <c r="T43" s="1313"/>
      <c r="U43" s="239"/>
      <c r="V43" s="557">
        <v>2023</v>
      </c>
      <c r="W43" s="289"/>
      <c r="X43" s="289"/>
      <c r="Y43" s="1308">
        <v>2024</v>
      </c>
      <c r="Z43" s="1309"/>
      <c r="AA43" s="1309"/>
      <c r="AB43" s="1310"/>
      <c r="AC43" s="1308">
        <v>2025</v>
      </c>
      <c r="AD43" s="1309"/>
      <c r="AE43" s="1309"/>
      <c r="AF43" s="1309"/>
      <c r="AG43" s="251">
        <v>2026</v>
      </c>
    </row>
    <row r="44" spans="2:33">
      <c r="B44" s="1306"/>
      <c r="C44" s="1307"/>
      <c r="D44" s="214" t="s">
        <v>282</v>
      </c>
      <c r="E44" s="214" t="s">
        <v>283</v>
      </c>
      <c r="F44" s="215"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4" t="s">
        <v>283</v>
      </c>
      <c r="V44" s="215" t="s">
        <v>284</v>
      </c>
      <c r="W44" s="326" t="s">
        <v>238</v>
      </c>
      <c r="X44" s="326" t="s">
        <v>282</v>
      </c>
      <c r="Y44" s="433" t="s">
        <v>283</v>
      </c>
      <c r="Z44" s="333" t="s">
        <v>284</v>
      </c>
      <c r="AA44" s="326" t="s">
        <v>238</v>
      </c>
      <c r="AB44" s="432" t="s">
        <v>282</v>
      </c>
      <c r="AC44" s="269" t="s">
        <v>283</v>
      </c>
      <c r="AD44" s="326" t="s">
        <v>284</v>
      </c>
      <c r="AE44" s="326" t="s">
        <v>238</v>
      </c>
      <c r="AF44" s="326" t="s">
        <v>282</v>
      </c>
      <c r="AG44" s="272" t="s">
        <v>283</v>
      </c>
    </row>
    <row r="45" spans="2:33">
      <c r="B45" s="945" t="s">
        <v>1933</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63">
        <f t="shared" ref="Z45:AF45" si="24">Z46+Z47</f>
        <v>2.423474992777825E-2</v>
      </c>
      <c r="AA45" s="963">
        <f t="shared" si="24"/>
        <v>2.2474645472145172E-2</v>
      </c>
      <c r="AB45" s="963">
        <f t="shared" si="24"/>
        <v>2.0485836297992499E-2</v>
      </c>
      <c r="AC45" s="963">
        <f t="shared" si="24"/>
        <v>2.1796033645922641E-2</v>
      </c>
      <c r="AD45" s="963">
        <f t="shared" si="24"/>
        <v>2.1576747995004641E-2</v>
      </c>
      <c r="AE45" s="963">
        <f t="shared" si="24"/>
        <v>2.0708760783051394E-2</v>
      </c>
      <c r="AF45" s="963">
        <f t="shared" si="24"/>
        <v>2.0110814282412459E-2</v>
      </c>
      <c r="AG45" s="963">
        <f t="shared" ref="AG45" si="25">AG46+AG47</f>
        <v>1.9760549063349009E-2</v>
      </c>
    </row>
    <row r="46" spans="2:33">
      <c r="B46" s="77" t="s">
        <v>1932</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64">
        <f>('Haver Pivoted'!GY76+1)^4-1</f>
        <v>6.2593648340676156E-2</v>
      </c>
      <c r="O46" s="964">
        <f>('Haver Pivoted'!GZ76+1)^4-1</f>
        <v>5.6496850547917088E-2</v>
      </c>
      <c r="P46" s="964">
        <f>('Haver Pivoted'!HA76+1)^4-1</f>
        <v>6.7608172830647684E-2</v>
      </c>
      <c r="Q46" s="964">
        <f>('Haver Pivoted'!HB76+1)^4-1</f>
        <v>7.6571358087944352E-2</v>
      </c>
      <c r="R46" s="964">
        <f>('Haver Pivoted'!HC76+1)^4-1</f>
        <v>7.1828427694202057E-2</v>
      </c>
      <c r="S46" s="964">
        <f>('Haver Pivoted'!HD76+1)^4-1</f>
        <v>4.6758931657381764E-2</v>
      </c>
      <c r="T46" s="964">
        <f>('Haver Pivoted'!HE76+1)^4-1</f>
        <v>4.1448566443352153E-2</v>
      </c>
      <c r="U46" s="964">
        <f>('Haver Pivoted'!HF76+1)^4-1</f>
        <v>4.1651997755371317E-2</v>
      </c>
      <c r="V46" s="964">
        <f>('Haver Pivoted'!HG76+1)^4-1</f>
        <v>2.4870541532459711E-2</v>
      </c>
      <c r="W46" s="964">
        <f>('Haver Pivoted'!HH76+1)^4-1</f>
        <v>2.5905176927918383E-2</v>
      </c>
      <c r="X46" s="964">
        <f>('Haver Pivoted'!HI76+1)^4-1</f>
        <v>1.7898288181300792E-2</v>
      </c>
      <c r="Y46" s="933">
        <f>(Y71/X71)^4-1</f>
        <v>3.3974968431316865E-2</v>
      </c>
      <c r="Z46" s="933">
        <f t="shared" ref="Z46:AG46" si="26">(Z71/Y71)^4-1</f>
        <v>3.173474992777825E-2</v>
      </c>
      <c r="AA46" s="933">
        <f t="shared" si="26"/>
        <v>2.2474645472145172E-2</v>
      </c>
      <c r="AB46" s="933">
        <f t="shared" si="26"/>
        <v>2.0485836297992499E-2</v>
      </c>
      <c r="AC46" s="933">
        <f t="shared" si="26"/>
        <v>2.1796033645922641E-2</v>
      </c>
      <c r="AD46" s="933">
        <f t="shared" si="26"/>
        <v>2.1576747995004641E-2</v>
      </c>
      <c r="AE46" s="933">
        <f t="shared" si="26"/>
        <v>2.0708760783051394E-2</v>
      </c>
      <c r="AF46" s="933">
        <f t="shared" si="26"/>
        <v>2.0110814282412459E-2</v>
      </c>
      <c r="AG46" s="933">
        <f t="shared" si="26"/>
        <v>1.9760549063349009E-2</v>
      </c>
    </row>
    <row r="47" spans="2:33">
      <c r="B47" s="77" t="s">
        <v>1934</v>
      </c>
      <c r="C47" s="935"/>
      <c r="D47" s="964"/>
      <c r="E47" s="933"/>
      <c r="F47" s="933"/>
      <c r="G47" s="933"/>
      <c r="H47" s="933"/>
      <c r="I47" s="933"/>
      <c r="J47" s="933"/>
      <c r="K47" s="933"/>
      <c r="L47" s="933"/>
      <c r="M47" s="933"/>
      <c r="N47" s="933"/>
      <c r="O47" s="933"/>
      <c r="P47" s="933"/>
      <c r="Q47" s="933"/>
      <c r="R47" s="933"/>
      <c r="S47" s="936"/>
      <c r="T47" s="936"/>
      <c r="U47" s="936"/>
      <c r="V47" s="936"/>
      <c r="W47" s="936"/>
      <c r="X47" s="936"/>
      <c r="Y47" s="936"/>
      <c r="Z47" s="933">
        <v>-7.4999999999999997E-3</v>
      </c>
      <c r="AA47" s="933"/>
      <c r="AB47" s="933"/>
      <c r="AC47" s="933"/>
      <c r="AD47" s="933"/>
      <c r="AE47" s="933"/>
      <c r="AF47" s="933"/>
      <c r="AG47" s="933"/>
    </row>
    <row r="48" spans="2:33">
      <c r="B48" s="68" t="s">
        <v>1711</v>
      </c>
      <c r="C48" s="935" t="s">
        <v>1700</v>
      </c>
      <c r="D48" s="964">
        <f>('Haver Pivoted'!GO77+1)^4-1</f>
        <v>2.9477765289275926E-2</v>
      </c>
      <c r="E48" s="933">
        <f>('Haver Pivoted'!GP77+1)^4-1</f>
        <v>4.2202135370129845E-2</v>
      </c>
      <c r="F48" s="933">
        <f>('Haver Pivoted'!GQ77+1)^4-1</f>
        <v>-2.3704834981612466E-2</v>
      </c>
      <c r="G48" s="933">
        <f>('Haver Pivoted'!GR77+1)^4-1</f>
        <v>6.4629467492742787E-3</v>
      </c>
      <c r="H48" s="933">
        <f>('Haver Pivoted'!GS77+1)^4-1</f>
        <v>1.3942439977386201E-2</v>
      </c>
      <c r="I48" s="933">
        <f>('Haver Pivoted'!GT77+1)^4-1</f>
        <v>1.2621468504538935E-2</v>
      </c>
      <c r="J48" s="933">
        <f>('Haver Pivoted'!GU77+1)^4-1</f>
        <v>9.5192305533120525E-4</v>
      </c>
      <c r="K48" s="933">
        <f>('Haver Pivoted'!GV77+1)^4-1</f>
        <v>2.3028813031033213E-2</v>
      </c>
      <c r="L48" s="933">
        <f>('Haver Pivoted'!GW77+1)^4-1</f>
        <v>2.9378026710950689E-2</v>
      </c>
      <c r="M48" s="933">
        <f>('Haver Pivoted'!GX77+1)^4-1</f>
        <v>3.4124335135575334E-2</v>
      </c>
      <c r="N48" s="933">
        <f>('Haver Pivoted'!GY77+1)^4-1</f>
        <v>3.9538213787325915E-2</v>
      </c>
      <c r="O48" s="933">
        <f>('Haver Pivoted'!GZ77+1)^4-1</f>
        <v>4.1165152093425528E-2</v>
      </c>
      <c r="P48" s="933">
        <f>('Haver Pivoted'!HA77+1)^4-1</f>
        <v>4.6364460300687638E-2</v>
      </c>
      <c r="Q48" s="933">
        <f>('Haver Pivoted'!HB77+1)^4-1</f>
        <v>7.2410998904413937E-2</v>
      </c>
      <c r="R48" s="933">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3">
        <f>(Z72/Y72)^4-1+Z50</f>
        <v>2.5493852387617873E-2</v>
      </c>
      <c r="AA48" s="933">
        <f t="shared" ref="AA48:AG48" si="27">(AA72/Z72)^4-1+AA50</f>
        <v>2.7505871693797701E-2</v>
      </c>
      <c r="AB48" s="933">
        <f t="shared" si="27"/>
        <v>2.5438723088733628E-2</v>
      </c>
      <c r="AC48" s="933">
        <f t="shared" si="27"/>
        <v>2.4377163912874478E-2</v>
      </c>
      <c r="AD48" s="933">
        <f t="shared" si="27"/>
        <v>2.3708971853545924E-2</v>
      </c>
      <c r="AE48" s="933">
        <f t="shared" si="27"/>
        <v>2.3471980846518914E-2</v>
      </c>
      <c r="AF48" s="933">
        <f t="shared" si="27"/>
        <v>2.3530345294352939E-2</v>
      </c>
      <c r="AG48" s="933">
        <f t="shared" si="27"/>
        <v>1.7936865457563567E-2</v>
      </c>
    </row>
    <row r="49" spans="2:68">
      <c r="B49" s="68" t="s">
        <v>1712</v>
      </c>
      <c r="C49" s="935" t="s">
        <v>1701</v>
      </c>
      <c r="D49" s="964">
        <f>('Haver Pivoted'!GO78+1)^4-1</f>
        <v>1.7606158659444704E-2</v>
      </c>
      <c r="E49" s="933">
        <f>('Haver Pivoted'!GP78+1)^4-1</f>
        <v>-1.7151418638734928E-2</v>
      </c>
      <c r="F49" s="933">
        <f>('Haver Pivoted'!GQ78+1)^4-1</f>
        <v>2.7663740902592604E-2</v>
      </c>
      <c r="G49" s="933">
        <f>('Haver Pivoted'!GR78+1)^4-1</f>
        <v>1.5104723907904294E-2</v>
      </c>
      <c r="H49" s="933">
        <f>('Haver Pivoted'!GS78+1)^4-1</f>
        <v>2.4480958799653285E-2</v>
      </c>
      <c r="I49" s="933">
        <f>('Haver Pivoted'!GT78+1)^4-1</f>
        <v>5.2574904831641067E-2</v>
      </c>
      <c r="J49" s="933">
        <f>('Haver Pivoted'!GU78+1)^4-1</f>
        <v>-8.4277759405785302E-3</v>
      </c>
      <c r="K49" s="933">
        <f>('Haver Pivoted'!GV78+1)^4-1</f>
        <v>4.907445416510936E-2</v>
      </c>
      <c r="L49" s="933">
        <f>('Haver Pivoted'!GW78+1)^4-1</f>
        <v>5.0954864858178572E-2</v>
      </c>
      <c r="M49" s="933">
        <f>('Haver Pivoted'!GX78+1)^4-1</f>
        <v>9.2354867824980369E-2</v>
      </c>
      <c r="N49" s="933">
        <f>('Haver Pivoted'!GY78+1)^4-1</f>
        <v>7.5885854631137173E-2</v>
      </c>
      <c r="O49" s="933">
        <f>('Haver Pivoted'!GZ78+1)^4-1</f>
        <v>6.4839018796936099E-2</v>
      </c>
      <c r="P49" s="933">
        <f>('Haver Pivoted'!HA78+1)^4-1</f>
        <v>7.8606616627874493E-2</v>
      </c>
      <c r="Q49" s="933">
        <f>('Haver Pivoted'!HB78+1)^4-1</f>
        <v>9.0996244334734522E-2</v>
      </c>
      <c r="R49" s="933">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3">
        <f>(Z73/Y73)^4-1+Z50</f>
        <v>3.2769034245715041E-2</v>
      </c>
      <c r="AA49" s="933">
        <f t="shared" ref="AA49:AG49" si="28">(AA73/Z73)^4-1+AA50</f>
        <v>2.4724337980433164E-2</v>
      </c>
      <c r="AB49" s="933">
        <f t="shared" si="28"/>
        <v>2.3533565330379203E-2</v>
      </c>
      <c r="AC49" s="933">
        <f t="shared" si="28"/>
        <v>2.5821649071183117E-2</v>
      </c>
      <c r="AD49" s="933">
        <f t="shared" si="28"/>
        <v>2.5493967451795996E-2</v>
      </c>
      <c r="AE49" s="933">
        <f t="shared" si="28"/>
        <v>2.5095343044312823E-2</v>
      </c>
      <c r="AF49" s="933">
        <f t="shared" si="28"/>
        <v>2.4877364391311607E-2</v>
      </c>
      <c r="AG49" s="933">
        <f t="shared" si="28"/>
        <v>2.492676444114772E-2</v>
      </c>
    </row>
    <row r="50" spans="2:68">
      <c r="B50" s="68" t="s">
        <v>1939</v>
      </c>
      <c r="C50" s="935"/>
      <c r="D50" s="964"/>
      <c r="E50" s="933"/>
      <c r="F50" s="933"/>
      <c r="G50" s="933"/>
      <c r="H50" s="933"/>
      <c r="I50" s="933"/>
      <c r="J50" s="933"/>
      <c r="K50" s="933"/>
      <c r="L50" s="933"/>
      <c r="M50" s="933"/>
      <c r="N50" s="933"/>
      <c r="O50" s="933"/>
      <c r="P50" s="933"/>
      <c r="Q50" s="933"/>
      <c r="R50" s="933"/>
      <c r="S50" s="936"/>
      <c r="T50" s="936"/>
      <c r="U50" s="936"/>
      <c r="V50" s="936"/>
      <c r="W50" s="936"/>
      <c r="X50" s="936"/>
      <c r="Y50" s="936"/>
      <c r="Z50" s="933">
        <f>Z47</f>
        <v>-7.4999999999999997E-3</v>
      </c>
      <c r="AA50" s="933">
        <f>AA47</f>
        <v>0</v>
      </c>
      <c r="AB50" s="933">
        <f>AB47</f>
        <v>0</v>
      </c>
      <c r="AC50" s="933"/>
      <c r="AD50" s="933"/>
      <c r="AE50" s="933"/>
      <c r="AF50" s="933"/>
      <c r="AG50" s="933"/>
    </row>
    <row r="51" spans="2:68">
      <c r="B51" s="68" t="s">
        <v>1713</v>
      </c>
      <c r="C51" s="935" t="s">
        <v>1702</v>
      </c>
      <c r="D51" s="964">
        <f>('Haver Pivoted'!GO79+1)^4-1</f>
        <v>1.2331231439726587E-2</v>
      </c>
      <c r="E51" s="933">
        <f>('Haver Pivoted'!GP79+1)^4-1</f>
        <v>-2.4548871147293649E-2</v>
      </c>
      <c r="F51" s="933">
        <f>('Haver Pivoted'!GQ79+1)^4-1</f>
        <v>2.4115177005201271E-2</v>
      </c>
      <c r="G51" s="933">
        <f>('Haver Pivoted'!GR79+1)^4-1</f>
        <v>1.4753974603383124E-2</v>
      </c>
      <c r="H51" s="933">
        <f>('Haver Pivoted'!GS79+1)^4-1</f>
        <v>2.894174832740215E-2</v>
      </c>
      <c r="I51" s="933">
        <f>('Haver Pivoted'!GT79+1)^4-1</f>
        <v>6.2522667611889737E-2</v>
      </c>
      <c r="J51" s="933">
        <f>('Haver Pivoted'!GU79+1)^4-1</f>
        <v>-7.4240991087901609E-3</v>
      </c>
      <c r="K51" s="933">
        <f>('Haver Pivoted'!GV79+1)^4-1</f>
        <v>5.0929448665746779E-2</v>
      </c>
      <c r="L51" s="933">
        <f>('Haver Pivoted'!GW79+1)^4-1</f>
        <v>5.7456046457014187E-2</v>
      </c>
      <c r="M51" s="933">
        <f>('Haver Pivoted'!GX79+1)^4-1</f>
        <v>9.8185028225247883E-2</v>
      </c>
      <c r="N51" s="933">
        <f>('Haver Pivoted'!GY79+1)^4-1</f>
        <v>7.1275335420445396E-2</v>
      </c>
      <c r="O51" s="933">
        <f>('Haver Pivoted'!GZ79+1)^4-1</f>
        <v>6.0639425152128945E-2</v>
      </c>
      <c r="P51" s="933">
        <f>('Haver Pivoted'!HA79+1)^4-1</f>
        <v>7.3083340350689641E-2</v>
      </c>
      <c r="Q51" s="933">
        <f>('Haver Pivoted'!HB79+1)^4-1</f>
        <v>8.7536929602414215E-2</v>
      </c>
      <c r="R51" s="933">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3">
        <f t="shared" ref="Z51:AF51" si="29">Z49</f>
        <v>3.2769034245715041E-2</v>
      </c>
      <c r="AA51" s="933">
        <f t="shared" si="29"/>
        <v>2.4724337980433164E-2</v>
      </c>
      <c r="AB51" s="933">
        <f t="shared" si="29"/>
        <v>2.3533565330379203E-2</v>
      </c>
      <c r="AC51" s="933">
        <f t="shared" si="29"/>
        <v>2.5821649071183117E-2</v>
      </c>
      <c r="AD51" s="933">
        <f t="shared" si="29"/>
        <v>2.5493967451795996E-2</v>
      </c>
      <c r="AE51" s="933">
        <f t="shared" si="29"/>
        <v>2.5095343044312823E-2</v>
      </c>
      <c r="AF51" s="933">
        <f t="shared" si="29"/>
        <v>2.4877364391311607E-2</v>
      </c>
      <c r="AG51" s="933">
        <f t="shared" ref="AG51" si="30">AG49</f>
        <v>2.492676444114772E-2</v>
      </c>
    </row>
    <row r="52" spans="2:68">
      <c r="B52" s="319" t="s">
        <v>1714</v>
      </c>
      <c r="C52" s="961" t="s">
        <v>1703</v>
      </c>
      <c r="D52" s="912">
        <f>('Haver Pivoted'!GO80+1)^4-1</f>
        <v>4.0962242441666019E-2</v>
      </c>
      <c r="E52" s="913">
        <f>('Haver Pivoted'!GP80+1)^4-1</f>
        <v>1.5719050974356552E-2</v>
      </c>
      <c r="F52" s="913">
        <f>('Haver Pivoted'!GQ80+1)^4-1</f>
        <v>4.3088224053848823E-2</v>
      </c>
      <c r="G52" s="913">
        <f>('Haver Pivoted'!GR80+1)^4-1</f>
        <v>1.6823112159823461E-2</v>
      </c>
      <c r="H52" s="913">
        <f>('Haver Pivoted'!GS80+1)^4-1</f>
        <v>5.3982501773912617E-3</v>
      </c>
      <c r="I52" s="913">
        <f>('Haver Pivoted'!GT80+1)^4-1</f>
        <v>9.7871671399678561E-3</v>
      </c>
      <c r="J52" s="913">
        <f>('Haver Pivoted'!GU80+1)^4-1</f>
        <v>-1.264897125361697E-2</v>
      </c>
      <c r="K52" s="913">
        <f>('Haver Pivoted'!GV80+1)^4-1</f>
        <v>4.0611329344794056E-2</v>
      </c>
      <c r="L52" s="913">
        <f>('Haver Pivoted'!GW80+1)^4-1</f>
        <v>2.1607225299700827E-2</v>
      </c>
      <c r="M52" s="913">
        <f>('Haver Pivoted'!GX80+1)^4-1</f>
        <v>6.5587978667649205E-2</v>
      </c>
      <c r="N52" s="913">
        <f>('Haver Pivoted'!GY80+1)^4-1</f>
        <v>9.6562691223789132E-2</v>
      </c>
      <c r="O52" s="913">
        <f>('Haver Pivoted'!GZ80+1)^4-1</f>
        <v>8.4807929469169041E-2</v>
      </c>
      <c r="P52" s="913">
        <f>('Haver Pivoted'!HA80+1)^4-1</f>
        <v>0.1057724485451752</v>
      </c>
      <c r="Q52" s="913">
        <f>('Haver Pivoted'!HB80+1)^4-1</f>
        <v>0.10808480173082224</v>
      </c>
      <c r="R52" s="913">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13">
        <f t="shared" ref="Z52:AF52" si="31">Z51</f>
        <v>3.2769034245715041E-2</v>
      </c>
      <c r="AA52" s="913">
        <f t="shared" si="31"/>
        <v>2.4724337980433164E-2</v>
      </c>
      <c r="AB52" s="913">
        <f t="shared" si="31"/>
        <v>2.3533565330379203E-2</v>
      </c>
      <c r="AC52" s="913">
        <f t="shared" si="31"/>
        <v>2.5821649071183117E-2</v>
      </c>
      <c r="AD52" s="913">
        <f t="shared" si="31"/>
        <v>2.5493967451795996E-2</v>
      </c>
      <c r="AE52" s="913">
        <f t="shared" si="31"/>
        <v>2.5095343044312823E-2</v>
      </c>
      <c r="AF52" s="913">
        <f t="shared" si="31"/>
        <v>2.4877364391311607E-2</v>
      </c>
      <c r="AG52" s="913">
        <f t="shared" ref="AG52" si="32">AG51</f>
        <v>2.492676444114772E-2</v>
      </c>
    </row>
    <row r="53" spans="2:68">
      <c r="B53" s="56"/>
      <c r="C53" s="935"/>
      <c r="D53" s="933"/>
      <c r="E53" s="933"/>
      <c r="F53" s="933"/>
      <c r="G53" s="933"/>
      <c r="H53" s="933"/>
      <c r="I53" s="933"/>
      <c r="J53" s="933"/>
      <c r="K53" s="933"/>
      <c r="L53" s="933"/>
      <c r="M53" s="933"/>
      <c r="N53" s="933"/>
      <c r="O53" s="933"/>
      <c r="P53" s="933"/>
      <c r="Q53" s="933"/>
      <c r="R53" s="933"/>
      <c r="X53" s="933"/>
      <c r="AB53" s="933"/>
      <c r="AC53" s="933"/>
      <c r="AD53" s="933"/>
      <c r="AE53" s="933"/>
      <c r="AF53" s="933"/>
    </row>
    <row r="54" spans="2:68">
      <c r="B54" s="56"/>
      <c r="C54" s="935"/>
      <c r="D54" s="933"/>
      <c r="E54" s="933"/>
      <c r="F54" s="933"/>
      <c r="G54" s="933"/>
      <c r="H54" s="933"/>
      <c r="I54" s="933"/>
      <c r="J54" s="933"/>
      <c r="K54" s="933"/>
      <c r="L54" s="933"/>
      <c r="M54" s="933"/>
      <c r="N54" s="933"/>
      <c r="O54" s="933"/>
      <c r="P54" s="933"/>
      <c r="Q54" s="933"/>
      <c r="R54" s="933"/>
      <c r="X54" s="933"/>
      <c r="AB54" s="933"/>
      <c r="AC54" s="933"/>
      <c r="AD54" s="933"/>
      <c r="AE54" s="933"/>
      <c r="AF54" s="933"/>
    </row>
    <row r="55" spans="2:68">
      <c r="B55" s="56"/>
      <c r="C55" s="935"/>
      <c r="D55" s="933"/>
      <c r="E55" s="933"/>
      <c r="F55" s="933"/>
      <c r="G55" s="933"/>
      <c r="H55" s="933"/>
      <c r="I55" s="933"/>
      <c r="J55" s="933"/>
      <c r="K55" s="933"/>
      <c r="L55" s="933"/>
      <c r="M55" s="933"/>
      <c r="N55" s="933"/>
      <c r="O55" s="933"/>
      <c r="P55" s="933"/>
      <c r="Q55" s="933"/>
      <c r="R55" s="933"/>
      <c r="X55" s="933"/>
      <c r="AB55" s="933"/>
      <c r="AC55" s="933"/>
      <c r="AD55" s="933"/>
      <c r="AE55" s="933"/>
      <c r="AF55" s="933"/>
    </row>
    <row r="56" spans="2:68">
      <c r="B56" s="56"/>
      <c r="C56" s="935"/>
      <c r="D56" s="933"/>
      <c r="E56" s="933"/>
      <c r="F56" s="933"/>
      <c r="G56" s="933"/>
      <c r="H56" s="933"/>
      <c r="I56" s="933"/>
      <c r="J56" s="933"/>
      <c r="K56" s="933"/>
      <c r="L56" s="933"/>
      <c r="M56" s="933"/>
      <c r="N56" s="933"/>
      <c r="O56" s="933"/>
      <c r="P56" s="933"/>
      <c r="Q56" s="933"/>
      <c r="R56" s="933"/>
      <c r="X56" s="933"/>
      <c r="AB56" s="933"/>
      <c r="AC56" s="933"/>
      <c r="AD56" s="933"/>
      <c r="AE56" s="933"/>
      <c r="AF56" s="933"/>
    </row>
    <row r="57" spans="2:68">
      <c r="B57" s="56"/>
      <c r="C57" s="935"/>
      <c r="D57" s="933"/>
      <c r="E57" s="933"/>
      <c r="F57" s="933"/>
      <c r="G57" s="933"/>
      <c r="H57" s="933"/>
      <c r="I57" s="933"/>
      <c r="J57" s="933"/>
      <c r="K57" s="933"/>
      <c r="L57" s="933"/>
      <c r="M57" s="933"/>
      <c r="N57" s="933"/>
      <c r="O57" s="933"/>
      <c r="P57" s="933"/>
      <c r="Q57" s="933"/>
      <c r="R57" s="933"/>
      <c r="X57" s="933"/>
      <c r="AB57" s="933"/>
      <c r="AC57" s="933"/>
      <c r="AD57" s="933"/>
      <c r="AE57" s="933"/>
      <c r="AF57" s="933"/>
    </row>
    <row r="58" spans="2:68">
      <c r="B58" s="56"/>
      <c r="C58" s="935"/>
      <c r="D58" s="933"/>
      <c r="E58" s="933"/>
      <c r="F58" s="933"/>
      <c r="G58" s="933"/>
      <c r="H58" s="933"/>
      <c r="I58" s="933"/>
      <c r="J58" s="933"/>
      <c r="K58" s="933"/>
      <c r="L58" s="933"/>
      <c r="M58" s="933"/>
      <c r="N58" s="933"/>
      <c r="O58" s="933"/>
      <c r="P58" s="933"/>
      <c r="Q58" s="933"/>
      <c r="R58" s="933"/>
      <c r="X58" s="933"/>
      <c r="AB58" s="933"/>
      <c r="AC58" s="933"/>
      <c r="AD58" s="933"/>
      <c r="AE58" s="933"/>
      <c r="AF58" s="933"/>
    </row>
    <row r="59" spans="2:68">
      <c r="B59" s="56"/>
      <c r="C59" s="935"/>
      <c r="D59" s="933"/>
      <c r="E59" s="933"/>
      <c r="F59" s="933"/>
      <c r="G59" s="933"/>
      <c r="H59" s="933"/>
      <c r="I59" s="933"/>
      <c r="J59" s="933"/>
      <c r="K59" s="933"/>
      <c r="L59" s="933"/>
      <c r="M59" s="933"/>
      <c r="N59" s="933"/>
      <c r="O59" s="933"/>
      <c r="P59" s="933"/>
      <c r="Q59" s="933"/>
      <c r="R59" s="933"/>
      <c r="X59" s="933"/>
      <c r="AB59" s="933"/>
      <c r="AC59" s="933"/>
      <c r="AD59" s="933"/>
      <c r="AE59" s="933"/>
      <c r="AF59" s="933"/>
    </row>
    <row r="60" spans="2:68">
      <c r="B60" s="56"/>
      <c r="C60" s="935"/>
      <c r="D60" s="933"/>
      <c r="E60" s="933"/>
      <c r="F60" s="933"/>
      <c r="G60" s="933"/>
      <c r="H60" s="933"/>
      <c r="I60" s="933"/>
      <c r="J60" s="933"/>
      <c r="K60" s="933"/>
      <c r="L60" s="933"/>
      <c r="M60" s="933"/>
      <c r="N60" s="933"/>
      <c r="O60" s="933"/>
      <c r="P60" s="933"/>
      <c r="Q60" s="933"/>
      <c r="R60" s="933"/>
      <c r="X60" s="933"/>
      <c r="Y60" s="933"/>
      <c r="Z60" s="933"/>
      <c r="AA60" s="933"/>
      <c r="AB60" s="933"/>
      <c r="AC60" s="933"/>
      <c r="AD60" s="933"/>
      <c r="AE60" s="933"/>
      <c r="AF60" s="933"/>
    </row>
    <row r="61" spans="2:68" ht="14.5" customHeight="1">
      <c r="B61" s="1395" t="s">
        <v>1734</v>
      </c>
      <c r="C61" s="1395"/>
      <c r="D61" s="1395"/>
      <c r="E61" s="1395"/>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row>
    <row r="62" spans="2:68" ht="30" customHeight="1">
      <c r="B62" s="925" t="s">
        <v>1969</v>
      </c>
      <c r="C62" s="952"/>
      <c r="D62" s="219">
        <v>2018</v>
      </c>
      <c r="E62" s="1311">
        <v>2019</v>
      </c>
      <c r="F62" s="1333"/>
      <c r="G62" s="1333"/>
      <c r="H62" s="1313"/>
      <c r="I62" s="1311">
        <v>2020</v>
      </c>
      <c r="J62" s="1333"/>
      <c r="K62" s="1333"/>
      <c r="L62" s="1333"/>
      <c r="M62" s="1311">
        <v>2021</v>
      </c>
      <c r="N62" s="1333"/>
      <c r="O62" s="1333"/>
      <c r="P62" s="1333"/>
      <c r="Q62" s="1328">
        <v>2022</v>
      </c>
      <c r="R62" s="1329"/>
      <c r="S62" s="288"/>
      <c r="T62" s="296"/>
      <c r="U62" s="239"/>
      <c r="V62" s="557">
        <v>2023</v>
      </c>
      <c r="W62" s="289"/>
      <c r="X62" s="289"/>
      <c r="Y62" s="1308">
        <v>2024</v>
      </c>
      <c r="Z62" s="1309"/>
      <c r="AA62" s="1309"/>
      <c r="AB62" s="1310"/>
      <c r="AC62" s="1308">
        <v>2025</v>
      </c>
      <c r="AD62" s="1309"/>
      <c r="AE62" s="1309"/>
      <c r="AF62" s="1310"/>
      <c r="AG62" s="251">
        <v>2026</v>
      </c>
    </row>
    <row r="63" spans="2:68">
      <c r="B63" s="915"/>
      <c r="C63" s="240"/>
      <c r="D63" s="214" t="s">
        <v>282</v>
      </c>
      <c r="E63" s="214" t="s">
        <v>283</v>
      </c>
      <c r="F63" s="215" t="s">
        <v>284</v>
      </c>
      <c r="G63" s="215" t="s">
        <v>238</v>
      </c>
      <c r="H63" s="216" t="s">
        <v>282</v>
      </c>
      <c r="I63" s="215" t="s">
        <v>283</v>
      </c>
      <c r="J63" s="215" t="s">
        <v>284</v>
      </c>
      <c r="K63" s="215" t="s">
        <v>238</v>
      </c>
      <c r="L63" s="215" t="s">
        <v>282</v>
      </c>
      <c r="M63" s="214" t="s">
        <v>283</v>
      </c>
      <c r="N63" s="215" t="s">
        <v>284</v>
      </c>
      <c r="O63" s="215" t="s">
        <v>238</v>
      </c>
      <c r="P63" s="215" t="s">
        <v>282</v>
      </c>
      <c r="Q63" s="214" t="s">
        <v>283</v>
      </c>
      <c r="R63" s="215" t="s">
        <v>284</v>
      </c>
      <c r="S63" s="215" t="s">
        <v>238</v>
      </c>
      <c r="T63" s="216" t="s">
        <v>282</v>
      </c>
      <c r="U63" s="214" t="s">
        <v>283</v>
      </c>
      <c r="V63" s="215" t="s">
        <v>284</v>
      </c>
      <c r="W63" s="326" t="s">
        <v>238</v>
      </c>
      <c r="X63" s="326" t="s">
        <v>282</v>
      </c>
      <c r="Y63" s="433" t="s">
        <v>283</v>
      </c>
      <c r="Z63" s="333" t="s">
        <v>284</v>
      </c>
      <c r="AA63" s="326" t="s">
        <v>238</v>
      </c>
      <c r="AB63" s="432" t="s">
        <v>282</v>
      </c>
      <c r="AC63" s="433" t="s">
        <v>283</v>
      </c>
      <c r="AD63" s="326" t="s">
        <v>284</v>
      </c>
      <c r="AE63" s="326" t="s">
        <v>238</v>
      </c>
      <c r="AF63" s="432" t="s">
        <v>282</v>
      </c>
      <c r="AG63" s="272" t="s">
        <v>283</v>
      </c>
    </row>
    <row r="64" spans="2:68" ht="28.5" customHeight="1">
      <c r="B64" s="478" t="s">
        <v>1968</v>
      </c>
      <c r="C64" s="56" t="s">
        <v>1716</v>
      </c>
      <c r="D64" s="234"/>
      <c r="E64" s="234"/>
      <c r="F64" s="234"/>
      <c r="G64" s="234"/>
      <c r="H64" s="234"/>
      <c r="I64" s="234"/>
      <c r="J64" s="234"/>
      <c r="K64" s="234"/>
      <c r="L64" s="234"/>
      <c r="M64" s="234">
        <v>15217.7</v>
      </c>
      <c r="N64" s="234">
        <v>15950.9</v>
      </c>
      <c r="O64" s="234">
        <v>16285.1</v>
      </c>
      <c r="P64" s="234">
        <v>16718.2</v>
      </c>
      <c r="Q64" s="234">
        <v>17030.599999999999</v>
      </c>
      <c r="R64" s="234">
        <v>17415.099999999999</v>
      </c>
      <c r="S64" s="439">
        <v>17684.2</v>
      </c>
      <c r="T64" s="439">
        <v>17917</v>
      </c>
      <c r="U64" s="439">
        <v>18269.599999999999</v>
      </c>
      <c r="V64" s="439">
        <v>18419</v>
      </c>
      <c r="W64" s="439">
        <v>18679.5</v>
      </c>
      <c r="X64" s="439">
        <v>18914.5</v>
      </c>
      <c r="Y64" s="439">
        <v>19191.599999999999</v>
      </c>
      <c r="Z64" s="439">
        <v>19506.599999999999</v>
      </c>
      <c r="AA64" s="439">
        <v>19739.8</v>
      </c>
      <c r="AB64" s="439">
        <v>19911.8</v>
      </c>
      <c r="AC64" s="439">
        <v>20098.5</v>
      </c>
      <c r="AD64" s="439">
        <v>20285.8</v>
      </c>
      <c r="AE64" s="439">
        <v>20464.099999999999</v>
      </c>
      <c r="AF64" s="439">
        <v>20636.599999999999</v>
      </c>
      <c r="AG64" s="439">
        <v>20786.400000000001</v>
      </c>
      <c r="AH64" s="907">
        <v>20949.8</v>
      </c>
      <c r="AI64" s="907">
        <v>21122.799999999999</v>
      </c>
      <c r="AJ64" s="90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c r="B65" s="916" t="s">
        <v>1970</v>
      </c>
      <c r="C65" s="56" t="s">
        <v>1717</v>
      </c>
      <c r="D65" s="68"/>
      <c r="E65" s="56"/>
      <c r="F65" s="56"/>
      <c r="G65" s="56"/>
      <c r="H65" s="56"/>
      <c r="I65" s="56"/>
      <c r="J65" s="56"/>
      <c r="K65" s="56"/>
      <c r="L65" s="56"/>
      <c r="M65" s="56">
        <v>1609.9</v>
      </c>
      <c r="N65" s="56">
        <v>1588.5</v>
      </c>
      <c r="O65" s="56">
        <v>1576.4</v>
      </c>
      <c r="P65" s="56">
        <v>1602.5</v>
      </c>
      <c r="Q65" s="56">
        <v>1601.7</v>
      </c>
      <c r="R65" s="56">
        <v>1612.3</v>
      </c>
      <c r="S65" s="439">
        <v>1636.3</v>
      </c>
      <c r="T65" s="439">
        <v>1691.8</v>
      </c>
      <c r="U65" s="439">
        <v>1730.6</v>
      </c>
      <c r="V65" s="439">
        <v>1744.3</v>
      </c>
      <c r="W65" s="439">
        <v>1791.9</v>
      </c>
      <c r="X65" s="439">
        <v>1820</v>
      </c>
      <c r="Y65" s="439">
        <v>1837.3</v>
      </c>
      <c r="Z65" s="439">
        <v>1825.6</v>
      </c>
      <c r="AA65" s="439">
        <v>1824.6</v>
      </c>
      <c r="AB65" s="439">
        <v>1842.6</v>
      </c>
      <c r="AC65" s="439">
        <v>1864.3</v>
      </c>
      <c r="AD65" s="439">
        <v>1886.9</v>
      </c>
      <c r="AE65" s="439">
        <v>1910.1</v>
      </c>
      <c r="AF65" s="439">
        <v>1923.8</v>
      </c>
      <c r="AG65" s="919">
        <v>1936.1</v>
      </c>
      <c r="AH65" s="919">
        <v>1950.7</v>
      </c>
      <c r="AI65" s="919">
        <v>1964.1</v>
      </c>
      <c r="AJ65" s="919">
        <v>1978.7</v>
      </c>
      <c r="AK65" s="919">
        <v>1993.5</v>
      </c>
      <c r="AL65" s="919">
        <v>2007</v>
      </c>
      <c r="AM65" s="919">
        <v>2019.8</v>
      </c>
      <c r="AN65" s="919">
        <v>2031.9</v>
      </c>
      <c r="AO65" s="919">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c r="B66" s="916" t="s">
        <v>1971</v>
      </c>
      <c r="C66" s="56" t="s">
        <v>1717</v>
      </c>
      <c r="D66" s="68"/>
      <c r="E66" s="56"/>
      <c r="F66" s="56"/>
      <c r="G66" s="56"/>
      <c r="H66" s="56"/>
      <c r="I66" s="56"/>
      <c r="J66" s="56"/>
      <c r="K66" s="56"/>
      <c r="L66" s="56"/>
      <c r="M66" s="56">
        <v>2533.9</v>
      </c>
      <c r="N66" s="56">
        <v>2571.6999999999998</v>
      </c>
      <c r="O66" s="56">
        <v>2625.1</v>
      </c>
      <c r="P66" s="56">
        <v>2664.2</v>
      </c>
      <c r="Q66" s="56">
        <v>2719.7</v>
      </c>
      <c r="R66" s="56">
        <v>2803.4</v>
      </c>
      <c r="S66" s="439">
        <v>2841.5</v>
      </c>
      <c r="T66" s="439">
        <v>2880.6</v>
      </c>
      <c r="U66" s="439">
        <v>2913.2</v>
      </c>
      <c r="V66" s="439">
        <v>2925.5</v>
      </c>
      <c r="W66" s="439">
        <v>3002.9</v>
      </c>
      <c r="X66" s="439">
        <v>3051.8</v>
      </c>
      <c r="Y66" s="439">
        <v>3094.7</v>
      </c>
      <c r="Z66" s="439">
        <v>3131</v>
      </c>
      <c r="AA66" s="439">
        <v>3158.7</v>
      </c>
      <c r="AB66" s="439">
        <v>3185.3</v>
      </c>
      <c r="AC66" s="439">
        <v>3213.1</v>
      </c>
      <c r="AD66" s="439">
        <v>3241</v>
      </c>
      <c r="AE66" s="439">
        <v>3268</v>
      </c>
      <c r="AF66" s="439">
        <v>3294.9</v>
      </c>
      <c r="AG66" s="920">
        <v>3323</v>
      </c>
      <c r="AH66" s="920">
        <v>3350.6</v>
      </c>
      <c r="AI66" s="920">
        <v>3378.6</v>
      </c>
      <c r="AJ66" s="920">
        <v>3406.2</v>
      </c>
      <c r="AK66" s="920">
        <v>3432.7</v>
      </c>
      <c r="AL66" s="920">
        <v>3459.9</v>
      </c>
      <c r="AM66" s="920">
        <v>3486.6</v>
      </c>
      <c r="AN66" s="920">
        <v>3513.5</v>
      </c>
      <c r="AO66" s="920">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c r="B67" s="916" t="s">
        <v>1972</v>
      </c>
      <c r="C67" s="56" t="s">
        <v>1718</v>
      </c>
      <c r="D67" s="68"/>
      <c r="E67" s="56"/>
      <c r="F67" s="56"/>
      <c r="G67" s="56"/>
      <c r="H67" s="56"/>
      <c r="I67" s="56"/>
      <c r="J67" s="56"/>
      <c r="K67" s="56"/>
      <c r="L67" s="56"/>
      <c r="M67" s="56">
        <v>14282.6</v>
      </c>
      <c r="N67" s="56">
        <v>14745.6</v>
      </c>
      <c r="O67" s="56">
        <v>14848.8</v>
      </c>
      <c r="P67" s="56">
        <v>14995.6</v>
      </c>
      <c r="Q67" s="56">
        <v>14995.2</v>
      </c>
      <c r="R67" s="56">
        <v>15069.2</v>
      </c>
      <c r="S67" s="439">
        <v>15127.4</v>
      </c>
      <c r="T67" s="439">
        <v>15171.4</v>
      </c>
      <c r="U67" s="439">
        <v>15312.9</v>
      </c>
      <c r="V67" s="439">
        <v>15343.6</v>
      </c>
      <c r="W67" s="439">
        <v>15461.4</v>
      </c>
      <c r="X67" s="439">
        <v>15586.7</v>
      </c>
      <c r="Y67" s="439">
        <v>15683.5</v>
      </c>
      <c r="Z67" s="439">
        <v>15816.9</v>
      </c>
      <c r="AA67" s="439">
        <v>15917.3</v>
      </c>
      <c r="AB67" s="439">
        <v>15974.8</v>
      </c>
      <c r="AC67" s="439">
        <v>16037.9</v>
      </c>
      <c r="AD67" s="439">
        <v>16101.2</v>
      </c>
      <c r="AE67" s="439">
        <v>16159.7</v>
      </c>
      <c r="AF67" s="439">
        <v>16215</v>
      </c>
      <c r="AG67" s="920">
        <v>16253</v>
      </c>
      <c r="AH67" s="920">
        <v>16301.8</v>
      </c>
      <c r="AI67" s="920">
        <v>16358</v>
      </c>
      <c r="AJ67" s="920">
        <v>16420.5</v>
      </c>
      <c r="AK67" s="920">
        <v>16477.900000000001</v>
      </c>
      <c r="AL67" s="920">
        <v>16537.599999999999</v>
      </c>
      <c r="AM67" s="920">
        <v>16599.099999999999</v>
      </c>
      <c r="AN67" s="920">
        <v>16662.8</v>
      </c>
      <c r="AO67" s="920">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c r="B68" s="916" t="s">
        <v>1973</v>
      </c>
      <c r="C68" s="56" t="s">
        <v>1719</v>
      </c>
      <c r="D68" s="68"/>
      <c r="E68" s="56"/>
      <c r="F68" s="56"/>
      <c r="G68" s="56"/>
      <c r="H68" s="56"/>
      <c r="I68" s="56"/>
      <c r="J68" s="56"/>
      <c r="K68" s="56"/>
      <c r="L68" s="56"/>
      <c r="M68" s="56">
        <v>1499.1</v>
      </c>
      <c r="N68" s="56">
        <v>1464.8</v>
      </c>
      <c r="O68" s="56">
        <v>1439.1</v>
      </c>
      <c r="P68" s="56">
        <v>1446.5</v>
      </c>
      <c r="Q68" s="56">
        <v>1420.9</v>
      </c>
      <c r="R68" s="56">
        <v>1406.9</v>
      </c>
      <c r="S68" s="439">
        <v>1411.2</v>
      </c>
      <c r="T68" s="439">
        <v>1444.5</v>
      </c>
      <c r="U68" s="439">
        <v>1462.8</v>
      </c>
      <c r="V68" s="439">
        <v>1466.9</v>
      </c>
      <c r="W68" s="439">
        <v>1492.3</v>
      </c>
      <c r="X68" s="439">
        <v>1501</v>
      </c>
      <c r="Y68" s="439">
        <v>1500.1</v>
      </c>
      <c r="Z68" s="439">
        <v>1478.5</v>
      </c>
      <c r="AA68" s="439">
        <v>1467.7</v>
      </c>
      <c r="AB68" s="439">
        <v>1472.9</v>
      </c>
      <c r="AC68" s="439">
        <v>1481.3</v>
      </c>
      <c r="AD68" s="439">
        <v>1490.5</v>
      </c>
      <c r="AE68" s="439">
        <v>1500.1</v>
      </c>
      <c r="AF68" s="439">
        <v>1502.1</v>
      </c>
      <c r="AG68" s="920">
        <v>1505</v>
      </c>
      <c r="AH68" s="920">
        <v>1509.3</v>
      </c>
      <c r="AI68" s="920">
        <v>1512.2</v>
      </c>
      <c r="AJ68" s="920">
        <v>1515.8</v>
      </c>
      <c r="AK68" s="920">
        <v>1519.3</v>
      </c>
      <c r="AL68" s="920">
        <v>1521.8</v>
      </c>
      <c r="AM68" s="920">
        <v>1523.6</v>
      </c>
      <c r="AN68" s="920">
        <v>1524.3</v>
      </c>
      <c r="AO68" s="920">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c r="B69" s="916" t="s">
        <v>1974</v>
      </c>
      <c r="C69" s="57" t="s">
        <v>1720</v>
      </c>
      <c r="D69" s="68"/>
      <c r="E69" s="56"/>
      <c r="F69" s="56"/>
      <c r="G69" s="56"/>
      <c r="H69" s="56"/>
      <c r="I69" s="56"/>
      <c r="J69" s="56"/>
      <c r="K69" s="56"/>
      <c r="L69" s="56"/>
      <c r="M69" s="56">
        <v>2247</v>
      </c>
      <c r="N69" s="56">
        <v>2239.1999999999998</v>
      </c>
      <c r="O69" s="56">
        <v>2250.1</v>
      </c>
      <c r="P69" s="56">
        <v>2240.9</v>
      </c>
      <c r="Q69" s="56">
        <v>2238.4</v>
      </c>
      <c r="R69" s="56">
        <v>2234.1</v>
      </c>
      <c r="S69" s="439">
        <v>2255.1</v>
      </c>
      <c r="T69" s="439">
        <v>2270.8000000000002</v>
      </c>
      <c r="U69" s="439">
        <v>2296.5</v>
      </c>
      <c r="V69" s="439">
        <v>2323</v>
      </c>
      <c r="W69" s="439">
        <v>2351.4</v>
      </c>
      <c r="X69" s="439">
        <v>2385.9</v>
      </c>
      <c r="Y69" s="439">
        <v>2397.9</v>
      </c>
      <c r="Z69" s="439">
        <v>2402.1999999999998</v>
      </c>
      <c r="AA69" s="439">
        <v>2408.6999999999998</v>
      </c>
      <c r="AB69" s="439">
        <v>2414.9</v>
      </c>
      <c r="AC69" s="439">
        <v>2420.5</v>
      </c>
      <c r="AD69" s="439">
        <v>2426.1999999999998</v>
      </c>
      <c r="AE69" s="439">
        <v>2431.3000000000002</v>
      </c>
      <c r="AF69" s="439">
        <v>2436.3000000000002</v>
      </c>
      <c r="AG69" s="907">
        <v>2442</v>
      </c>
      <c r="AH69" s="907">
        <v>2447.1</v>
      </c>
      <c r="AI69" s="907">
        <v>2452.1</v>
      </c>
      <c r="AJ69" s="907">
        <v>2456.6999999999998</v>
      </c>
      <c r="AK69" s="920">
        <v>2460.3000000000002</v>
      </c>
      <c r="AL69" s="920">
        <v>2464.1</v>
      </c>
      <c r="AM69" s="920">
        <v>2467.3000000000002</v>
      </c>
      <c r="AN69" s="920">
        <v>2470.4</v>
      </c>
      <c r="AO69" s="920">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c r="B70" s="926"/>
      <c r="C70" s="927"/>
      <c r="D70" s="956"/>
      <c r="E70" s="956"/>
      <c r="F70" s="956"/>
      <c r="G70" s="956"/>
      <c r="H70" s="956"/>
      <c r="I70" s="956"/>
      <c r="J70" s="956"/>
      <c r="K70" s="956"/>
      <c r="L70" s="956"/>
      <c r="M70" s="956"/>
      <c r="N70" s="956"/>
      <c r="O70" s="956"/>
      <c r="P70" s="956"/>
      <c r="Q70" s="956"/>
      <c r="R70" s="956"/>
      <c r="S70" s="956"/>
      <c r="T70" s="957" t="s">
        <v>1706</v>
      </c>
      <c r="U70" s="928"/>
      <c r="V70" s="928"/>
      <c r="W70" s="928"/>
      <c r="X70" s="928"/>
      <c r="Y70" s="928"/>
      <c r="Z70" s="928"/>
      <c r="AA70" s="928"/>
      <c r="AB70" s="928"/>
      <c r="AC70" s="928"/>
      <c r="AD70" s="928"/>
      <c r="AE70" s="928"/>
      <c r="AF70" s="929"/>
      <c r="AG70" s="240"/>
      <c r="AH70" s="240"/>
      <c r="AI70" s="240"/>
      <c r="AJ70" s="240"/>
      <c r="AK70" s="240"/>
      <c r="AL70" s="240"/>
      <c r="AM70" s="240"/>
      <c r="AN70" s="240"/>
      <c r="AO70" s="240"/>
      <c r="AP70" s="56"/>
      <c r="AQ70" s="56"/>
      <c r="AR70" s="56"/>
      <c r="AS70" s="56"/>
      <c r="AT70" s="56"/>
      <c r="AU70" s="56"/>
      <c r="AV70" s="56"/>
    </row>
    <row r="71" spans="2:68">
      <c r="B71" s="945" t="s">
        <v>1710</v>
      </c>
      <c r="C71" s="447"/>
      <c r="D71" s="448"/>
      <c r="E71" s="448"/>
      <c r="F71" s="448"/>
      <c r="G71" s="448"/>
      <c r="H71" s="448"/>
      <c r="I71" s="448"/>
      <c r="J71" s="448"/>
      <c r="K71" s="448"/>
      <c r="L71" s="448"/>
      <c r="M71" s="448"/>
      <c r="N71" s="448"/>
      <c r="O71" s="448"/>
      <c r="P71" s="448"/>
      <c r="Q71" s="448"/>
      <c r="R71" s="448"/>
      <c r="S71" s="922">
        <f t="shared" ref="S71:AF71" si="33">S64/S67</f>
        <v>1.1690178087443976</v>
      </c>
      <c r="T71" s="922">
        <f t="shared" si="33"/>
        <v>1.1809720922261624</v>
      </c>
      <c r="U71" s="922">
        <f t="shared" si="33"/>
        <v>1.1930855683769892</v>
      </c>
      <c r="V71" s="922">
        <f>V64/V67</f>
        <v>1.2004353606715503</v>
      </c>
      <c r="W71" s="922">
        <f t="shared" si="33"/>
        <v>1.208137684815088</v>
      </c>
      <c r="X71" s="922">
        <f t="shared" si="33"/>
        <v>1.2135025374197232</v>
      </c>
      <c r="Y71" s="922">
        <f t="shared" si="33"/>
        <v>1.2236809385660088</v>
      </c>
      <c r="Z71" s="922">
        <f t="shared" si="33"/>
        <v>1.233275799935512</v>
      </c>
      <c r="AA71" s="922">
        <f t="shared" si="33"/>
        <v>1.2401475124550019</v>
      </c>
      <c r="AB71" s="922">
        <f t="shared" si="33"/>
        <v>1.246450659789168</v>
      </c>
      <c r="AC71" s="922">
        <f t="shared" si="33"/>
        <v>1.2531877614899707</v>
      </c>
      <c r="AD71" s="922">
        <f t="shared" si="33"/>
        <v>1.2598936725213026</v>
      </c>
      <c r="AE71" s="922">
        <f t="shared" si="33"/>
        <v>1.2663663310581259</v>
      </c>
      <c r="AF71" s="958">
        <f t="shared" si="33"/>
        <v>1.2726857847671909</v>
      </c>
      <c r="AG71" s="958">
        <f>AG64/AG67</f>
        <v>1.2789269673291086</v>
      </c>
      <c r="AH71" s="958"/>
      <c r="AI71" s="958"/>
      <c r="AJ71" s="958"/>
      <c r="AK71" s="919"/>
      <c r="AL71" s="919"/>
      <c r="AM71" s="919"/>
      <c r="AN71" s="919"/>
      <c r="AO71" s="919"/>
    </row>
    <row r="72" spans="2:68">
      <c r="B72" s="68" t="s">
        <v>1711</v>
      </c>
      <c r="C72" s="224"/>
      <c r="D72" s="56"/>
      <c r="E72" s="56"/>
      <c r="F72" s="56"/>
      <c r="G72" s="56"/>
      <c r="H72" s="56"/>
      <c r="I72" s="56"/>
      <c r="J72" s="56"/>
      <c r="K72" s="56"/>
      <c r="L72" s="56"/>
      <c r="M72" s="56"/>
      <c r="N72" s="56"/>
      <c r="O72" s="56"/>
      <c r="P72" s="56"/>
      <c r="Q72" s="56"/>
      <c r="R72" s="56"/>
      <c r="S72" s="918">
        <f t="shared" ref="S72:AF72" si="34">S65/S68</f>
        <v>1.1595096371882085</v>
      </c>
      <c r="T72" s="918">
        <f t="shared" si="34"/>
        <v>1.1712011076497058</v>
      </c>
      <c r="U72" s="918">
        <f t="shared" si="34"/>
        <v>1.1830735575608422</v>
      </c>
      <c r="V72" s="918">
        <f t="shared" si="34"/>
        <v>1.1891062785465947</v>
      </c>
      <c r="W72" s="918">
        <f t="shared" si="34"/>
        <v>1.2007639214635129</v>
      </c>
      <c r="X72" s="918">
        <f t="shared" si="34"/>
        <v>1.2125249833444371</v>
      </c>
      <c r="Y72" s="918">
        <f t="shared" si="34"/>
        <v>1.224785014332378</v>
      </c>
      <c r="Z72" s="918">
        <f t="shared" si="34"/>
        <v>1.2347649644910381</v>
      </c>
      <c r="AA72" s="918">
        <f t="shared" si="34"/>
        <v>1.2431695850650677</v>
      </c>
      <c r="AB72" s="918">
        <f t="shared" si="34"/>
        <v>1.2510014257587072</v>
      </c>
      <c r="AC72" s="918">
        <f t="shared" si="34"/>
        <v>1.258556673192466</v>
      </c>
      <c r="AD72" s="918">
        <f t="shared" si="34"/>
        <v>1.2659510231465951</v>
      </c>
      <c r="AE72" s="918">
        <f t="shared" si="34"/>
        <v>1.273315112325845</v>
      </c>
      <c r="AF72" s="923">
        <f t="shared" si="34"/>
        <v>1.2807402969176487</v>
      </c>
      <c r="AG72" s="923">
        <f>AG65/AG68</f>
        <v>1.2864451827242525</v>
      </c>
      <c r="AH72" s="920"/>
      <c r="AI72" s="920"/>
      <c r="AJ72" s="920"/>
      <c r="AK72" s="920"/>
      <c r="AL72" s="920"/>
      <c r="AM72" s="920"/>
      <c r="AN72" s="920"/>
      <c r="AO72" s="920"/>
    </row>
    <row r="73" spans="2:68">
      <c r="B73" s="319" t="s">
        <v>1712</v>
      </c>
      <c r="C73" s="225"/>
      <c r="D73" s="57"/>
      <c r="E73" s="57"/>
      <c r="F73" s="57"/>
      <c r="G73" s="57"/>
      <c r="H73" s="57"/>
      <c r="I73" s="57"/>
      <c r="J73" s="57"/>
      <c r="K73" s="57"/>
      <c r="L73" s="57"/>
      <c r="M73" s="57"/>
      <c r="N73" s="57"/>
      <c r="O73" s="57"/>
      <c r="P73" s="57"/>
      <c r="Q73" s="57"/>
      <c r="R73" s="57"/>
      <c r="S73" s="921">
        <f t="shared" ref="S73:AF73" si="35">S66/S69</f>
        <v>1.2600328145093345</v>
      </c>
      <c r="T73" s="921">
        <f t="shared" si="35"/>
        <v>1.268539721683988</v>
      </c>
      <c r="U73" s="921">
        <f t="shared" si="35"/>
        <v>1.2685390812105377</v>
      </c>
      <c r="V73" s="921">
        <f t="shared" si="35"/>
        <v>1.2593628928110203</v>
      </c>
      <c r="W73" s="921">
        <f t="shared" si="35"/>
        <v>1.2770689801820192</v>
      </c>
      <c r="X73" s="921">
        <f t="shared" si="35"/>
        <v>1.2790980342847562</v>
      </c>
      <c r="Y73" s="921">
        <f t="shared" si="35"/>
        <v>1.2905875974811292</v>
      </c>
      <c r="Z73" s="921">
        <f t="shared" si="35"/>
        <v>1.303388560486221</v>
      </c>
      <c r="AA73" s="921">
        <f t="shared" si="35"/>
        <v>1.3113712791132146</v>
      </c>
      <c r="AB73" s="921">
        <f t="shared" si="35"/>
        <v>1.3190194210940411</v>
      </c>
      <c r="AC73" s="921">
        <f t="shared" si="35"/>
        <v>1.3274530055773599</v>
      </c>
      <c r="AD73" s="921">
        <f t="shared" si="35"/>
        <v>1.3358338141950377</v>
      </c>
      <c r="AE73" s="921">
        <f t="shared" si="35"/>
        <v>1.3441368815037222</v>
      </c>
      <c r="AF73" s="924">
        <f t="shared" si="35"/>
        <v>1.3524196527521242</v>
      </c>
      <c r="AG73" s="924">
        <f t="shared" ref="AG73" si="36">AG66/AG69</f>
        <v>1.3607698607698608</v>
      </c>
      <c r="AH73" s="920"/>
      <c r="AI73" s="920"/>
      <c r="AJ73" s="920"/>
      <c r="AK73" s="920"/>
      <c r="AL73" s="920"/>
      <c r="AM73" s="920"/>
      <c r="AN73" s="920"/>
      <c r="AO73" s="920"/>
    </row>
    <row r="74" spans="2:68">
      <c r="B74" s="917"/>
      <c r="C74" s="917"/>
      <c r="D74" s="240"/>
      <c r="E74" s="240"/>
      <c r="F74" s="240"/>
      <c r="G74" s="240"/>
      <c r="H74" s="240"/>
      <c r="I74" s="240"/>
      <c r="J74" s="240"/>
      <c r="K74" s="240"/>
      <c r="L74" s="240"/>
      <c r="M74" s="240"/>
      <c r="N74" s="240"/>
      <c r="O74" s="240"/>
      <c r="P74" s="240"/>
      <c r="Q74" s="240"/>
      <c r="R74" s="240"/>
      <c r="S74" s="240"/>
      <c r="T74" s="240"/>
      <c r="U74" s="240"/>
      <c r="V74" s="240"/>
      <c r="W74" s="240"/>
      <c r="X74" s="240"/>
      <c r="Y74" s="240"/>
      <c r="Z74" s="56"/>
      <c r="AA74" s="56"/>
      <c r="AB74" s="56"/>
      <c r="AC74" s="56"/>
      <c r="AD74" s="56"/>
      <c r="AE74" s="56"/>
      <c r="AF74" s="56"/>
    </row>
    <row r="75" spans="2:68">
      <c r="B75" s="917"/>
      <c r="C75" s="917"/>
      <c r="D75" s="240"/>
      <c r="E75" s="240"/>
      <c r="F75" s="240"/>
      <c r="G75" s="240"/>
      <c r="H75" s="240"/>
      <c r="I75" s="240"/>
      <c r="J75" s="240"/>
      <c r="K75" s="240"/>
      <c r="L75" s="240"/>
      <c r="M75" s="240"/>
      <c r="N75" s="240"/>
      <c r="O75" s="240"/>
      <c r="P75" s="240"/>
      <c r="Q75" s="240"/>
      <c r="R75" s="240"/>
      <c r="S75" s="240"/>
      <c r="T75" s="851"/>
      <c r="U75" s="851"/>
      <c r="V75" s="851"/>
      <c r="W75" s="851"/>
      <c r="X75" s="851"/>
      <c r="Y75" s="851"/>
      <c r="Z75" s="851"/>
      <c r="AA75" s="851"/>
      <c r="AB75" s="851"/>
      <c r="AC75" s="851"/>
      <c r="AD75" s="851"/>
      <c r="AE75" s="851"/>
      <c r="AF75" s="851"/>
    </row>
    <row r="77" spans="2:68">
      <c r="C77" s="30"/>
      <c r="D77" s="959"/>
      <c r="E77" s="959"/>
      <c r="F77" s="959"/>
      <c r="G77" s="959"/>
    </row>
    <row r="81" spans="3:13">
      <c r="C81" s="14"/>
      <c r="D81" s="74"/>
      <c r="E81" s="74"/>
      <c r="F81" s="74"/>
      <c r="G81" s="74"/>
      <c r="H81" s="74"/>
      <c r="I81" s="74"/>
      <c r="J81" s="74"/>
      <c r="K81" s="74"/>
      <c r="L81" s="74"/>
      <c r="M81" s="74"/>
    </row>
    <row r="82" spans="3:13">
      <c r="C82" s="30"/>
      <c r="D82" s="962"/>
      <c r="E82" s="962"/>
      <c r="F82" s="962"/>
      <c r="G82" s="962"/>
      <c r="H82" s="962"/>
      <c r="I82" s="962"/>
      <c r="J82" s="962"/>
      <c r="K82" s="962"/>
      <c r="L82" s="962"/>
      <c r="M82" s="962"/>
    </row>
    <row r="83" spans="3:13">
      <c r="C83" s="959"/>
      <c r="D83" s="962"/>
      <c r="E83" s="962"/>
      <c r="F83" s="962"/>
      <c r="G83" s="962"/>
      <c r="H83" s="962"/>
      <c r="I83" s="962"/>
      <c r="J83" s="962"/>
      <c r="K83" s="962"/>
      <c r="L83" s="962"/>
      <c r="M83" s="962"/>
    </row>
    <row r="84" spans="3:13">
      <c r="C84" s="959"/>
      <c r="D84" s="962"/>
      <c r="E84" s="962"/>
      <c r="F84" s="962"/>
      <c r="G84" s="962"/>
      <c r="H84" s="962"/>
      <c r="I84" s="962"/>
      <c r="J84" s="962"/>
      <c r="K84" s="962"/>
      <c r="L84" s="962"/>
      <c r="M84" s="962"/>
    </row>
    <row r="85" spans="3:13">
      <c r="C85" s="959"/>
      <c r="D85" s="962"/>
      <c r="E85" s="962"/>
      <c r="F85" s="962"/>
      <c r="G85" s="962"/>
      <c r="H85" s="962"/>
      <c r="I85" s="962"/>
      <c r="J85" s="962"/>
      <c r="K85" s="962"/>
      <c r="L85" s="962"/>
      <c r="M85" s="962"/>
    </row>
    <row r="86" spans="3:13">
      <c r="C86" s="959"/>
      <c r="D86" s="962"/>
      <c r="E86" s="962"/>
      <c r="F86" s="962"/>
      <c r="G86" s="962"/>
      <c r="H86" s="962"/>
      <c r="I86" s="962"/>
      <c r="J86" s="962"/>
      <c r="K86" s="962"/>
      <c r="L86" s="962"/>
      <c r="M86" s="962"/>
    </row>
  </sheetData>
  <mergeCells count="31">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1640625" defaultRowHeight="14.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c r="H1" s="1297" t="s">
        <v>316</v>
      </c>
      <c r="I1" s="1297"/>
      <c r="J1" s="1297"/>
      <c r="K1" s="1297"/>
      <c r="L1" s="1297"/>
      <c r="M1" s="1297"/>
      <c r="N1" s="1297"/>
      <c r="O1" s="1297"/>
      <c r="P1" s="1297"/>
      <c r="Q1" s="1297"/>
      <c r="R1" s="1297"/>
      <c r="S1" s="1297"/>
    </row>
    <row r="2" spans="8:22">
      <c r="H2" s="1349" t="s">
        <v>317</v>
      </c>
      <c r="I2" s="1349"/>
      <c r="J2" s="1349"/>
      <c r="K2" s="1349"/>
      <c r="L2" s="1349"/>
      <c r="M2" s="1349"/>
      <c r="N2" s="1349"/>
      <c r="O2" s="1349"/>
      <c r="P2" s="1349"/>
      <c r="Q2" s="1349"/>
      <c r="R2" s="1349"/>
      <c r="S2" s="1349"/>
    </row>
    <row r="3" spans="8:22">
      <c r="H3" s="1349"/>
      <c r="I3" s="1349"/>
      <c r="J3" s="1349"/>
      <c r="K3" s="1349"/>
      <c r="L3" s="1349"/>
      <c r="M3" s="1349"/>
      <c r="N3" s="1349"/>
      <c r="O3" s="1349"/>
      <c r="P3" s="1349"/>
      <c r="Q3" s="1349"/>
      <c r="R3" s="1349"/>
      <c r="S3" s="1349"/>
    </row>
    <row r="4" spans="8:22">
      <c r="H4" s="1349"/>
      <c r="I4" s="1349"/>
      <c r="J4" s="1349"/>
      <c r="K4" s="1349"/>
      <c r="L4" s="1349"/>
      <c r="M4" s="1349"/>
      <c r="N4" s="1349"/>
      <c r="O4" s="1349"/>
      <c r="P4" s="1349"/>
      <c r="Q4" s="1349"/>
      <c r="R4" s="1349"/>
      <c r="S4" s="1349"/>
    </row>
    <row r="5" spans="8:22" ht="54.75" customHeight="1">
      <c r="H5" s="1349"/>
      <c r="I5" s="1349"/>
      <c r="J5" s="1349"/>
      <c r="K5" s="1349"/>
      <c r="L5" s="1349"/>
      <c r="M5" s="1349"/>
      <c r="N5" s="1349"/>
      <c r="O5" s="1349"/>
      <c r="P5" s="1349"/>
      <c r="Q5" s="1349"/>
      <c r="R5" s="1349"/>
      <c r="S5" s="1349"/>
    </row>
    <row r="6" spans="8:22">
      <c r="H6" s="469"/>
      <c r="I6" s="469"/>
      <c r="J6" s="469"/>
      <c r="K6" s="469"/>
      <c r="L6" s="469"/>
      <c r="M6" s="469"/>
      <c r="N6" s="469"/>
      <c r="O6" s="469"/>
      <c r="P6" s="469"/>
      <c r="Q6" s="469"/>
      <c r="R6" s="469"/>
      <c r="S6" s="469"/>
    </row>
    <row r="7" spans="8:22">
      <c r="H7" s="976" t="s">
        <v>318</v>
      </c>
    </row>
    <row r="8" spans="8:22" ht="16.399999999999999" customHeight="1"/>
    <row r="9" spans="8:22" ht="15.75" customHeight="1">
      <c r="L9" s="1311">
        <v>2020</v>
      </c>
      <c r="M9" s="1312"/>
      <c r="N9" s="1312"/>
      <c r="O9" s="557">
        <v>2021</v>
      </c>
      <c r="P9" s="557"/>
      <c r="Q9" s="557"/>
      <c r="R9" s="340"/>
    </row>
    <row r="10" spans="8:22" ht="41.9" customHeight="1">
      <c r="H10" s="971" t="s">
        <v>319</v>
      </c>
      <c r="I10" s="971" t="s">
        <v>320</v>
      </c>
      <c r="J10" s="972" t="s">
        <v>321</v>
      </c>
      <c r="K10" s="230"/>
      <c r="L10" s="983" t="s">
        <v>284</v>
      </c>
      <c r="M10" s="984" t="s">
        <v>238</v>
      </c>
      <c r="N10" s="984" t="s">
        <v>282</v>
      </c>
      <c r="O10" s="984" t="s">
        <v>283</v>
      </c>
      <c r="P10" s="984" t="s">
        <v>284</v>
      </c>
      <c r="Q10" s="984" t="s">
        <v>238</v>
      </c>
      <c r="R10" s="970" t="s">
        <v>282</v>
      </c>
      <c r="S10" s="469" t="s">
        <v>322</v>
      </c>
      <c r="T10" s="230"/>
      <c r="U10" s="230"/>
      <c r="V10" s="230"/>
    </row>
    <row r="11" spans="8:22">
      <c r="H11" s="973">
        <v>43934</v>
      </c>
      <c r="I11" s="234">
        <v>248</v>
      </c>
      <c r="J11" s="569">
        <f>I11</f>
        <v>248</v>
      </c>
      <c r="K11" s="234"/>
      <c r="L11" s="967">
        <f>S11/26*J11</f>
        <v>95.384615384615387</v>
      </c>
      <c r="M11" s="842">
        <f>13/26*J11</f>
        <v>124</v>
      </c>
      <c r="N11" s="842">
        <f>J11-SUM(L11:M11)</f>
        <v>28.615384615384613</v>
      </c>
      <c r="O11" s="842"/>
      <c r="P11" s="842"/>
      <c r="Q11" s="842"/>
      <c r="R11" s="981"/>
      <c r="S11" s="234">
        <v>10</v>
      </c>
      <c r="T11" s="234"/>
      <c r="U11" s="978"/>
      <c r="V11" s="234"/>
    </row>
    <row r="12" spans="8:22">
      <c r="H12" s="979">
        <v>43937</v>
      </c>
      <c r="I12" s="234">
        <v>342</v>
      </c>
      <c r="J12" s="569">
        <f>I12-I11</f>
        <v>94</v>
      </c>
      <c r="K12" s="234"/>
      <c r="L12" s="967">
        <f t="shared" ref="L12:L20" si="0">S12/26*J12</f>
        <v>36.153846153846153</v>
      </c>
      <c r="M12" s="842">
        <f t="shared" ref="M12:M20" si="1">13/26*J12</f>
        <v>47</v>
      </c>
      <c r="N12" s="842">
        <f t="shared" ref="N12:N21" si="2">J12-SUM(L12:M12)</f>
        <v>10.84615384615384</v>
      </c>
      <c r="O12" s="842"/>
      <c r="P12" s="842"/>
      <c r="Q12" s="842"/>
      <c r="R12" s="981"/>
      <c r="S12" s="234">
        <v>10</v>
      </c>
      <c r="T12" s="234"/>
      <c r="U12" s="234"/>
      <c r="V12" s="234"/>
    </row>
    <row r="13" spans="8:22">
      <c r="H13" s="979">
        <v>43952</v>
      </c>
      <c r="I13" s="234">
        <v>518</v>
      </c>
      <c r="J13" s="569">
        <f>I13-I12</f>
        <v>176</v>
      </c>
      <c r="K13" s="234"/>
      <c r="L13" s="967">
        <f t="shared" si="0"/>
        <v>54.15384615384616</v>
      </c>
      <c r="M13" s="842">
        <f t="shared" si="1"/>
        <v>88</v>
      </c>
      <c r="N13" s="842">
        <f t="shared" si="2"/>
        <v>33.84615384615384</v>
      </c>
      <c r="O13" s="842"/>
      <c r="P13" s="842"/>
      <c r="Q13" s="842"/>
      <c r="R13" s="981"/>
      <c r="S13" s="234">
        <v>8</v>
      </c>
      <c r="T13" s="234"/>
      <c r="U13" s="234"/>
      <c r="V13" s="234"/>
    </row>
    <row r="14" spans="8:22">
      <c r="H14" s="979">
        <v>43959</v>
      </c>
      <c r="I14" s="234">
        <v>531</v>
      </c>
      <c r="J14" s="569">
        <f t="shared" ref="J14:J45" si="3">I14-I13</f>
        <v>13</v>
      </c>
      <c r="K14" s="234"/>
      <c r="L14" s="967">
        <f t="shared" si="0"/>
        <v>3.5</v>
      </c>
      <c r="M14" s="842">
        <f t="shared" si="1"/>
        <v>6.5</v>
      </c>
      <c r="N14" s="842">
        <f t="shared" si="2"/>
        <v>3</v>
      </c>
      <c r="O14" s="842"/>
      <c r="P14" s="842"/>
      <c r="Q14" s="842"/>
      <c r="R14" s="981"/>
      <c r="S14" s="234">
        <f t="shared" ref="S14:S20" si="4">S13-1</f>
        <v>7</v>
      </c>
      <c r="T14" s="234"/>
      <c r="U14" s="234"/>
      <c r="V14" s="234"/>
    </row>
    <row r="15" spans="8:22">
      <c r="H15" s="979">
        <v>43967</v>
      </c>
      <c r="I15" s="234">
        <v>513</v>
      </c>
      <c r="J15" s="569">
        <f t="shared" si="3"/>
        <v>-18</v>
      </c>
      <c r="K15" s="234"/>
      <c r="L15" s="967">
        <f t="shared" ref="L15:L17" si="5">S15/26*J15</f>
        <v>-4.1538461538461542</v>
      </c>
      <c r="M15" s="842">
        <f t="shared" ref="M15:M17" si="6">13/26*J15</f>
        <v>-9</v>
      </c>
      <c r="N15" s="842">
        <f t="shared" ref="N15:N17" si="7">J15-SUM(L15:M15)</f>
        <v>-4.8461538461538467</v>
      </c>
      <c r="O15" s="842"/>
      <c r="P15" s="842"/>
      <c r="Q15" s="842"/>
      <c r="R15" s="981"/>
      <c r="S15" s="234">
        <f t="shared" si="4"/>
        <v>6</v>
      </c>
      <c r="T15" s="234"/>
      <c r="U15" s="234"/>
      <c r="V15" s="234"/>
    </row>
    <row r="16" spans="8:22">
      <c r="H16" s="979">
        <v>43974</v>
      </c>
      <c r="I16" s="234">
        <v>511</v>
      </c>
      <c r="J16" s="569">
        <f t="shared" si="3"/>
        <v>-2</v>
      </c>
      <c r="K16" s="234"/>
      <c r="L16" s="967">
        <f t="shared" si="5"/>
        <v>-0.38461538461538464</v>
      </c>
      <c r="M16" s="842">
        <f t="shared" si="6"/>
        <v>-1</v>
      </c>
      <c r="N16" s="842">
        <f t="shared" si="7"/>
        <v>-0.61538461538461542</v>
      </c>
      <c r="O16" s="842"/>
      <c r="P16" s="842"/>
      <c r="Q16" s="842"/>
      <c r="R16" s="981"/>
      <c r="S16" s="234">
        <f t="shared" si="4"/>
        <v>5</v>
      </c>
      <c r="T16" s="234"/>
      <c r="U16" s="234"/>
      <c r="V16" s="234"/>
    </row>
    <row r="17" spans="8:22">
      <c r="H17" s="979">
        <v>43981</v>
      </c>
      <c r="I17" s="234">
        <v>510</v>
      </c>
      <c r="J17" s="569">
        <f t="shared" si="3"/>
        <v>-1</v>
      </c>
      <c r="K17" s="234"/>
      <c r="L17" s="967">
        <f t="shared" si="5"/>
        <v>-0.15384615384615385</v>
      </c>
      <c r="M17" s="842">
        <f t="shared" si="6"/>
        <v>-0.5</v>
      </c>
      <c r="N17" s="842">
        <f t="shared" si="7"/>
        <v>-0.34615384615384615</v>
      </c>
      <c r="O17" s="842"/>
      <c r="P17" s="842"/>
      <c r="Q17" s="842"/>
      <c r="R17" s="981"/>
      <c r="S17" s="234">
        <f t="shared" si="4"/>
        <v>4</v>
      </c>
      <c r="T17" s="234"/>
      <c r="U17" s="234"/>
      <c r="V17" s="234"/>
    </row>
    <row r="18" spans="8:22">
      <c r="H18" s="979">
        <v>43988</v>
      </c>
      <c r="I18" s="234">
        <v>511</v>
      </c>
      <c r="J18" s="569">
        <f t="shared" si="3"/>
        <v>1</v>
      </c>
      <c r="K18" s="234"/>
      <c r="L18" s="967">
        <f t="shared" si="0"/>
        <v>0.11538461538461539</v>
      </c>
      <c r="M18" s="842">
        <f t="shared" si="1"/>
        <v>0.5</v>
      </c>
      <c r="N18" s="842">
        <f t="shared" si="2"/>
        <v>0.38461538461538458</v>
      </c>
      <c r="O18" s="842"/>
      <c r="P18" s="842"/>
      <c r="Q18" s="842"/>
      <c r="R18" s="981"/>
      <c r="S18" s="234">
        <f t="shared" si="4"/>
        <v>3</v>
      </c>
      <c r="T18" s="234"/>
      <c r="U18" s="234"/>
      <c r="V18" s="234"/>
    </row>
    <row r="19" spans="8:22">
      <c r="H19" s="979">
        <v>43994</v>
      </c>
      <c r="I19" s="234">
        <v>512</v>
      </c>
      <c r="J19" s="569">
        <f t="shared" si="3"/>
        <v>1</v>
      </c>
      <c r="K19" s="234"/>
      <c r="L19" s="967">
        <f t="shared" si="0"/>
        <v>7.6923076923076927E-2</v>
      </c>
      <c r="M19" s="842">
        <f t="shared" si="1"/>
        <v>0.5</v>
      </c>
      <c r="N19" s="842">
        <f t="shared" si="2"/>
        <v>0.42307692307692313</v>
      </c>
      <c r="O19" s="842"/>
      <c r="P19" s="842"/>
      <c r="Q19" s="842"/>
      <c r="R19" s="981"/>
      <c r="S19" s="234">
        <f t="shared" si="4"/>
        <v>2</v>
      </c>
      <c r="T19" s="234"/>
      <c r="U19" s="234"/>
      <c r="V19" s="234"/>
    </row>
    <row r="20" spans="8:22">
      <c r="H20" s="979">
        <v>44002</v>
      </c>
      <c r="I20" s="234">
        <v>515</v>
      </c>
      <c r="J20" s="569">
        <f t="shared" si="3"/>
        <v>3</v>
      </c>
      <c r="K20" s="234"/>
      <c r="L20" s="967">
        <f t="shared" si="0"/>
        <v>0.11538461538461539</v>
      </c>
      <c r="M20" s="842">
        <f t="shared" si="1"/>
        <v>1.5</v>
      </c>
      <c r="N20" s="842">
        <f t="shared" si="2"/>
        <v>1.3846153846153846</v>
      </c>
      <c r="O20" s="842"/>
      <c r="P20" s="842"/>
      <c r="Q20" s="842"/>
      <c r="R20" s="981"/>
      <c r="S20" s="234">
        <f t="shared" si="4"/>
        <v>1</v>
      </c>
      <c r="T20" s="234"/>
      <c r="U20" s="234"/>
      <c r="V20" s="234"/>
    </row>
    <row r="21" spans="8:22">
      <c r="H21" s="979">
        <v>44009</v>
      </c>
      <c r="I21" s="234">
        <v>519</v>
      </c>
      <c r="J21" s="569">
        <f t="shared" si="3"/>
        <v>4</v>
      </c>
      <c r="K21" s="234"/>
      <c r="L21" s="967"/>
      <c r="M21" s="842">
        <f>S21/26*J21</f>
        <v>2</v>
      </c>
      <c r="N21" s="842">
        <f t="shared" si="2"/>
        <v>2</v>
      </c>
      <c r="O21" s="842"/>
      <c r="P21" s="842"/>
      <c r="Q21" s="842"/>
      <c r="R21" s="981"/>
      <c r="S21" s="234">
        <v>13</v>
      </c>
      <c r="T21" s="234"/>
      <c r="U21" s="234"/>
      <c r="V21" s="234"/>
    </row>
    <row r="22" spans="8:22">
      <c r="H22" s="979">
        <v>44012</v>
      </c>
      <c r="I22" s="234">
        <v>521</v>
      </c>
      <c r="J22" s="569">
        <f t="shared" si="3"/>
        <v>2</v>
      </c>
      <c r="K22" s="234"/>
      <c r="L22" s="967"/>
      <c r="M22" s="842">
        <f t="shared" ref="M22:M26" si="8">S22/26*J22</f>
        <v>1</v>
      </c>
      <c r="N22" s="842">
        <f>J22-SUM(L22:M22)</f>
        <v>1</v>
      </c>
      <c r="O22" s="842"/>
      <c r="P22" s="842"/>
      <c r="Q22" s="842"/>
      <c r="R22" s="981"/>
      <c r="S22" s="234">
        <v>13</v>
      </c>
      <c r="T22" s="234"/>
      <c r="U22" s="234"/>
      <c r="V22" s="234"/>
    </row>
    <row r="23" spans="8:22">
      <c r="H23" s="979">
        <v>44029</v>
      </c>
      <c r="I23" s="234">
        <v>518</v>
      </c>
      <c r="J23" s="569">
        <f t="shared" si="3"/>
        <v>-3</v>
      </c>
      <c r="K23" s="234"/>
      <c r="L23" s="967"/>
      <c r="M23" s="842">
        <f t="shared" ref="M23" si="9">S23/26*J23</f>
        <v>-1.153846153846154</v>
      </c>
      <c r="N23" s="842">
        <f t="shared" ref="N23" si="10">13/26*J23</f>
        <v>-1.5</v>
      </c>
      <c r="O23" s="842">
        <f t="shared" ref="O23" si="11">J23-N23-M23</f>
        <v>-0.34615384615384603</v>
      </c>
      <c r="P23" s="842"/>
      <c r="Q23" s="842"/>
      <c r="R23" s="981"/>
      <c r="S23" s="234">
        <f>S22-3</f>
        <v>10</v>
      </c>
      <c r="T23" s="234"/>
      <c r="U23" s="234"/>
      <c r="V23" s="234"/>
    </row>
    <row r="24" spans="8:22">
      <c r="H24" s="979">
        <v>44036</v>
      </c>
      <c r="I24" s="234">
        <v>520</v>
      </c>
      <c r="J24" s="569">
        <f t="shared" si="3"/>
        <v>2</v>
      </c>
      <c r="K24" s="234"/>
      <c r="L24" s="967"/>
      <c r="M24" s="842">
        <f t="shared" si="8"/>
        <v>0.69230769230769229</v>
      </c>
      <c r="N24" s="842">
        <f t="shared" ref="N24:N26" si="12">13/26*J24</f>
        <v>1</v>
      </c>
      <c r="O24" s="842">
        <f t="shared" ref="O24:O26" si="13">J24-N24-M24</f>
        <v>0.30769230769230771</v>
      </c>
      <c r="P24" s="842"/>
      <c r="Q24" s="842"/>
      <c r="R24" s="981"/>
      <c r="S24" s="234">
        <f>S23-1</f>
        <v>9</v>
      </c>
      <c r="T24" s="234"/>
      <c r="U24" s="234"/>
      <c r="V24" s="234"/>
    </row>
    <row r="25" spans="8:22">
      <c r="H25" s="979">
        <v>44043</v>
      </c>
      <c r="I25" s="234">
        <v>521</v>
      </c>
      <c r="J25" s="569">
        <f t="shared" si="3"/>
        <v>1</v>
      </c>
      <c r="K25" s="234"/>
      <c r="L25" s="967"/>
      <c r="M25" s="842">
        <f t="shared" si="8"/>
        <v>0.30769230769230771</v>
      </c>
      <c r="N25" s="842">
        <f t="shared" si="12"/>
        <v>0.5</v>
      </c>
      <c r="O25" s="842">
        <f t="shared" si="13"/>
        <v>0.19230769230769229</v>
      </c>
      <c r="P25" s="842"/>
      <c r="Q25" s="842"/>
      <c r="R25" s="981"/>
      <c r="S25" s="234">
        <f>S24-1</f>
        <v>8</v>
      </c>
      <c r="T25" s="234"/>
      <c r="U25" s="234"/>
      <c r="V25" s="234"/>
    </row>
    <row r="26" spans="8:22">
      <c r="H26" s="979">
        <v>44051</v>
      </c>
      <c r="I26" s="234">
        <v>525</v>
      </c>
      <c r="J26" s="569">
        <f t="shared" si="3"/>
        <v>4</v>
      </c>
      <c r="K26" s="234"/>
      <c r="L26" s="967"/>
      <c r="M26" s="842">
        <f t="shared" si="8"/>
        <v>1.0769230769230769</v>
      </c>
      <c r="N26" s="842">
        <f t="shared" si="12"/>
        <v>2</v>
      </c>
      <c r="O26" s="842">
        <f t="shared" si="13"/>
        <v>0.92307692307692313</v>
      </c>
      <c r="P26" s="842"/>
      <c r="Q26" s="842"/>
      <c r="R26" s="981"/>
      <c r="S26" s="234">
        <f>S25-1</f>
        <v>7</v>
      </c>
      <c r="T26" s="234"/>
      <c r="U26" s="234"/>
      <c r="V26" s="234"/>
    </row>
    <row r="27" spans="8:22">
      <c r="H27" s="979">
        <v>44220</v>
      </c>
      <c r="I27" s="234">
        <v>558</v>
      </c>
      <c r="J27" s="569">
        <f t="shared" si="3"/>
        <v>33</v>
      </c>
      <c r="K27" s="234"/>
      <c r="L27" s="967"/>
      <c r="M27" s="842"/>
      <c r="N27" s="842"/>
      <c r="O27" s="842">
        <f>S27/26*J27</f>
        <v>12.692307692307693</v>
      </c>
      <c r="P27" s="842">
        <f>J27/2</f>
        <v>16.5</v>
      </c>
      <c r="Q27" s="842">
        <f>J27-P27-O27</f>
        <v>3.8076923076923066</v>
      </c>
      <c r="R27" s="981"/>
      <c r="S27" s="234">
        <v>10</v>
      </c>
      <c r="T27" s="234">
        <v>10</v>
      </c>
      <c r="U27" s="234"/>
      <c r="V27" s="234"/>
    </row>
    <row r="28" spans="8:22">
      <c r="H28" s="979">
        <v>44227</v>
      </c>
      <c r="I28" s="234">
        <v>596</v>
      </c>
      <c r="J28" s="569">
        <f t="shared" si="3"/>
        <v>38</v>
      </c>
      <c r="K28" s="234"/>
      <c r="L28" s="967"/>
      <c r="M28" s="842"/>
      <c r="N28" s="842"/>
      <c r="O28" s="842">
        <f t="shared" ref="O28:O36" si="14">S28/26*J28</f>
        <v>13.153846153846153</v>
      </c>
      <c r="P28" s="842">
        <f t="shared" ref="P28:P36" si="15">J28/2</f>
        <v>19</v>
      </c>
      <c r="Q28" s="842">
        <f t="shared" ref="Q28:Q36" si="16">J28-P28-O28</f>
        <v>5.8461538461538467</v>
      </c>
      <c r="R28" s="981"/>
      <c r="S28" s="234">
        <f>S27-1</f>
        <v>9</v>
      </c>
      <c r="T28" s="234">
        <f>T27-1</f>
        <v>9</v>
      </c>
      <c r="U28" s="234"/>
      <c r="V28" s="234"/>
    </row>
    <row r="29" spans="8:22">
      <c r="H29" s="979">
        <v>44234</v>
      </c>
      <c r="I29" s="234">
        <v>623</v>
      </c>
      <c r="J29" s="569">
        <f t="shared" si="3"/>
        <v>27</v>
      </c>
      <c r="K29" s="234"/>
      <c r="L29" s="967"/>
      <c r="M29" s="842"/>
      <c r="N29" s="842"/>
      <c r="O29" s="842">
        <f t="shared" si="14"/>
        <v>8.3076923076923084</v>
      </c>
      <c r="P29" s="842">
        <f t="shared" si="15"/>
        <v>13.5</v>
      </c>
      <c r="Q29" s="842">
        <f t="shared" si="16"/>
        <v>5.1923076923076916</v>
      </c>
      <c r="R29" s="981"/>
      <c r="S29" s="234">
        <f t="shared" ref="S29:S36" si="17">S28-1</f>
        <v>8</v>
      </c>
      <c r="T29" s="234">
        <f t="shared" ref="T29:T36" si="18">T28-1</f>
        <v>8</v>
      </c>
      <c r="U29" s="234"/>
      <c r="V29" s="234"/>
    </row>
    <row r="30" spans="8:22">
      <c r="H30" s="979">
        <v>44242</v>
      </c>
      <c r="I30" s="234">
        <v>648</v>
      </c>
      <c r="J30" s="569">
        <f t="shared" si="3"/>
        <v>25</v>
      </c>
      <c r="K30" s="234"/>
      <c r="L30" s="967"/>
      <c r="M30" s="842"/>
      <c r="N30" s="842"/>
      <c r="O30" s="842">
        <f t="shared" si="14"/>
        <v>6.7307692307692308</v>
      </c>
      <c r="P30" s="842">
        <f t="shared" si="15"/>
        <v>12.5</v>
      </c>
      <c r="Q30" s="842">
        <f t="shared" si="16"/>
        <v>5.7692307692307692</v>
      </c>
      <c r="R30" s="981"/>
      <c r="S30" s="234">
        <f t="shared" si="17"/>
        <v>7</v>
      </c>
      <c r="T30" s="234">
        <f t="shared" si="18"/>
        <v>7</v>
      </c>
      <c r="U30" s="234"/>
      <c r="V30" s="234"/>
    </row>
    <row r="31" spans="8:22">
      <c r="H31" s="979">
        <v>44248</v>
      </c>
      <c r="I31" s="234">
        <v>663</v>
      </c>
      <c r="J31" s="569">
        <f t="shared" si="3"/>
        <v>15</v>
      </c>
      <c r="K31" s="234"/>
      <c r="L31" s="967"/>
      <c r="M31" s="842"/>
      <c r="N31" s="842"/>
      <c r="O31" s="842">
        <f t="shared" si="14"/>
        <v>3.4615384615384617</v>
      </c>
      <c r="P31" s="842">
        <f t="shared" si="15"/>
        <v>7.5</v>
      </c>
      <c r="Q31" s="842">
        <f t="shared" si="16"/>
        <v>4.0384615384615383</v>
      </c>
      <c r="R31" s="981"/>
      <c r="S31" s="234">
        <f t="shared" si="17"/>
        <v>6</v>
      </c>
      <c r="T31" s="234">
        <f t="shared" si="18"/>
        <v>6</v>
      </c>
      <c r="U31" s="234"/>
      <c r="V31" s="234"/>
    </row>
    <row r="32" spans="8:22">
      <c r="H32" s="979">
        <v>44255</v>
      </c>
      <c r="I32" s="234">
        <v>679</v>
      </c>
      <c r="J32" s="569">
        <f t="shared" si="3"/>
        <v>16</v>
      </c>
      <c r="K32" s="234"/>
      <c r="L32" s="967"/>
      <c r="M32" s="842"/>
      <c r="N32" s="842"/>
      <c r="O32" s="842">
        <f t="shared" si="14"/>
        <v>3.0769230769230771</v>
      </c>
      <c r="P32" s="842">
        <f t="shared" si="15"/>
        <v>8</v>
      </c>
      <c r="Q32" s="842">
        <f t="shared" si="16"/>
        <v>4.9230769230769234</v>
      </c>
      <c r="R32" s="981"/>
      <c r="S32" s="234">
        <f t="shared" si="17"/>
        <v>5</v>
      </c>
      <c r="T32" s="234">
        <f t="shared" si="18"/>
        <v>5</v>
      </c>
      <c r="U32" s="234"/>
      <c r="V32" s="234"/>
    </row>
    <row r="33" spans="8:22">
      <c r="H33" s="979">
        <v>44262</v>
      </c>
      <c r="I33" s="234">
        <v>687</v>
      </c>
      <c r="J33" s="569">
        <f t="shared" si="3"/>
        <v>8</v>
      </c>
      <c r="K33" s="234"/>
      <c r="L33" s="967"/>
      <c r="M33" s="842"/>
      <c r="N33" s="842"/>
      <c r="O33" s="842">
        <f t="shared" si="14"/>
        <v>1.2307692307692308</v>
      </c>
      <c r="P33" s="842">
        <f t="shared" si="15"/>
        <v>4</v>
      </c>
      <c r="Q33" s="842">
        <f t="shared" si="16"/>
        <v>2.7692307692307692</v>
      </c>
      <c r="R33" s="981"/>
      <c r="S33" s="234">
        <f t="shared" si="17"/>
        <v>4</v>
      </c>
      <c r="T33" s="234">
        <f t="shared" si="18"/>
        <v>4</v>
      </c>
      <c r="U33" s="234"/>
      <c r="V33" s="234"/>
    </row>
    <row r="34" spans="8:22">
      <c r="H34" s="979">
        <v>44269</v>
      </c>
      <c r="I34" s="234">
        <v>704</v>
      </c>
      <c r="J34" s="569">
        <f t="shared" si="3"/>
        <v>17</v>
      </c>
      <c r="K34" s="234"/>
      <c r="L34" s="967"/>
      <c r="M34" s="842"/>
      <c r="N34" s="842"/>
      <c r="O34" s="842">
        <f t="shared" si="14"/>
        <v>1.9615384615384617</v>
      </c>
      <c r="P34" s="842">
        <f t="shared" si="15"/>
        <v>8.5</v>
      </c>
      <c r="Q34" s="842">
        <f t="shared" si="16"/>
        <v>6.5384615384615383</v>
      </c>
      <c r="R34" s="981"/>
      <c r="S34" s="234">
        <f t="shared" si="17"/>
        <v>3</v>
      </c>
      <c r="T34" s="234">
        <f t="shared" si="18"/>
        <v>3</v>
      </c>
      <c r="U34" s="234"/>
      <c r="V34" s="234"/>
    </row>
    <row r="35" spans="8:22">
      <c r="H35" s="979">
        <v>44276</v>
      </c>
      <c r="I35" s="234">
        <v>718</v>
      </c>
      <c r="J35" s="569">
        <f t="shared" si="3"/>
        <v>14</v>
      </c>
      <c r="K35" s="234"/>
      <c r="L35" s="967"/>
      <c r="M35" s="842"/>
      <c r="N35" s="842"/>
      <c r="O35" s="842">
        <f t="shared" si="14"/>
        <v>1.0769230769230771</v>
      </c>
      <c r="P35" s="842">
        <f t="shared" si="15"/>
        <v>7</v>
      </c>
      <c r="Q35" s="842">
        <f t="shared" si="16"/>
        <v>5.9230769230769234</v>
      </c>
      <c r="R35" s="981"/>
      <c r="S35" s="234">
        <f t="shared" si="17"/>
        <v>2</v>
      </c>
      <c r="T35" s="234">
        <f t="shared" si="18"/>
        <v>2</v>
      </c>
      <c r="U35" s="234"/>
      <c r="V35" s="234"/>
    </row>
    <row r="36" spans="8:22">
      <c r="H36" s="979">
        <v>44283</v>
      </c>
      <c r="I36" s="234">
        <v>734</v>
      </c>
      <c r="J36" s="569">
        <f t="shared" si="3"/>
        <v>16</v>
      </c>
      <c r="K36" s="234"/>
      <c r="L36" s="967"/>
      <c r="M36" s="842"/>
      <c r="N36" s="842"/>
      <c r="O36" s="842">
        <f t="shared" si="14"/>
        <v>0.61538461538461542</v>
      </c>
      <c r="P36" s="842">
        <f t="shared" si="15"/>
        <v>8</v>
      </c>
      <c r="Q36" s="842">
        <f t="shared" si="16"/>
        <v>7.384615384615385</v>
      </c>
      <c r="R36" s="981"/>
      <c r="S36" s="234">
        <f t="shared" si="17"/>
        <v>1</v>
      </c>
      <c r="T36" s="234">
        <f t="shared" si="18"/>
        <v>1</v>
      </c>
      <c r="U36" s="234"/>
      <c r="V36" s="234"/>
    </row>
    <row r="37" spans="8:22">
      <c r="H37" s="979">
        <v>44290</v>
      </c>
      <c r="I37" s="234">
        <v>746</v>
      </c>
      <c r="J37" s="569">
        <f t="shared" si="3"/>
        <v>12</v>
      </c>
      <c r="K37" s="234"/>
      <c r="L37" s="967"/>
      <c r="M37" s="842"/>
      <c r="N37" s="842"/>
      <c r="O37" s="842"/>
      <c r="P37" s="842">
        <f>T37/26*J37</f>
        <v>6</v>
      </c>
      <c r="Q37" s="842">
        <f>J37/2</f>
        <v>6</v>
      </c>
      <c r="R37" s="981">
        <f>J37-Q37-P37</f>
        <v>0</v>
      </c>
      <c r="S37" s="234">
        <v>13</v>
      </c>
      <c r="T37" s="234">
        <v>13</v>
      </c>
      <c r="U37" s="234"/>
      <c r="V37" s="234"/>
    </row>
    <row r="38" spans="8:22">
      <c r="H38" s="979">
        <v>44297</v>
      </c>
      <c r="I38" s="234">
        <v>755</v>
      </c>
      <c r="J38" s="569">
        <f t="shared" si="3"/>
        <v>9</v>
      </c>
      <c r="K38" s="234"/>
      <c r="L38" s="967"/>
      <c r="M38" s="842"/>
      <c r="N38" s="842"/>
      <c r="O38" s="842"/>
      <c r="P38" s="842">
        <f t="shared" ref="P38:P45" si="19">T38/26*J38</f>
        <v>4.1538461538461542</v>
      </c>
      <c r="Q38" s="842">
        <f t="shared" ref="Q38:Q45" si="20">J38/2</f>
        <v>4.5</v>
      </c>
      <c r="R38" s="981">
        <f t="shared" ref="R38:R45" si="21">J38-Q38-P38</f>
        <v>0.34615384615384581</v>
      </c>
      <c r="S38" s="234">
        <f>S37-1</f>
        <v>12</v>
      </c>
      <c r="T38" s="234">
        <f>T37-1</f>
        <v>12</v>
      </c>
      <c r="U38" s="234"/>
      <c r="V38" s="234"/>
    </row>
    <row r="39" spans="8:22">
      <c r="H39" s="979">
        <v>44304</v>
      </c>
      <c r="I39" s="234">
        <v>762</v>
      </c>
      <c r="J39" s="569">
        <f t="shared" si="3"/>
        <v>7</v>
      </c>
      <c r="K39" s="234"/>
      <c r="L39" s="967"/>
      <c r="M39" s="842"/>
      <c r="N39" s="842"/>
      <c r="O39" s="842"/>
      <c r="P39" s="842">
        <f t="shared" si="19"/>
        <v>2.9615384615384617</v>
      </c>
      <c r="Q39" s="842">
        <f t="shared" si="20"/>
        <v>3.5</v>
      </c>
      <c r="R39" s="981">
        <f t="shared" si="21"/>
        <v>0.53846153846153832</v>
      </c>
      <c r="S39" s="234">
        <f t="shared" ref="S39:S45" si="22">S38-1</f>
        <v>11</v>
      </c>
      <c r="T39" s="234">
        <f t="shared" ref="T39:T45" si="23">T38-1</f>
        <v>11</v>
      </c>
      <c r="U39" s="234"/>
      <c r="V39" s="234"/>
    </row>
    <row r="40" spans="8:22">
      <c r="H40" s="979">
        <v>44311</v>
      </c>
      <c r="I40" s="234">
        <v>771</v>
      </c>
      <c r="J40" s="569">
        <f t="shared" si="3"/>
        <v>9</v>
      </c>
      <c r="K40" s="234"/>
      <c r="L40" s="967"/>
      <c r="M40" s="842"/>
      <c r="N40" s="842"/>
      <c r="O40" s="842"/>
      <c r="P40" s="842">
        <f t="shared" si="19"/>
        <v>3.4615384615384617</v>
      </c>
      <c r="Q40" s="842">
        <f t="shared" si="20"/>
        <v>4.5</v>
      </c>
      <c r="R40" s="981">
        <f t="shared" si="21"/>
        <v>1.0384615384615383</v>
      </c>
      <c r="S40" s="234">
        <f t="shared" si="22"/>
        <v>10</v>
      </c>
      <c r="T40" s="234">
        <f t="shared" si="23"/>
        <v>10</v>
      </c>
      <c r="U40" s="234"/>
      <c r="V40" s="234"/>
    </row>
    <row r="41" spans="8:22">
      <c r="H41" s="979">
        <v>44318</v>
      </c>
      <c r="I41" s="234">
        <v>780</v>
      </c>
      <c r="J41" s="569">
        <f t="shared" si="3"/>
        <v>9</v>
      </c>
      <c r="K41" s="234"/>
      <c r="L41" s="967"/>
      <c r="M41" s="842"/>
      <c r="N41" s="842"/>
      <c r="O41" s="842"/>
      <c r="P41" s="842">
        <f t="shared" si="19"/>
        <v>3.1153846153846154</v>
      </c>
      <c r="Q41" s="842">
        <f t="shared" si="20"/>
        <v>4.5</v>
      </c>
      <c r="R41" s="981">
        <f t="shared" si="21"/>
        <v>1.3846153846153846</v>
      </c>
      <c r="S41" s="234">
        <f t="shared" si="22"/>
        <v>9</v>
      </c>
      <c r="T41" s="234">
        <f t="shared" si="23"/>
        <v>9</v>
      </c>
      <c r="U41" s="234"/>
      <c r="V41" s="234"/>
    </row>
    <row r="42" spans="8:22">
      <c r="H42" s="979">
        <v>44325</v>
      </c>
      <c r="I42" s="234">
        <v>782</v>
      </c>
      <c r="J42" s="569">
        <f t="shared" si="3"/>
        <v>2</v>
      </c>
      <c r="K42" s="234"/>
      <c r="L42" s="967"/>
      <c r="M42" s="842"/>
      <c r="N42" s="842"/>
      <c r="O42" s="842"/>
      <c r="P42" s="842">
        <f t="shared" si="19"/>
        <v>0.61538461538461542</v>
      </c>
      <c r="Q42" s="842">
        <f t="shared" si="20"/>
        <v>1</v>
      </c>
      <c r="R42" s="981">
        <f t="shared" si="21"/>
        <v>0.38461538461538458</v>
      </c>
      <c r="S42" s="234">
        <f t="shared" si="22"/>
        <v>8</v>
      </c>
      <c r="T42" s="234">
        <f t="shared" si="23"/>
        <v>8</v>
      </c>
      <c r="U42" s="234"/>
      <c r="V42" s="234"/>
    </row>
    <row r="43" spans="8:22">
      <c r="H43" s="979">
        <v>44332</v>
      </c>
      <c r="I43" s="234">
        <v>788</v>
      </c>
      <c r="J43" s="569">
        <f t="shared" si="3"/>
        <v>6</v>
      </c>
      <c r="K43" s="234"/>
      <c r="L43" s="967"/>
      <c r="M43" s="842"/>
      <c r="N43" s="842"/>
      <c r="O43" s="842"/>
      <c r="P43" s="842">
        <f t="shared" si="19"/>
        <v>1.6153846153846154</v>
      </c>
      <c r="Q43" s="842">
        <f t="shared" si="20"/>
        <v>3</v>
      </c>
      <c r="R43" s="981">
        <f t="shared" si="21"/>
        <v>1.3846153846153846</v>
      </c>
      <c r="S43" s="234">
        <f t="shared" si="22"/>
        <v>7</v>
      </c>
      <c r="T43" s="234">
        <f t="shared" si="23"/>
        <v>7</v>
      </c>
      <c r="U43" s="234"/>
      <c r="V43" s="234"/>
    </row>
    <row r="44" spans="8:22">
      <c r="H44" s="979">
        <v>44339</v>
      </c>
      <c r="I44" s="234">
        <v>796</v>
      </c>
      <c r="J44" s="569">
        <f t="shared" si="3"/>
        <v>8</v>
      </c>
      <c r="K44" s="234"/>
      <c r="L44" s="967"/>
      <c r="M44" s="842"/>
      <c r="N44" s="842"/>
      <c r="O44" s="842"/>
      <c r="P44" s="842">
        <f t="shared" si="19"/>
        <v>1.8461538461538463</v>
      </c>
      <c r="Q44" s="842">
        <f t="shared" si="20"/>
        <v>4</v>
      </c>
      <c r="R44" s="981">
        <f t="shared" si="21"/>
        <v>2.1538461538461537</v>
      </c>
      <c r="S44" s="234">
        <f t="shared" si="22"/>
        <v>6</v>
      </c>
      <c r="T44" s="234">
        <f t="shared" si="23"/>
        <v>6</v>
      </c>
      <c r="U44" s="234"/>
      <c r="V44" s="234"/>
    </row>
    <row r="45" spans="8:22">
      <c r="H45" s="980">
        <v>44347</v>
      </c>
      <c r="I45" s="563">
        <v>800</v>
      </c>
      <c r="J45" s="570">
        <f t="shared" si="3"/>
        <v>4</v>
      </c>
      <c r="K45" s="234"/>
      <c r="L45" s="967"/>
      <c r="M45" s="842"/>
      <c r="N45" s="842"/>
      <c r="O45" s="842"/>
      <c r="P45" s="842">
        <f t="shared" si="19"/>
        <v>0.76923076923076927</v>
      </c>
      <c r="Q45" s="842">
        <f t="shared" si="20"/>
        <v>2</v>
      </c>
      <c r="R45" s="981">
        <f t="shared" si="21"/>
        <v>1.2307692307692308</v>
      </c>
      <c r="S45" s="234">
        <f t="shared" si="22"/>
        <v>5</v>
      </c>
      <c r="T45" s="234">
        <f t="shared" si="23"/>
        <v>5</v>
      </c>
      <c r="U45" s="234"/>
      <c r="V45" s="234"/>
    </row>
    <row r="46" spans="8:22">
      <c r="H46" s="234"/>
      <c r="I46" s="234"/>
      <c r="J46" s="234"/>
      <c r="K46" s="234"/>
      <c r="L46" s="967">
        <f>SUM(L11:L45)</f>
        <v>184.80769230769229</v>
      </c>
      <c r="M46" s="842">
        <f t="shared" ref="M46:R46" si="24">SUM(M11:M45)</f>
        <v>261.42307692307696</v>
      </c>
      <c r="N46" s="842">
        <f t="shared" si="24"/>
        <v>77.692307692307693</v>
      </c>
      <c r="O46" s="842">
        <f t="shared" si="24"/>
        <v>53.384615384615394</v>
      </c>
      <c r="P46" s="842">
        <f t="shared" si="24"/>
        <v>129.03846153846155</v>
      </c>
      <c r="Q46" s="842">
        <f t="shared" si="24"/>
        <v>85.192307692307693</v>
      </c>
      <c r="R46" s="981">
        <f t="shared" si="24"/>
        <v>8.4615384615384599</v>
      </c>
      <c r="S46" s="234"/>
      <c r="T46" s="234"/>
      <c r="U46" s="234"/>
      <c r="V46" s="234"/>
    </row>
    <row r="47" spans="8:22">
      <c r="H47" s="234"/>
      <c r="I47" s="234"/>
      <c r="J47" s="234"/>
      <c r="K47" s="234"/>
      <c r="L47" s="968">
        <f>L46*4</f>
        <v>739.23076923076917</v>
      </c>
      <c r="M47" s="854">
        <f t="shared" ref="M47:R47" si="25">M46*4</f>
        <v>1045.6923076923078</v>
      </c>
      <c r="N47" s="854">
        <f t="shared" si="25"/>
        <v>310.76923076923077</v>
      </c>
      <c r="O47" s="854">
        <f t="shared" si="25"/>
        <v>213.53846153846158</v>
      </c>
      <c r="P47" s="854">
        <f t="shared" si="25"/>
        <v>516.15384615384619</v>
      </c>
      <c r="Q47" s="854">
        <f t="shared" si="25"/>
        <v>340.76923076923077</v>
      </c>
      <c r="R47" s="982">
        <f t="shared" si="25"/>
        <v>33.84615384615384</v>
      </c>
      <c r="S47" s="234" t="s">
        <v>323</v>
      </c>
      <c r="T47" s="234"/>
      <c r="U47" s="234"/>
      <c r="V47" s="234"/>
    </row>
    <row r="48" spans="8:22">
      <c r="J48" s="240" t="s">
        <v>324</v>
      </c>
      <c r="L48" s="240">
        <v>634</v>
      </c>
      <c r="M48" s="717">
        <f>K55</f>
        <v>900.7</v>
      </c>
      <c r="N48" s="717">
        <f t="shared" ref="N48:P48" si="26">L55</f>
        <v>270.7</v>
      </c>
      <c r="O48" s="717">
        <f t="shared" si="26"/>
        <v>208.7</v>
      </c>
      <c r="P48" s="717">
        <f t="shared" si="26"/>
        <v>469.7</v>
      </c>
      <c r="Q48" s="717">
        <v>279</v>
      </c>
      <c r="R48" s="717"/>
    </row>
    <row r="50" spans="8:29">
      <c r="H50" s="1396" t="s">
        <v>325</v>
      </c>
      <c r="I50" s="1397"/>
      <c r="J50" s="1368" t="s">
        <v>280</v>
      </c>
      <c r="K50" s="1369"/>
      <c r="L50" s="1369"/>
      <c r="M50" s="1352"/>
      <c r="N50" s="1352"/>
      <c r="O50" s="1352"/>
      <c r="P50" s="1303"/>
      <c r="Q50" s="514"/>
      <c r="R50" s="514"/>
      <c r="S50" s="514"/>
      <c r="T50" s="514"/>
      <c r="U50" s="514"/>
      <c r="V50" s="514"/>
      <c r="W50" s="514"/>
      <c r="X50" s="514"/>
      <c r="Y50" s="514"/>
    </row>
    <row r="51" spans="8:29">
      <c r="H51" s="1398"/>
      <c r="I51" s="1399"/>
      <c r="J51" s="1311">
        <v>2020</v>
      </c>
      <c r="K51" s="1312"/>
      <c r="L51" s="1312"/>
      <c r="M51" s="1311">
        <v>2021</v>
      </c>
      <c r="N51" s="1312"/>
      <c r="O51" s="1312"/>
      <c r="P51" s="1313"/>
      <c r="Q51" s="1339"/>
      <c r="R51" s="1339"/>
      <c r="S51" s="1339"/>
      <c r="T51" s="1339"/>
      <c r="U51" s="1339"/>
      <c r="V51" s="1339"/>
      <c r="W51" s="1339"/>
      <c r="X51" s="1339"/>
    </row>
    <row r="52" spans="8:29">
      <c r="H52" s="1403"/>
      <c r="I52" s="1404"/>
      <c r="J52" s="214" t="s">
        <v>284</v>
      </c>
      <c r="K52" s="215" t="s">
        <v>238</v>
      </c>
      <c r="L52" s="215" t="s">
        <v>282</v>
      </c>
      <c r="M52" s="285" t="s">
        <v>283</v>
      </c>
      <c r="N52" s="286" t="s">
        <v>284</v>
      </c>
      <c r="O52" s="286" t="s">
        <v>238</v>
      </c>
      <c r="P52" s="284" t="s">
        <v>282</v>
      </c>
      <c r="Q52" s="234"/>
      <c r="S52" s="240"/>
      <c r="T52" s="240"/>
      <c r="U52" s="234"/>
      <c r="V52" s="240"/>
      <c r="W52" s="240"/>
      <c r="X52" s="240"/>
      <c r="Y52" s="240"/>
      <c r="Z52" s="240"/>
      <c r="AA52" s="240"/>
    </row>
    <row r="53" spans="8:29" ht="32.9" customHeight="1">
      <c r="H53" s="478" t="s">
        <v>326</v>
      </c>
      <c r="I53" s="234" t="s">
        <v>327</v>
      </c>
      <c r="J53" s="974">
        <f>'Haver Pivoted'!GU47</f>
        <v>57.2</v>
      </c>
      <c r="K53" s="449">
        <f>'Haver Pivoted'!GV47</f>
        <v>81.2</v>
      </c>
      <c r="L53" s="449">
        <f>'Haver Pivoted'!GW47</f>
        <v>24.4</v>
      </c>
      <c r="M53" s="231">
        <f>'Haver Pivoted'!GX47</f>
        <v>11.7</v>
      </c>
      <c r="N53" s="231">
        <f>'Haver Pivoted'!GY47</f>
        <v>28.5</v>
      </c>
      <c r="O53" s="364">
        <f>'Haver Pivoted'!GZ47</f>
        <v>18.8</v>
      </c>
      <c r="P53" s="364">
        <f>'Haver Pivoted'!HA47</f>
        <v>1.6</v>
      </c>
      <c r="Q53" s="231"/>
      <c r="S53" s="240"/>
      <c r="T53" s="240"/>
      <c r="U53" s="240"/>
      <c r="V53" s="240"/>
      <c r="W53" s="240"/>
      <c r="X53" s="240"/>
      <c r="Y53" s="240"/>
      <c r="Z53" s="240"/>
      <c r="AA53" s="240"/>
    </row>
    <row r="54" spans="8:29" ht="33.75" customHeight="1">
      <c r="H54" s="478" t="s">
        <v>328</v>
      </c>
      <c r="I54" s="226" t="s">
        <v>329</v>
      </c>
      <c r="J54" s="966">
        <f>'Haver Pivoted'!GU49</f>
        <v>576.9</v>
      </c>
      <c r="K54" s="231">
        <f>'Haver Pivoted'!GV49</f>
        <v>819.5</v>
      </c>
      <c r="L54" s="231">
        <f>'Haver Pivoted'!GW49</f>
        <v>246.3</v>
      </c>
      <c r="M54" s="231">
        <f>'Haver Pivoted'!GX49</f>
        <v>197</v>
      </c>
      <c r="N54" s="231">
        <f>'Haver Pivoted'!GY49</f>
        <v>441.2</v>
      </c>
      <c r="O54" s="364">
        <f>'Haver Pivoted'!GZ49</f>
        <v>276.7</v>
      </c>
      <c r="P54" s="364">
        <f>'Haver Pivoted'!HA49</f>
        <v>28.2</v>
      </c>
      <c r="Q54" s="231"/>
      <c r="R54" s="231"/>
    </row>
    <row r="55" spans="8:29">
      <c r="H55" s="548" t="s">
        <v>312</v>
      </c>
      <c r="I55" s="234"/>
      <c r="J55" s="966">
        <f>J54+J53</f>
        <v>634.1</v>
      </c>
      <c r="K55" s="231">
        <f t="shared" ref="K55:M55" si="27">K54+K53</f>
        <v>900.7</v>
      </c>
      <c r="L55" s="231">
        <f t="shared" si="27"/>
        <v>270.7</v>
      </c>
      <c r="M55" s="231">
        <f t="shared" si="27"/>
        <v>208.7</v>
      </c>
      <c r="N55" s="231">
        <f t="shared" ref="N55:P55" si="28">N54+N53</f>
        <v>469.7</v>
      </c>
      <c r="O55" s="364">
        <f t="shared" si="28"/>
        <v>295.5</v>
      </c>
      <c r="P55" s="364">
        <f t="shared" si="28"/>
        <v>29.8</v>
      </c>
      <c r="Q55" s="231"/>
      <c r="R55" s="231"/>
    </row>
    <row r="56" spans="8:29">
      <c r="H56" s="357" t="s">
        <v>330</v>
      </c>
      <c r="I56" s="563"/>
      <c r="J56" s="855">
        <f t="shared" ref="J56:P56" si="29">J53/J55</f>
        <v>9.0206592020186091E-2</v>
      </c>
      <c r="K56" s="856">
        <f t="shared" si="29"/>
        <v>9.015210391917397E-2</v>
      </c>
      <c r="L56" s="856">
        <f t="shared" si="29"/>
        <v>9.0136682674547469E-2</v>
      </c>
      <c r="M56" s="856">
        <f t="shared" si="29"/>
        <v>5.6061332055582176E-2</v>
      </c>
      <c r="N56" s="856">
        <f t="shared" si="29"/>
        <v>6.0677027890142649E-2</v>
      </c>
      <c r="O56" s="969">
        <f t="shared" si="29"/>
        <v>6.3620981387478848E-2</v>
      </c>
      <c r="P56" s="969">
        <f t="shared" si="29"/>
        <v>5.3691275167785234E-2</v>
      </c>
      <c r="Q56" s="977"/>
      <c r="R56" s="889"/>
    </row>
    <row r="58" spans="8:29">
      <c r="H58" s="240" t="s">
        <v>817</v>
      </c>
    </row>
    <row r="59" spans="8:29">
      <c r="H59" s="283"/>
      <c r="I59" s="234"/>
      <c r="J59" s="231"/>
      <c r="K59" s="231"/>
      <c r="L59" s="231"/>
      <c r="M59" s="231"/>
      <c r="N59" s="231"/>
      <c r="O59" s="231"/>
      <c r="P59" s="500"/>
      <c r="Q59" s="231"/>
      <c r="R59" s="231"/>
      <c r="S59" s="231"/>
      <c r="T59" s="240"/>
      <c r="U59" s="240"/>
      <c r="V59" s="240"/>
      <c r="W59" s="240"/>
      <c r="X59" s="240"/>
      <c r="Y59" s="240"/>
      <c r="Z59" s="240"/>
      <c r="AA59" s="240"/>
      <c r="AB59" s="240"/>
      <c r="AC59" s="240"/>
    </row>
    <row r="60" spans="8:29">
      <c r="P60" s="231"/>
      <c r="Q60" s="240"/>
      <c r="R60" s="240"/>
      <c r="S60" s="240"/>
      <c r="T60" s="240"/>
      <c r="U60" s="240"/>
      <c r="V60" s="240"/>
      <c r="W60" s="240"/>
      <c r="X60" s="240"/>
      <c r="Y60" s="240"/>
      <c r="Z60" s="240"/>
      <c r="AA60" s="240"/>
      <c r="AB60" s="240"/>
      <c r="AC60" s="240"/>
    </row>
    <row r="61" spans="8:29">
      <c r="P61" s="231"/>
      <c r="Q61" s="975"/>
      <c r="R61" s="975"/>
      <c r="S61" s="975"/>
      <c r="T61" s="975"/>
      <c r="U61" s="975"/>
      <c r="V61" s="975"/>
      <c r="W61" s="975"/>
      <c r="X61" s="975"/>
      <c r="Y61" s="975"/>
      <c r="Z61" s="975"/>
      <c r="AA61" s="975"/>
      <c r="AB61" s="975"/>
      <c r="AC61" s="240"/>
    </row>
    <row r="62" spans="8:29">
      <c r="P62" s="231"/>
      <c r="Q62" s="975"/>
      <c r="R62" s="975"/>
      <c r="S62" s="975"/>
      <c r="T62" s="975"/>
      <c r="U62" s="975"/>
      <c r="V62" s="975"/>
      <c r="W62" s="975"/>
      <c r="X62" s="975"/>
      <c r="Y62" s="975"/>
      <c r="Z62" s="975"/>
      <c r="AA62" s="975"/>
      <c r="AB62" s="975"/>
      <c r="AC62" s="240"/>
    </row>
    <row r="63" spans="8:29">
      <c r="I63" s="240" t="s">
        <v>283</v>
      </c>
      <c r="J63" s="240" t="s">
        <v>284</v>
      </c>
      <c r="K63" s="240" t="s">
        <v>238</v>
      </c>
      <c r="L63" s="240" t="s">
        <v>282</v>
      </c>
      <c r="P63" s="889"/>
      <c r="Q63" s="975"/>
      <c r="R63" s="975"/>
      <c r="S63" s="975"/>
      <c r="T63" s="975"/>
      <c r="U63" s="975"/>
      <c r="V63" s="975"/>
      <c r="W63" s="975"/>
      <c r="X63" s="975"/>
      <c r="Y63" s="975"/>
      <c r="Z63" s="975"/>
      <c r="AA63" s="975"/>
      <c r="AB63" s="975"/>
      <c r="AC63" s="240"/>
    </row>
    <row r="64" spans="8:29">
      <c r="H64" s="240" t="s">
        <v>818</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c r="H65" s="240" t="s">
        <v>470</v>
      </c>
      <c r="I65" s="717">
        <f>M53</f>
        <v>11.7</v>
      </c>
      <c r="J65" s="717">
        <f t="shared" ref="J65:K65" si="30">N53</f>
        <v>28.5</v>
      </c>
      <c r="K65" s="717">
        <f t="shared" si="30"/>
        <v>18.8</v>
      </c>
      <c r="L65" s="240" t="e">
        <f>#REF!</f>
        <v>#REF!</v>
      </c>
      <c r="P65" s="240"/>
      <c r="Q65" s="240"/>
      <c r="R65" s="240"/>
      <c r="S65" s="240"/>
      <c r="T65" s="240"/>
      <c r="U65" s="240"/>
      <c r="V65" s="240"/>
      <c r="W65" s="240"/>
      <c r="X65" s="240"/>
      <c r="Y65" s="240"/>
      <c r="Z65" s="240"/>
      <c r="AA65" s="240"/>
      <c r="AB65" s="240"/>
      <c r="AC65" s="240"/>
    </row>
    <row r="66" spans="7:29">
      <c r="H66" s="240" t="s">
        <v>819</v>
      </c>
      <c r="I66" s="717">
        <f>I67-SUM(I64:I65)</f>
        <v>115.39999999999999</v>
      </c>
      <c r="J66" s="717">
        <f t="shared" ref="J66:K66" si="31">J67-SUM(J64:J65)</f>
        <v>252.29999999999998</v>
      </c>
      <c r="K66" s="717">
        <f t="shared" si="31"/>
        <v>159.5</v>
      </c>
      <c r="L66" s="717" t="e">
        <f>1.26*L64</f>
        <v>#REF!</v>
      </c>
      <c r="P66" s="240"/>
      <c r="Q66" s="240"/>
      <c r="R66" s="240"/>
      <c r="S66" s="240"/>
      <c r="T66" s="240"/>
      <c r="U66" s="240"/>
      <c r="V66" s="240"/>
      <c r="W66" s="240"/>
      <c r="X66" s="240"/>
      <c r="Y66" s="240"/>
      <c r="Z66" s="240"/>
      <c r="AA66" s="240"/>
      <c r="AB66" s="240"/>
      <c r="AC66" s="240"/>
    </row>
    <row r="67" spans="7:29">
      <c r="H67" s="240" t="s">
        <v>312</v>
      </c>
      <c r="I67" s="717">
        <f>M55</f>
        <v>208.7</v>
      </c>
      <c r="J67" s="717">
        <f>N55</f>
        <v>469.7</v>
      </c>
      <c r="K67" s="717">
        <f>O55</f>
        <v>295.5</v>
      </c>
      <c r="L67" s="717" t="e">
        <f>SUM(L64:L66)</f>
        <v>#REF!</v>
      </c>
    </row>
    <row r="68" spans="7:29">
      <c r="G68" s="240" t="s">
        <v>820</v>
      </c>
    </row>
    <row r="69" spans="7:29">
      <c r="H69" s="240" t="s">
        <v>818</v>
      </c>
      <c r="I69" s="606">
        <f>I64/I$67</f>
        <v>0.39099185433636796</v>
      </c>
      <c r="J69" s="606">
        <f t="shared" ref="J69:L69" si="32">J64/J$67</f>
        <v>0.40217159889291038</v>
      </c>
      <c r="K69" s="606">
        <f t="shared" si="32"/>
        <v>0.3966159052453469</v>
      </c>
      <c r="L69" s="606" t="e">
        <f t="shared" si="32"/>
        <v>#REF!</v>
      </c>
    </row>
    <row r="70" spans="7:29">
      <c r="H70" s="240" t="s">
        <v>470</v>
      </c>
      <c r="I70" s="606">
        <f t="shared" ref="I70:L71" si="33">I65/I$67</f>
        <v>5.6061332055582176E-2</v>
      </c>
      <c r="J70" s="606">
        <f t="shared" si="33"/>
        <v>6.0677027890142649E-2</v>
      </c>
      <c r="K70" s="606">
        <f t="shared" si="33"/>
        <v>6.3620981387478848E-2</v>
      </c>
      <c r="L70" s="606" t="e">
        <f t="shared" si="33"/>
        <v>#REF!</v>
      </c>
    </row>
    <row r="71" spans="7:29">
      <c r="H71" s="240" t="s">
        <v>819</v>
      </c>
      <c r="I71" s="606">
        <f t="shared" si="33"/>
        <v>0.55294681360804987</v>
      </c>
      <c r="J71" s="606">
        <f t="shared" si="33"/>
        <v>0.53715137321694695</v>
      </c>
      <c r="K71" s="606">
        <f t="shared" si="33"/>
        <v>0.53976311336717431</v>
      </c>
      <c r="L71" s="606" t="e">
        <f t="shared" si="33"/>
        <v>#REF!</v>
      </c>
    </row>
    <row r="73" spans="7:29">
      <c r="H73" s="240" t="s">
        <v>821</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cols>
    <col min="2" max="2" width="38.81640625" customWidth="1"/>
    <col min="3" max="9" width="10.453125" customWidth="1"/>
    <col min="10" max="20" width="7.1796875" customWidth="1"/>
    <col min="21" max="21" width="22.1796875" customWidth="1"/>
    <col min="22" max="22" width="11.81640625" customWidth="1"/>
  </cols>
  <sheetData>
    <row r="1" spans="1:22">
      <c r="B1" s="1274" t="s">
        <v>152</v>
      </c>
      <c r="C1" s="1274"/>
      <c r="D1" s="1274"/>
      <c r="E1" s="1274"/>
      <c r="F1" s="1274"/>
      <c r="G1" s="1274"/>
      <c r="H1" s="1274"/>
      <c r="I1" s="1274"/>
      <c r="J1" s="1274"/>
      <c r="K1" s="1274"/>
      <c r="L1" s="1274"/>
      <c r="M1" s="1274"/>
      <c r="N1" s="1274"/>
      <c r="O1" s="1274"/>
      <c r="P1" s="1274"/>
      <c r="Q1" s="1274"/>
      <c r="R1" s="1274"/>
      <c r="S1" s="1274"/>
      <c r="T1" s="1274"/>
    </row>
    <row r="2" spans="1:22">
      <c r="B2" s="1421" t="s">
        <v>857</v>
      </c>
      <c r="C2" s="1421"/>
      <c r="D2" s="1421"/>
      <c r="E2" s="1421"/>
      <c r="F2" s="1421"/>
      <c r="G2" s="1421"/>
      <c r="H2" s="1421"/>
      <c r="I2" s="1421"/>
      <c r="J2" s="1421"/>
      <c r="K2" s="1421"/>
      <c r="L2" s="1421"/>
      <c r="M2" s="1421"/>
      <c r="N2" s="1421"/>
      <c r="O2" s="1421"/>
      <c r="P2" s="1421"/>
      <c r="Q2" s="1421"/>
      <c r="R2" s="1421"/>
      <c r="S2" s="1421"/>
      <c r="T2" s="1421"/>
    </row>
    <row r="3" spans="1:22">
      <c r="B3" s="1421"/>
      <c r="C3" s="1421"/>
      <c r="D3" s="1421"/>
      <c r="E3" s="1421"/>
      <c r="F3" s="1421"/>
      <c r="G3" s="1421"/>
      <c r="H3" s="1421"/>
      <c r="I3" s="1421"/>
      <c r="J3" s="1421"/>
      <c r="K3" s="1421"/>
      <c r="L3" s="1421"/>
      <c r="M3" s="1421"/>
      <c r="N3" s="1421"/>
      <c r="O3" s="1421"/>
      <c r="P3" s="1421"/>
      <c r="Q3" s="1421"/>
      <c r="R3" s="1421"/>
      <c r="S3" s="1421"/>
      <c r="T3" s="1421"/>
    </row>
    <row r="4" spans="1:22">
      <c r="B4" s="1421"/>
      <c r="C4" s="1421"/>
      <c r="D4" s="1421"/>
      <c r="E4" s="1421"/>
      <c r="F4" s="1421"/>
      <c r="G4" s="1421"/>
      <c r="H4" s="1421"/>
      <c r="I4" s="1421"/>
      <c r="J4" s="1421"/>
      <c r="K4" s="1421"/>
      <c r="L4" s="1421"/>
      <c r="M4" s="1421"/>
      <c r="N4" s="1421"/>
      <c r="O4" s="1421"/>
      <c r="P4" s="1421"/>
      <c r="Q4" s="1421"/>
      <c r="R4" s="1421"/>
      <c r="S4" s="1421"/>
      <c r="T4" s="1421"/>
    </row>
    <row r="5" spans="1:22">
      <c r="B5" s="1421"/>
      <c r="C5" s="1421"/>
      <c r="D5" s="1421"/>
      <c r="E5" s="1421"/>
      <c r="F5" s="1421"/>
      <c r="G5" s="1421"/>
      <c r="H5" s="1421"/>
      <c r="I5" s="1421"/>
      <c r="J5" s="1421"/>
      <c r="K5" s="1421"/>
      <c r="L5" s="1421"/>
      <c r="M5" s="1421"/>
      <c r="N5" s="1421"/>
      <c r="O5" s="1421"/>
      <c r="P5" s="1421"/>
      <c r="Q5" s="1421"/>
      <c r="R5" s="1421"/>
      <c r="S5" s="1421"/>
      <c r="T5" s="1421"/>
    </row>
    <row r="6" spans="1:22">
      <c r="B6" s="1421"/>
      <c r="C6" s="1421"/>
      <c r="D6" s="1421"/>
      <c r="E6" s="1421"/>
      <c r="F6" s="1421"/>
      <c r="G6" s="1421"/>
      <c r="H6" s="1421"/>
      <c r="I6" s="1421"/>
      <c r="J6" s="1421"/>
      <c r="K6" s="1421"/>
      <c r="L6" s="1421"/>
      <c r="M6" s="1421"/>
      <c r="N6" s="1421"/>
      <c r="O6" s="1421"/>
      <c r="P6" s="1421"/>
      <c r="Q6" s="1421"/>
      <c r="R6" s="1421"/>
      <c r="S6" s="1421"/>
      <c r="T6" s="1421"/>
    </row>
    <row r="7" spans="1:22">
      <c r="J7" s="201"/>
      <c r="K7" s="201"/>
      <c r="M7" s="201"/>
    </row>
    <row r="9" spans="1:22" ht="14.9" customHeight="1">
      <c r="A9" s="632"/>
      <c r="B9" s="1422" t="s">
        <v>304</v>
      </c>
      <c r="C9" s="1423"/>
      <c r="D9" s="991">
        <v>2018</v>
      </c>
      <c r="E9" s="1428">
        <v>2019</v>
      </c>
      <c r="F9" s="1429"/>
      <c r="G9" s="1429"/>
      <c r="H9" s="1430"/>
      <c r="I9" s="1426">
        <v>2020</v>
      </c>
      <c r="J9" s="1427"/>
      <c r="K9" s="1427"/>
      <c r="L9" s="1427"/>
      <c r="M9" s="1431">
        <v>2021</v>
      </c>
      <c r="N9" s="1432"/>
      <c r="O9" s="1432"/>
      <c r="P9" s="1433"/>
      <c r="Q9" s="1426">
        <v>2022</v>
      </c>
      <c r="R9" s="1434"/>
      <c r="S9" s="1434"/>
      <c r="T9" s="1435"/>
    </row>
    <row r="10" spans="1:22">
      <c r="B10" s="1424"/>
      <c r="C10" s="1425"/>
      <c r="D10" s="995" t="s">
        <v>282</v>
      </c>
      <c r="E10" s="996" t="s">
        <v>283</v>
      </c>
      <c r="F10" s="662" t="s">
        <v>284</v>
      </c>
      <c r="G10" s="662" t="s">
        <v>238</v>
      </c>
      <c r="H10" s="997" t="s">
        <v>282</v>
      </c>
      <c r="I10" s="996" t="s">
        <v>283</v>
      </c>
      <c r="J10" s="662" t="s">
        <v>284</v>
      </c>
      <c r="K10" s="662" t="s">
        <v>238</v>
      </c>
      <c r="L10" s="662" t="s">
        <v>282</v>
      </c>
      <c r="M10" s="214" t="s">
        <v>283</v>
      </c>
      <c r="N10" s="215" t="s">
        <v>284</v>
      </c>
      <c r="O10" s="215" t="s">
        <v>238</v>
      </c>
      <c r="P10" s="216" t="s">
        <v>282</v>
      </c>
      <c r="Q10" s="662" t="s">
        <v>283</v>
      </c>
      <c r="R10" s="662" t="s">
        <v>284</v>
      </c>
      <c r="S10" s="662" t="s">
        <v>238</v>
      </c>
      <c r="T10" s="997" t="s">
        <v>282</v>
      </c>
    </row>
    <row r="11" spans="1:22" ht="29.15" customHeight="1">
      <c r="A11" s="989"/>
      <c r="B11" s="999" t="s">
        <v>139</v>
      </c>
      <c r="C11" s="994" t="s">
        <v>305</v>
      </c>
      <c r="D11" s="1008"/>
      <c r="E11" s="1009"/>
      <c r="F11" s="1009"/>
      <c r="G11" s="1009"/>
      <c r="H11" s="1009"/>
      <c r="I11" s="1009"/>
      <c r="J11" s="1001">
        <f>'Haver Pivoted'!GU48</f>
        <v>160.9</v>
      </c>
      <c r="K11" s="1001">
        <f>'Haver Pivoted'!GV48</f>
        <v>58.4</v>
      </c>
      <c r="L11" s="1001">
        <f>'Haver Pivoted'!GW48</f>
        <v>34.5</v>
      </c>
      <c r="M11" s="1001">
        <f>'Haver Pivoted'!GX48</f>
        <v>21.4</v>
      </c>
      <c r="N11" s="1001">
        <f>'Haver Pivoted'!GY48</f>
        <v>13.3</v>
      </c>
      <c r="O11" s="1001">
        <f>'Haver Pivoted'!GZ48</f>
        <v>18.7</v>
      </c>
      <c r="P11" s="1001">
        <f>'Haver Pivoted'!HA48</f>
        <v>32.200000000000003</v>
      </c>
      <c r="Q11" s="1001">
        <f>'Haver Pivoted'!HB48</f>
        <v>26.9</v>
      </c>
      <c r="R11" s="1001">
        <f>'Haver Pivoted'!HC48</f>
        <v>20</v>
      </c>
      <c r="S11" s="1007">
        <f>'Haver Pivoted'!HD48</f>
        <v>8.1</v>
      </c>
      <c r="T11" s="1002">
        <f>'Haver Pivoted'!HE48</f>
        <v>4.9000000000000004</v>
      </c>
    </row>
    <row r="12" spans="1:22" ht="29.15" customHeight="1">
      <c r="A12" s="989"/>
      <c r="B12" s="987" t="s">
        <v>306</v>
      </c>
      <c r="C12" s="132" t="s">
        <v>307</v>
      </c>
      <c r="D12" s="987"/>
      <c r="E12" s="132"/>
      <c r="F12" s="132"/>
      <c r="G12" s="132"/>
      <c r="H12" s="132"/>
      <c r="I12" s="132"/>
      <c r="J12" s="1003">
        <f>'Haver Pivoted'!GU58</f>
        <v>64.400000000000006</v>
      </c>
      <c r="K12" s="1003">
        <f>'Haver Pivoted'!GV58</f>
        <v>23.4</v>
      </c>
      <c r="L12" s="1003">
        <f>'Haver Pivoted'!GW58</f>
        <v>13.8</v>
      </c>
      <c r="M12" s="1003">
        <f>'Haver Pivoted'!GX58</f>
        <v>12</v>
      </c>
      <c r="N12" s="1003">
        <f>'Haver Pivoted'!GY58</f>
        <v>7.5</v>
      </c>
      <c r="O12" s="1003">
        <f>'Haver Pivoted'!GZ58</f>
        <v>10.5</v>
      </c>
      <c r="P12" s="1003">
        <f>'Haver Pivoted'!HA58</f>
        <v>18</v>
      </c>
      <c r="Q12" s="1003">
        <f>'Haver Pivoted'!HB58</f>
        <v>15</v>
      </c>
      <c r="R12" s="1003">
        <f>'Haver Pivoted'!HC58</f>
        <v>11.2</v>
      </c>
      <c r="S12" s="1006">
        <f>'Haver Pivoted'!HD58</f>
        <v>7.5</v>
      </c>
      <c r="T12" s="985">
        <f>'Haver Pivoted'!HE58</f>
        <v>6.2</v>
      </c>
    </row>
    <row r="13" spans="1:22" ht="47.15" customHeight="1">
      <c r="A13" s="989"/>
      <c r="B13" s="987" t="s">
        <v>308</v>
      </c>
      <c r="C13" s="132" t="s">
        <v>309</v>
      </c>
      <c r="D13" s="987"/>
      <c r="E13" s="132"/>
      <c r="F13" s="132"/>
      <c r="G13" s="132"/>
      <c r="H13" s="132"/>
      <c r="I13" s="132"/>
      <c r="J13" s="1003">
        <f>'Haver Pivoted'!GU54</f>
        <v>96.6</v>
      </c>
      <c r="K13" s="1003">
        <f>'Haver Pivoted'!GV54</f>
        <v>35.1</v>
      </c>
      <c r="L13" s="1003">
        <f>'Haver Pivoted'!GW54</f>
        <v>20.7</v>
      </c>
      <c r="M13" s="1003">
        <f>'Haver Pivoted'!GX54</f>
        <v>15.4</v>
      </c>
      <c r="N13" s="1003">
        <f>'Haver Pivoted'!GY54</f>
        <v>9.6</v>
      </c>
      <c r="O13" s="1003">
        <f>'Haver Pivoted'!GZ54</f>
        <v>13.5</v>
      </c>
      <c r="P13" s="1003">
        <f>'Haver Pivoted'!HA54</f>
        <v>23.2</v>
      </c>
      <c r="Q13" s="1003">
        <f>'Haver Pivoted'!HB54</f>
        <v>19.3</v>
      </c>
      <c r="R13" s="1003">
        <f>'Haver Pivoted'!HC54</f>
        <v>14.4</v>
      </c>
      <c r="S13" s="1006">
        <f>'Haver Pivoted'!HD54</f>
        <v>5.9</v>
      </c>
      <c r="T13" s="985">
        <f>'Haver Pivoted'!HE54</f>
        <v>3.6</v>
      </c>
      <c r="U13" s="1004" t="s">
        <v>310</v>
      </c>
      <c r="V13" s="992" t="s">
        <v>311</v>
      </c>
    </row>
    <row r="14" spans="1:22">
      <c r="B14" s="40" t="s">
        <v>312</v>
      </c>
      <c r="C14" s="42"/>
      <c r="D14" s="40"/>
      <c r="E14" s="42"/>
      <c r="F14" s="42"/>
      <c r="G14" s="42"/>
      <c r="H14" s="42"/>
      <c r="I14" s="42"/>
      <c r="J14" s="1003">
        <f t="shared" ref="J14:T14" si="0">J13+J12+J11</f>
        <v>321.89999999999998</v>
      </c>
      <c r="K14" s="1003">
        <f t="shared" si="0"/>
        <v>116.9</v>
      </c>
      <c r="L14" s="1003">
        <f t="shared" si="0"/>
        <v>69</v>
      </c>
      <c r="M14" s="1003">
        <f t="shared" si="0"/>
        <v>48.8</v>
      </c>
      <c r="N14" s="1003">
        <f t="shared" si="0"/>
        <v>30.400000000000002</v>
      </c>
      <c r="O14" s="1003">
        <f t="shared" si="0"/>
        <v>42.7</v>
      </c>
      <c r="P14" s="1003">
        <f t="shared" si="0"/>
        <v>73.400000000000006</v>
      </c>
      <c r="Q14" s="1003">
        <f t="shared" si="0"/>
        <v>61.199999999999996</v>
      </c>
      <c r="R14" s="1003">
        <f t="shared" si="0"/>
        <v>45.6</v>
      </c>
      <c r="S14" s="1006">
        <f t="shared" si="0"/>
        <v>21.5</v>
      </c>
      <c r="T14" s="985">
        <f t="shared" si="0"/>
        <v>14.700000000000001</v>
      </c>
      <c r="U14" s="1005">
        <v>236</v>
      </c>
      <c r="V14" s="998">
        <f>SUM(J14:S14)/4</f>
        <v>207.85</v>
      </c>
    </row>
    <row r="15" spans="1:22">
      <c r="B15" s="988" t="s">
        <v>313</v>
      </c>
      <c r="C15" s="44"/>
      <c r="D15" s="988"/>
      <c r="E15" s="44"/>
      <c r="F15" s="44"/>
      <c r="G15" s="44"/>
      <c r="H15" s="44"/>
      <c r="I15" s="44"/>
      <c r="J15" s="632">
        <f t="shared" ref="J15:N17" si="1">J11/J$14</f>
        <v>0.49984467225846541</v>
      </c>
      <c r="K15" s="632">
        <f t="shared" si="1"/>
        <v>0.49957228400342168</v>
      </c>
      <c r="L15" s="632">
        <f t="shared" si="1"/>
        <v>0.5</v>
      </c>
      <c r="M15" s="632">
        <f t="shared" si="1"/>
        <v>0.43852459016393441</v>
      </c>
      <c r="N15" s="632">
        <f t="shared" si="1"/>
        <v>0.4375</v>
      </c>
      <c r="O15" s="632">
        <f>O11/O$14</f>
        <v>0.43793911007025754</v>
      </c>
      <c r="P15" s="632">
        <f t="shared" ref="P15:T15" si="2">P11/P$14</f>
        <v>0.43869209809264303</v>
      </c>
      <c r="Q15" s="632">
        <f t="shared" si="2"/>
        <v>0.43954248366013071</v>
      </c>
      <c r="R15" s="632">
        <f t="shared" si="2"/>
        <v>0.43859649122807015</v>
      </c>
      <c r="S15" s="662">
        <f t="shared" si="2"/>
        <v>0.37674418604651161</v>
      </c>
      <c r="T15" s="997">
        <f t="shared" si="2"/>
        <v>0.33333333333333331</v>
      </c>
    </row>
    <row r="16" spans="1:22">
      <c r="B16" s="988" t="s">
        <v>314</v>
      </c>
      <c r="C16" s="44"/>
      <c r="D16" s="988"/>
      <c r="E16" s="44"/>
      <c r="F16" s="44"/>
      <c r="G16" s="44"/>
      <c r="H16" s="44"/>
      <c r="I16" s="44"/>
      <c r="J16" s="632">
        <f t="shared" si="1"/>
        <v>0.20006213109661389</v>
      </c>
      <c r="K16" s="632">
        <f t="shared" si="1"/>
        <v>0.20017108639863129</v>
      </c>
      <c r="L16" s="632">
        <f t="shared" si="1"/>
        <v>0.2</v>
      </c>
      <c r="M16" s="632">
        <f t="shared" si="1"/>
        <v>0.24590163934426232</v>
      </c>
      <c r="N16" s="632">
        <f t="shared" si="1"/>
        <v>0.24671052631578946</v>
      </c>
      <c r="O16" s="632">
        <f t="shared" ref="O16:T16" si="3">O12/O$14</f>
        <v>0.24590163934426229</v>
      </c>
      <c r="P16" s="632">
        <f t="shared" si="3"/>
        <v>0.24523160762942778</v>
      </c>
      <c r="Q16" s="632">
        <f t="shared" si="3"/>
        <v>0.24509803921568629</v>
      </c>
      <c r="R16" s="632">
        <f t="shared" si="3"/>
        <v>0.24561403508771928</v>
      </c>
      <c r="S16" s="662">
        <f t="shared" si="3"/>
        <v>0.34883720930232559</v>
      </c>
      <c r="T16" s="997">
        <f t="shared" si="3"/>
        <v>0.42176870748299317</v>
      </c>
      <c r="U16" s="94"/>
    </row>
    <row r="17" spans="2:21">
      <c r="B17" s="990" t="s">
        <v>315</v>
      </c>
      <c r="C17" s="993"/>
      <c r="D17" s="990"/>
      <c r="E17" s="993"/>
      <c r="F17" s="993"/>
      <c r="G17" s="993"/>
      <c r="H17" s="993"/>
      <c r="I17" s="993"/>
      <c r="J17" s="652">
        <f t="shared" si="1"/>
        <v>0.30009319664492079</v>
      </c>
      <c r="K17" s="652">
        <f t="shared" si="1"/>
        <v>0.30025662959794697</v>
      </c>
      <c r="L17" s="652">
        <f t="shared" si="1"/>
        <v>0.3</v>
      </c>
      <c r="M17" s="652">
        <f t="shared" si="1"/>
        <v>0.3155737704918033</v>
      </c>
      <c r="N17" s="652">
        <f t="shared" si="1"/>
        <v>0.31578947368421051</v>
      </c>
      <c r="O17" s="652">
        <f t="shared" ref="O17:T17" si="4">O13/O$14</f>
        <v>0.31615925058548006</v>
      </c>
      <c r="P17" s="652">
        <f t="shared" si="4"/>
        <v>0.3160762942779291</v>
      </c>
      <c r="Q17" s="652">
        <f t="shared" si="4"/>
        <v>0.31535947712418305</v>
      </c>
      <c r="R17" s="652">
        <f t="shared" si="4"/>
        <v>0.31578947368421051</v>
      </c>
      <c r="S17" s="1000">
        <f t="shared" si="4"/>
        <v>0.2744186046511628</v>
      </c>
      <c r="T17" s="986">
        <f t="shared" si="4"/>
        <v>0.24489795918367346</v>
      </c>
    </row>
    <row r="18" spans="2:21">
      <c r="B18" s="44"/>
      <c r="C18" s="44"/>
      <c r="D18" s="44"/>
      <c r="E18" s="44"/>
      <c r="F18" s="44"/>
      <c r="G18" s="44"/>
      <c r="H18" s="44"/>
      <c r="I18" s="44"/>
      <c r="J18" s="632"/>
      <c r="K18" s="632"/>
      <c r="L18" s="632"/>
      <c r="M18" s="632"/>
      <c r="N18" s="632"/>
      <c r="O18" s="632"/>
    </row>
    <row r="19" spans="2:21" ht="15.75" customHeight="1"/>
    <row r="21" spans="2:21" ht="30" customHeight="1"/>
    <row r="22" spans="2:21" ht="27" customHeight="1">
      <c r="M22" s="56"/>
      <c r="N22" s="56"/>
      <c r="O22" s="56"/>
      <c r="P22" s="14"/>
      <c r="Q22" s="14"/>
      <c r="R22" s="14"/>
      <c r="S22" s="14"/>
      <c r="T22" s="14"/>
      <c r="U22" s="56"/>
    </row>
    <row r="23" spans="2:21" ht="31.5" customHeight="1">
      <c r="M23" s="56"/>
      <c r="N23" s="56"/>
      <c r="O23" s="56"/>
      <c r="P23" s="14"/>
      <c r="Q23" s="14"/>
      <c r="R23" s="14"/>
      <c r="S23" s="14"/>
      <c r="T23" s="14"/>
      <c r="U23" s="56"/>
    </row>
    <row r="24" spans="2:21" ht="24.65" customHeight="1">
      <c r="M24" s="56"/>
      <c r="N24" s="56"/>
      <c r="O24" s="56"/>
      <c r="P24" s="14"/>
      <c r="Q24" s="14"/>
      <c r="R24" s="14"/>
      <c r="S24" s="14"/>
      <c r="T24" s="14"/>
      <c r="U24" s="56"/>
    </row>
    <row r="25" spans="2:21">
      <c r="M25" s="56"/>
      <c r="N25" s="56"/>
      <c r="O25" s="56"/>
      <c r="P25" s="56"/>
      <c r="Q25" s="56"/>
      <c r="R25" s="56"/>
      <c r="S25" s="56"/>
      <c r="T25" s="56"/>
      <c r="U25" s="56"/>
    </row>
    <row r="26" spans="2:21">
      <c r="M26" s="56"/>
      <c r="N26" s="56"/>
      <c r="O26" s="56"/>
      <c r="P26" s="56"/>
      <c r="Q26" s="56"/>
      <c r="R26" s="56"/>
      <c r="S26" s="56"/>
      <c r="T26" s="56"/>
      <c r="U26" s="56"/>
    </row>
    <row r="27" spans="2:21">
      <c r="M27" s="56"/>
      <c r="N27" s="56"/>
      <c r="O27" s="56"/>
      <c r="P27" s="56"/>
      <c r="Q27" s="56"/>
      <c r="R27" s="56"/>
      <c r="S27" s="56"/>
      <c r="T27" s="56"/>
      <c r="U27" s="56"/>
    </row>
    <row r="28" spans="2:21">
      <c r="M28" s="56"/>
      <c r="N28" s="56"/>
      <c r="O28" s="56"/>
      <c r="P28" s="56"/>
      <c r="Q28" s="56"/>
      <c r="R28" s="56"/>
      <c r="S28" s="56"/>
      <c r="T28" s="56"/>
      <c r="U28" s="56"/>
    </row>
    <row r="29" spans="2:21">
      <c r="M29" s="56"/>
      <c r="N29" s="56"/>
      <c r="O29" s="56"/>
      <c r="P29" s="56"/>
      <c r="Q29" s="56"/>
      <c r="R29" s="56"/>
      <c r="S29" s="56"/>
      <c r="T29" s="56"/>
      <c r="U29" s="56"/>
    </row>
    <row r="30" spans="2:21">
      <c r="M30" s="56"/>
      <c r="N30" s="56"/>
      <c r="O30" s="56"/>
      <c r="P30" s="56"/>
      <c r="Q30" s="56"/>
      <c r="R30" s="56"/>
      <c r="S30" s="56"/>
      <c r="T30" s="56"/>
      <c r="U30" s="56"/>
    </row>
    <row r="31" spans="2:21">
      <c r="M31" s="56"/>
      <c r="N31" s="56"/>
      <c r="O31" s="56"/>
      <c r="P31" s="56"/>
      <c r="Q31" s="56"/>
      <c r="R31" s="56"/>
      <c r="S31" s="56"/>
      <c r="T31" s="56"/>
      <c r="U31" s="56"/>
    </row>
    <row r="32" spans="2:21">
      <c r="M32" s="56"/>
      <c r="N32" s="56"/>
      <c r="O32" s="56"/>
      <c r="P32" s="56"/>
      <c r="Q32" s="56"/>
      <c r="R32" s="56"/>
      <c r="S32" s="56"/>
      <c r="T32" s="56"/>
      <c r="U32" s="56"/>
    </row>
    <row r="33" spans="13:21">
      <c r="M33" s="56"/>
      <c r="N33" s="56"/>
      <c r="O33" s="56"/>
      <c r="P33" s="56"/>
      <c r="Q33" s="56"/>
      <c r="R33" s="56"/>
      <c r="S33" s="56"/>
      <c r="T33" s="56"/>
      <c r="U33" s="56"/>
    </row>
    <row r="34" spans="13:21">
      <c r="M34" s="56"/>
      <c r="N34" s="56"/>
      <c r="O34" s="56"/>
      <c r="P34" s="56"/>
      <c r="Q34" s="56"/>
      <c r="R34" s="56"/>
      <c r="S34" s="56"/>
      <c r="T34" s="56"/>
      <c r="U34" s="56"/>
    </row>
    <row r="35" spans="13:21">
      <c r="M35" s="56"/>
      <c r="N35" s="56"/>
      <c r="O35" s="56"/>
      <c r="P35" s="56"/>
      <c r="Q35" s="56"/>
      <c r="R35" s="56"/>
      <c r="S35" s="56"/>
      <c r="T35" s="56"/>
      <c r="U35" s="56"/>
    </row>
    <row r="36" spans="13:21">
      <c r="M36" s="56"/>
      <c r="N36" s="56"/>
      <c r="O36" s="56"/>
      <c r="P36" s="56"/>
      <c r="Q36" s="56"/>
      <c r="R36" s="56"/>
      <c r="S36" s="56"/>
      <c r="T36" s="56"/>
      <c r="U36" s="56"/>
    </row>
    <row r="37" spans="13:21">
      <c r="M37" s="56"/>
      <c r="N37" s="56"/>
      <c r="O37" s="56"/>
      <c r="P37" s="56"/>
      <c r="Q37" s="56"/>
      <c r="R37" s="56"/>
      <c r="S37" s="56"/>
      <c r="T37" s="56"/>
      <c r="U37" s="56"/>
    </row>
    <row r="38" spans="13:21">
      <c r="M38" s="56"/>
      <c r="N38" s="56"/>
      <c r="O38" s="56"/>
      <c r="P38" s="56"/>
      <c r="Q38" s="56"/>
      <c r="R38" s="56"/>
      <c r="S38" s="56"/>
      <c r="T38" s="56"/>
      <c r="U38" s="56"/>
    </row>
    <row r="39" spans="13:21">
      <c r="M39" s="56"/>
      <c r="N39" s="56"/>
      <c r="O39" s="56"/>
      <c r="P39" s="56"/>
      <c r="Q39" s="56"/>
      <c r="R39" s="56"/>
      <c r="S39" s="56"/>
      <c r="T39" s="56"/>
      <c r="U39" s="56"/>
    </row>
    <row r="40" spans="13:21">
      <c r="M40" s="56"/>
      <c r="N40" s="56"/>
      <c r="O40" s="56"/>
      <c r="P40" s="56"/>
      <c r="Q40" s="56"/>
      <c r="R40" s="56"/>
      <c r="S40" s="56"/>
      <c r="T40" s="56"/>
      <c r="U40" s="56"/>
    </row>
    <row r="41" spans="13:21">
      <c r="M41" s="56"/>
      <c r="N41" s="56"/>
      <c r="O41" s="56"/>
      <c r="P41" s="56"/>
      <c r="Q41" s="56"/>
      <c r="R41" s="56"/>
      <c r="S41" s="56"/>
      <c r="T41" s="56"/>
      <c r="U41" s="56"/>
    </row>
    <row r="42" spans="13:21">
      <c r="M42" s="56"/>
      <c r="N42" s="56"/>
      <c r="O42" s="56"/>
      <c r="P42" s="56"/>
      <c r="Q42" s="56"/>
      <c r="R42" s="56"/>
      <c r="S42" s="56"/>
      <c r="T42" s="56"/>
      <c r="U42" s="56"/>
    </row>
    <row r="43" spans="13:21">
      <c r="M43" s="56"/>
      <c r="N43" s="56"/>
      <c r="O43" s="56"/>
      <c r="P43" s="56"/>
      <c r="Q43" s="56"/>
      <c r="R43" s="56"/>
      <c r="S43" s="56"/>
      <c r="T43" s="56"/>
      <c r="U43" s="56"/>
    </row>
    <row r="44" spans="13:21">
      <c r="M44" s="56"/>
      <c r="N44" s="56"/>
      <c r="O44" s="56"/>
      <c r="P44" s="56"/>
      <c r="Q44" s="56"/>
      <c r="R44" s="56"/>
      <c r="S44" s="56"/>
      <c r="T44" s="56"/>
      <c r="U44" s="56"/>
    </row>
    <row r="45" spans="13:21">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81640625" defaultRowHeight="14.5"/>
  <cols>
    <col min="1" max="1" width="6" customWidth="1"/>
    <col min="2" max="2" width="29.453125" customWidth="1"/>
    <col min="3" max="7" width="10.453125" customWidth="1"/>
  </cols>
  <sheetData>
    <row r="1" spans="1:29">
      <c r="B1" s="1297" t="s">
        <v>56</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1:29" ht="14.9" customHeight="1">
      <c r="B2" s="1298" t="s">
        <v>459</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row>
    <row r="3" spans="1:29">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row>
    <row r="4" spans="1:29">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row>
    <row r="5" spans="1:29">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1:29">
      <c r="B6" s="1302" t="s">
        <v>404</v>
      </c>
      <c r="C6" s="1303"/>
      <c r="D6" s="1322" t="s">
        <v>280</v>
      </c>
      <c r="E6" s="1323"/>
      <c r="F6" s="1323"/>
      <c r="G6" s="1323"/>
      <c r="H6" s="1323"/>
      <c r="I6" s="1323"/>
      <c r="J6" s="1323"/>
      <c r="K6" s="1323"/>
      <c r="L6" s="1323"/>
      <c r="M6" s="1323"/>
      <c r="N6" s="1323"/>
      <c r="O6" s="1323"/>
      <c r="P6" s="1323"/>
      <c r="Q6" s="1370"/>
      <c r="R6" s="1370"/>
      <c r="S6" s="1370"/>
      <c r="T6" s="1303"/>
      <c r="U6" s="1326" t="s">
        <v>281</v>
      </c>
      <c r="V6" s="1326"/>
      <c r="W6" s="1326"/>
      <c r="X6" s="1326"/>
      <c r="Y6" s="1326"/>
      <c r="Z6" s="1326"/>
      <c r="AA6" s="1326"/>
      <c r="AB6" s="1326"/>
      <c r="AC6" s="1327"/>
    </row>
    <row r="7" spans="1:29">
      <c r="B7" s="1304"/>
      <c r="C7" s="1305"/>
      <c r="D7" s="219">
        <v>2018</v>
      </c>
      <c r="E7" s="1311">
        <v>2019</v>
      </c>
      <c r="F7" s="1312"/>
      <c r="G7" s="1312"/>
      <c r="H7" s="1313"/>
      <c r="I7" s="1311">
        <v>2020</v>
      </c>
      <c r="J7" s="1312"/>
      <c r="K7" s="1312"/>
      <c r="L7" s="1312"/>
      <c r="M7" s="1311">
        <v>2021</v>
      </c>
      <c r="N7" s="1312"/>
      <c r="O7" s="1312"/>
      <c r="P7" s="1312"/>
      <c r="Q7" s="1311">
        <v>2022</v>
      </c>
      <c r="R7" s="1333"/>
      <c r="S7" s="1333"/>
      <c r="T7" s="1313"/>
      <c r="U7" s="1309">
        <v>2023</v>
      </c>
      <c r="V7" s="1321"/>
      <c r="W7" s="1321"/>
      <c r="X7" s="1321"/>
      <c r="Y7" s="1308">
        <v>2024</v>
      </c>
      <c r="Z7" s="1321"/>
      <c r="AA7" s="1321"/>
      <c r="AB7" s="1310"/>
      <c r="AC7" s="251">
        <v>2025</v>
      </c>
    </row>
    <row r="8" spans="1:29">
      <c r="B8" s="1306"/>
      <c r="C8" s="130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6" t="s">
        <v>282</v>
      </c>
      <c r="U8" s="326" t="s">
        <v>283</v>
      </c>
      <c r="V8" s="326" t="s">
        <v>284</v>
      </c>
      <c r="W8" s="326" t="s">
        <v>238</v>
      </c>
      <c r="X8" s="326" t="s">
        <v>282</v>
      </c>
      <c r="Y8" s="433" t="s">
        <v>283</v>
      </c>
      <c r="Z8" s="333" t="s">
        <v>284</v>
      </c>
      <c r="AA8" s="326" t="s">
        <v>238</v>
      </c>
      <c r="AB8" s="432" t="s">
        <v>282</v>
      </c>
      <c r="AC8" s="911" t="s">
        <v>283</v>
      </c>
    </row>
    <row r="9" spans="1:29">
      <c r="B9" s="562" t="s">
        <v>56</v>
      </c>
      <c r="C9" s="441" t="s">
        <v>460</v>
      </c>
      <c r="D9" s="562"/>
      <c r="E9" s="713"/>
      <c r="F9" s="713"/>
      <c r="G9" s="713"/>
      <c r="H9" s="713"/>
      <c r="I9" s="713"/>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2">
        <f>'Haver Pivoted'!HD45</f>
        <v>0</v>
      </c>
      <c r="T9" s="221">
        <f>'Haver Pivoted'!HE45</f>
        <v>0</v>
      </c>
      <c r="U9" s="291"/>
      <c r="V9" s="291"/>
      <c r="W9" s="291"/>
      <c r="X9" s="291"/>
      <c r="Y9" s="291"/>
      <c r="Z9" s="291"/>
      <c r="AA9" s="291"/>
      <c r="AB9" s="291"/>
      <c r="AC9" s="218"/>
    </row>
    <row r="10" spans="1:29">
      <c r="B10" s="580" t="s">
        <v>214</v>
      </c>
      <c r="C10" s="263"/>
      <c r="D10" s="580"/>
      <c r="E10" s="263"/>
      <c r="F10" s="263"/>
      <c r="G10" s="263"/>
      <c r="H10" s="263"/>
      <c r="I10" s="263"/>
      <c r="J10" s="633"/>
      <c r="K10" s="633"/>
      <c r="L10" s="633"/>
      <c r="M10" s="633">
        <f t="shared" ref="M10:T10" si="0">M9-M11</f>
        <v>1348.1</v>
      </c>
      <c r="N10" s="633">
        <f t="shared" si="0"/>
        <v>290.10000000000002</v>
      </c>
      <c r="O10" s="633">
        <f t="shared" si="0"/>
        <v>38.9</v>
      </c>
      <c r="P10" s="633">
        <f t="shared" si="0"/>
        <v>14.2</v>
      </c>
      <c r="Q10" s="633">
        <f t="shared" si="0"/>
        <v>0</v>
      </c>
      <c r="R10" s="633">
        <f t="shared" si="0"/>
        <v>0</v>
      </c>
      <c r="S10" s="1020">
        <f t="shared" si="0"/>
        <v>0</v>
      </c>
      <c r="T10" s="1010">
        <f t="shared" si="0"/>
        <v>0</v>
      </c>
      <c r="U10" s="1018"/>
      <c r="V10" s="1018"/>
      <c r="W10" s="1018"/>
      <c r="X10" s="1018"/>
      <c r="Y10" s="1018"/>
      <c r="Z10" s="1018"/>
      <c r="AA10" s="1018"/>
      <c r="AB10" s="1018"/>
      <c r="AC10" s="1019"/>
    </row>
    <row r="11" spans="1:29">
      <c r="B11" s="537" t="s">
        <v>461</v>
      </c>
      <c r="C11" s="538"/>
      <c r="D11" s="537"/>
      <c r="E11" s="538"/>
      <c r="F11" s="538"/>
      <c r="G11" s="538"/>
      <c r="H11" s="538"/>
      <c r="I11" s="538"/>
      <c r="J11" s="653">
        <f t="shared" ref="J11:L11" si="1">J9-J10</f>
        <v>1078.0999999999999</v>
      </c>
      <c r="K11" s="653">
        <f t="shared" si="1"/>
        <v>15.6</v>
      </c>
      <c r="L11" s="653">
        <f t="shared" si="1"/>
        <v>5</v>
      </c>
      <c r="M11" s="653">
        <f>SUM(C17:D17)/12*4</f>
        <v>585.6</v>
      </c>
      <c r="N11" s="653">
        <v>0</v>
      </c>
      <c r="O11" s="653">
        <v>0</v>
      </c>
      <c r="P11" s="653">
        <v>0</v>
      </c>
      <c r="Q11" s="653">
        <v>0</v>
      </c>
      <c r="R11" s="653">
        <v>0</v>
      </c>
      <c r="S11" s="653">
        <v>0</v>
      </c>
      <c r="T11" s="908"/>
      <c r="U11" s="1012"/>
      <c r="V11" s="1012"/>
      <c r="W11" s="1012"/>
      <c r="X11" s="1012"/>
      <c r="Y11" s="1012"/>
      <c r="Z11" s="1012"/>
      <c r="AA11" s="1012"/>
      <c r="AB11" s="1012"/>
      <c r="AC11" s="1013"/>
    </row>
    <row r="12" spans="1:29">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6"/>
      <c r="AA12" s="56"/>
      <c r="AB12" s="56"/>
      <c r="AC12" s="56"/>
    </row>
    <row r="13" spans="1:29">
      <c r="A13" s="75"/>
      <c r="B13" s="75"/>
      <c r="C13" s="75"/>
      <c r="D13" s="75"/>
      <c r="E13" s="75"/>
      <c r="F13" s="75"/>
      <c r="G13" s="75"/>
      <c r="H13" s="75"/>
      <c r="I13" s="75"/>
      <c r="J13" s="75"/>
      <c r="K13" s="75"/>
      <c r="L13" s="80"/>
      <c r="M13" s="80"/>
      <c r="N13" s="80"/>
    </row>
    <row r="14" spans="1:29">
      <c r="A14" s="75"/>
      <c r="N14" s="56"/>
    </row>
    <row r="15" spans="1:29">
      <c r="A15" s="632"/>
      <c r="B15" s="1436" t="s">
        <v>462</v>
      </c>
      <c r="C15" s="1426">
        <v>2021</v>
      </c>
      <c r="D15" s="1427"/>
      <c r="E15" s="1427"/>
      <c r="F15" s="1427"/>
      <c r="G15" s="68"/>
      <c r="K15" s="1438"/>
      <c r="L15" s="1438"/>
      <c r="M15" s="56"/>
      <c r="N15" s="56"/>
    </row>
    <row r="16" spans="1:29">
      <c r="B16" s="1437"/>
      <c r="C16" s="1015" t="s">
        <v>234</v>
      </c>
      <c r="D16" s="1000" t="s">
        <v>235</v>
      </c>
      <c r="E16" s="1000" t="s">
        <v>236</v>
      </c>
      <c r="F16" s="1000" t="s">
        <v>237</v>
      </c>
      <c r="G16" s="1011"/>
      <c r="H16" s="632"/>
      <c r="I16" s="632"/>
      <c r="J16" s="632"/>
      <c r="K16" s="632"/>
      <c r="L16" s="632"/>
      <c r="M16" s="632"/>
      <c r="N16" s="632"/>
    </row>
    <row r="17" spans="2:29" ht="16.399999999999999" customHeight="1">
      <c r="B17" s="1014" t="s">
        <v>463</v>
      </c>
      <c r="C17" s="1016">
        <v>1660.9</v>
      </c>
      <c r="D17" s="1016">
        <v>95.9</v>
      </c>
      <c r="E17" s="1016">
        <v>4044.2</v>
      </c>
      <c r="F17" s="1017">
        <v>688</v>
      </c>
      <c r="G17" s="192"/>
      <c r="H17" s="192"/>
      <c r="I17" s="192"/>
      <c r="J17" s="192"/>
      <c r="K17" s="192"/>
      <c r="L17" s="192"/>
      <c r="M17" s="240"/>
      <c r="N17" s="240"/>
    </row>
    <row r="18" spans="2:29">
      <c r="B18" s="976" t="s">
        <v>464</v>
      </c>
      <c r="C18" s="240"/>
      <c r="D18" s="240"/>
      <c r="E18" s="240"/>
      <c r="F18" s="240"/>
      <c r="G18" s="240"/>
      <c r="H18" s="240"/>
      <c r="I18" s="240"/>
      <c r="J18" s="240"/>
      <c r="K18" s="240"/>
      <c r="L18" s="240"/>
      <c r="M18" s="240"/>
      <c r="N18" s="240"/>
    </row>
    <row r="19" spans="2:29">
      <c r="B19" s="240"/>
      <c r="C19" s="240"/>
      <c r="D19" s="240"/>
      <c r="E19" s="240"/>
      <c r="F19" s="240"/>
      <c r="G19" s="240"/>
      <c r="H19" s="240"/>
      <c r="I19" s="240"/>
      <c r="J19" s="240"/>
      <c r="K19" s="240"/>
      <c r="L19" s="240"/>
      <c r="M19" s="240"/>
      <c r="N19" s="240"/>
    </row>
    <row r="20" spans="2:29">
      <c r="B20" s="976"/>
      <c r="C20" s="240"/>
      <c r="D20" s="240"/>
      <c r="E20" s="240"/>
      <c r="F20" s="240"/>
      <c r="G20" s="240"/>
      <c r="H20" s="240"/>
      <c r="I20" s="240"/>
      <c r="J20" s="240"/>
      <c r="K20" s="240"/>
      <c r="L20" s="240"/>
      <c r="M20" s="240"/>
      <c r="N20" s="240"/>
    </row>
    <row r="21" spans="2:29">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6"/>
      <c r="AA21" s="56"/>
      <c r="AB21" s="56"/>
      <c r="AC21" s="56"/>
    </row>
    <row r="22" spans="2:29">
      <c r="B22" s="75"/>
      <c r="C22" s="75"/>
      <c r="D22" s="75"/>
      <c r="E22" s="75"/>
      <c r="F22" s="75"/>
      <c r="G22" s="75"/>
      <c r="H22" s="75"/>
      <c r="I22" s="75"/>
      <c r="J22" s="75"/>
      <c r="K22" s="75"/>
      <c r="L22" s="80"/>
      <c r="M22" s="80"/>
      <c r="N22" s="80"/>
    </row>
    <row r="23" spans="2:29">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1640625" defaultRowHeight="14.5"/>
  <cols>
    <col min="1" max="1" width="26.54296875" customWidth="1"/>
  </cols>
  <sheetData>
    <row r="1" spans="1:22">
      <c r="A1" s="755" t="s">
        <v>1856</v>
      </c>
      <c r="B1" s="755"/>
      <c r="C1" s="755"/>
      <c r="D1" s="755"/>
      <c r="E1" s="755"/>
      <c r="F1" s="755"/>
      <c r="G1" s="755"/>
      <c r="H1" s="755"/>
      <c r="I1" s="755"/>
      <c r="J1" s="755"/>
      <c r="K1" s="755"/>
      <c r="L1" s="755"/>
      <c r="M1" s="755"/>
      <c r="N1" s="755"/>
      <c r="O1" s="755"/>
      <c r="P1" s="755"/>
      <c r="Q1" s="755"/>
      <c r="R1" s="755"/>
      <c r="S1" s="755"/>
      <c r="T1" s="755"/>
      <c r="U1" s="755"/>
      <c r="V1" s="755"/>
    </row>
    <row r="2" spans="1:22">
      <c r="A2" s="755" t="s">
        <v>1857</v>
      </c>
      <c r="B2" s="755"/>
      <c r="C2" s="755"/>
      <c r="D2" s="755"/>
      <c r="E2" s="755"/>
      <c r="F2" s="755"/>
      <c r="G2" s="755"/>
      <c r="H2" s="755"/>
      <c r="I2" s="755"/>
      <c r="J2" s="755"/>
      <c r="K2" s="755"/>
      <c r="L2" s="755"/>
      <c r="M2" s="755"/>
      <c r="N2" s="755"/>
      <c r="O2" s="755"/>
      <c r="P2" s="755"/>
      <c r="Q2" s="755"/>
      <c r="R2" s="755"/>
      <c r="S2" s="755"/>
      <c r="T2" s="755"/>
      <c r="U2" s="755"/>
      <c r="V2" s="755"/>
    </row>
    <row r="3" spans="1:22">
      <c r="A3" s="755"/>
      <c r="B3" s="755"/>
      <c r="C3" s="755"/>
      <c r="D3" s="755"/>
      <c r="E3" s="755"/>
      <c r="F3" s="755"/>
      <c r="G3" s="755"/>
      <c r="H3" s="755"/>
      <c r="I3" s="755"/>
      <c r="J3" s="755"/>
      <c r="K3" s="755"/>
      <c r="L3" s="755"/>
      <c r="M3" s="755"/>
      <c r="N3" s="755"/>
      <c r="O3" s="755"/>
      <c r="P3" s="755"/>
      <c r="Q3" s="755"/>
      <c r="R3" s="755"/>
      <c r="S3" s="755"/>
      <c r="T3" s="755"/>
      <c r="U3" s="755"/>
      <c r="V3" s="755"/>
    </row>
    <row r="4" spans="1:22">
      <c r="A4" s="755" t="s">
        <v>1858</v>
      </c>
      <c r="B4" s="755"/>
      <c r="C4" s="755"/>
      <c r="D4" s="755"/>
      <c r="E4" s="755"/>
      <c r="F4" s="755"/>
      <c r="G4" s="755"/>
      <c r="H4" s="755"/>
      <c r="I4" s="755"/>
      <c r="J4" s="755"/>
      <c r="K4" s="755"/>
      <c r="L4" s="755"/>
      <c r="M4" s="755"/>
      <c r="N4" s="755"/>
      <c r="O4" s="755"/>
      <c r="P4" s="755"/>
      <c r="Q4" s="755"/>
      <c r="R4" s="755"/>
      <c r="S4" s="755"/>
      <c r="T4" s="755"/>
      <c r="U4" s="755"/>
      <c r="V4" s="755"/>
    </row>
    <row r="5" spans="1:22">
      <c r="A5" s="755" t="s">
        <v>1859</v>
      </c>
      <c r="B5" s="755" t="s">
        <v>1860</v>
      </c>
      <c r="C5" s="755"/>
      <c r="D5" s="755"/>
      <c r="E5" s="755"/>
      <c r="F5" s="755"/>
      <c r="G5" s="755"/>
      <c r="H5" s="755"/>
      <c r="I5" s="755"/>
      <c r="J5" s="755"/>
      <c r="K5" s="755"/>
      <c r="L5" s="755"/>
      <c r="M5" s="755"/>
      <c r="N5" s="755"/>
      <c r="O5" s="755"/>
      <c r="P5" s="755"/>
      <c r="Q5" s="755"/>
      <c r="R5" s="755"/>
      <c r="S5" s="755"/>
      <c r="T5" s="755"/>
      <c r="U5" s="755"/>
      <c r="V5" s="755"/>
    </row>
    <row r="6" spans="1:22">
      <c r="A6" s="755" t="s">
        <v>1861</v>
      </c>
      <c r="B6" s="755"/>
      <c r="C6" s="755"/>
      <c r="D6" s="755"/>
      <c r="E6" s="755"/>
      <c r="F6" s="755"/>
      <c r="G6" s="755"/>
      <c r="H6" s="755"/>
      <c r="I6" s="755"/>
      <c r="J6" s="755"/>
      <c r="K6" s="755"/>
      <c r="L6" s="755"/>
      <c r="M6" s="755"/>
      <c r="N6" s="755"/>
      <c r="O6" s="755"/>
      <c r="P6" s="755"/>
      <c r="Q6" s="755"/>
      <c r="R6" s="755"/>
      <c r="S6" s="755"/>
      <c r="T6" s="755"/>
      <c r="U6" s="755"/>
      <c r="V6" s="755"/>
    </row>
    <row r="7" spans="1:22">
      <c r="A7" s="755" t="s">
        <v>1862</v>
      </c>
      <c r="B7" s="755"/>
      <c r="C7" s="755"/>
      <c r="D7" s="755"/>
      <c r="E7" s="755"/>
      <c r="F7" s="755"/>
      <c r="G7" s="755"/>
      <c r="H7" s="755"/>
      <c r="I7" s="755"/>
      <c r="J7" s="755"/>
      <c r="K7" s="755"/>
      <c r="L7" s="755"/>
      <c r="M7" s="755"/>
      <c r="N7" s="755"/>
      <c r="O7" s="755"/>
      <c r="P7" s="755"/>
      <c r="Q7" s="755"/>
      <c r="R7" s="755"/>
      <c r="S7" s="755"/>
      <c r="T7" s="755"/>
      <c r="U7" s="755"/>
      <c r="V7" s="755"/>
    </row>
    <row r="8" spans="1:22">
      <c r="A8" s="755"/>
      <c r="B8" s="755"/>
      <c r="C8" s="755"/>
      <c r="D8" s="755"/>
      <c r="E8" s="755"/>
      <c r="F8" s="755"/>
      <c r="G8" s="755"/>
      <c r="H8" s="755"/>
      <c r="I8" s="755"/>
      <c r="J8" s="755"/>
      <c r="K8" s="755"/>
      <c r="L8" s="755"/>
      <c r="M8" s="755"/>
      <c r="N8" s="755"/>
      <c r="O8" s="755"/>
      <c r="P8" s="755"/>
      <c r="Q8" s="755"/>
      <c r="R8" s="755"/>
      <c r="S8" s="755"/>
      <c r="T8" s="755"/>
      <c r="U8" s="755"/>
      <c r="V8" s="755"/>
    </row>
    <row r="9" spans="1:22">
      <c r="A9" s="755"/>
      <c r="B9" s="755"/>
      <c r="C9" s="755"/>
      <c r="D9" s="755"/>
      <c r="E9" s="755"/>
      <c r="F9" s="755"/>
      <c r="G9" s="755"/>
      <c r="H9" s="755"/>
      <c r="I9" s="755"/>
      <c r="J9" s="755"/>
      <c r="K9" s="755"/>
      <c r="L9" s="755"/>
      <c r="M9" s="755"/>
      <c r="N9" s="755"/>
      <c r="O9" s="755"/>
      <c r="P9" s="755"/>
      <c r="Q9" s="755"/>
      <c r="R9" s="755"/>
      <c r="S9" s="755"/>
      <c r="T9" s="755"/>
      <c r="U9" s="755"/>
      <c r="V9" s="755"/>
    </row>
    <row r="10" spans="1:22">
      <c r="A10" s="755"/>
      <c r="B10" s="756" t="s">
        <v>184</v>
      </c>
      <c r="C10" s="756" t="s">
        <v>185</v>
      </c>
      <c r="D10" s="756" t="s">
        <v>186</v>
      </c>
      <c r="E10" s="756" t="s">
        <v>187</v>
      </c>
      <c r="F10" s="756" t="s">
        <v>188</v>
      </c>
      <c r="G10" s="756" t="s">
        <v>189</v>
      </c>
      <c r="H10" s="756" t="s">
        <v>190</v>
      </c>
      <c r="I10" s="756" t="s">
        <v>191</v>
      </c>
      <c r="J10" s="756" t="s">
        <v>175</v>
      </c>
      <c r="K10" s="756" t="s">
        <v>176</v>
      </c>
      <c r="L10" s="756" t="s">
        <v>177</v>
      </c>
      <c r="M10" s="756" t="s">
        <v>765</v>
      </c>
      <c r="N10" s="756" t="s">
        <v>766</v>
      </c>
      <c r="O10" s="756" t="s">
        <v>767</v>
      </c>
      <c r="P10" s="756" t="s">
        <v>1157</v>
      </c>
      <c r="Q10" s="756" t="s">
        <v>1158</v>
      </c>
      <c r="R10" s="756"/>
      <c r="S10" s="756"/>
      <c r="T10" s="756"/>
      <c r="U10" s="756"/>
      <c r="V10" s="755"/>
    </row>
    <row r="11" spans="1:22">
      <c r="A11" s="755"/>
      <c r="B11" s="755"/>
      <c r="C11" s="755"/>
      <c r="D11" s="755"/>
      <c r="E11" s="755"/>
      <c r="F11" s="755"/>
      <c r="G11" s="755"/>
      <c r="H11" s="755"/>
      <c r="I11" s="755"/>
      <c r="J11" s="755"/>
      <c r="K11" s="755"/>
      <c r="L11" s="755"/>
      <c r="M11" s="755"/>
      <c r="N11" s="755"/>
      <c r="O11" s="755"/>
      <c r="P11" s="755"/>
      <c r="Q11" s="755"/>
      <c r="R11" s="755"/>
      <c r="S11" s="755"/>
      <c r="T11" s="755"/>
      <c r="U11" s="755"/>
      <c r="V11" s="755"/>
    </row>
    <row r="12" spans="1:22">
      <c r="A12" s="755" t="s">
        <v>1863</v>
      </c>
      <c r="B12" s="1029">
        <v>9.1428571428571441</v>
      </c>
      <c r="C12" s="1029">
        <v>9.1428571428571441</v>
      </c>
      <c r="D12" s="1029">
        <v>28.342857142857145</v>
      </c>
      <c r="E12" s="1029">
        <v>45.714285714285722</v>
      </c>
      <c r="F12" s="1029">
        <v>77</v>
      </c>
      <c r="G12" s="1029">
        <v>86</v>
      </c>
      <c r="H12" s="1029">
        <v>95</v>
      </c>
      <c r="I12" s="1029">
        <v>91.428571428571445</v>
      </c>
      <c r="J12" s="1029">
        <v>81.676190476190499</v>
      </c>
      <c r="K12" s="1029">
        <v>72.228571428571442</v>
      </c>
      <c r="L12" s="1029">
        <v>59</v>
      </c>
      <c r="M12" s="1029">
        <v>48</v>
      </c>
      <c r="N12" s="1029">
        <v>40</v>
      </c>
      <c r="O12" s="755">
        <v>40</v>
      </c>
      <c r="P12" s="755">
        <v>40</v>
      </c>
      <c r="Q12" s="755">
        <v>40</v>
      </c>
      <c r="R12" s="755"/>
      <c r="S12" s="755"/>
      <c r="T12" s="755"/>
      <c r="U12" s="755"/>
      <c r="V12" s="755"/>
    </row>
    <row r="13" spans="1:22">
      <c r="A13" s="755" t="s">
        <v>1864</v>
      </c>
      <c r="B13" s="1033">
        <v>1.2372660206226285</v>
      </c>
      <c r="C13" s="1033">
        <f>B13*(1+Deflators!T45)^(1/4)</f>
        <v>1.2498921560539855</v>
      </c>
      <c r="D13" s="1033">
        <f>C13*(1+Deflators!U45)^(1/4)</f>
        <v>1.2627087947860671</v>
      </c>
      <c r="E13" s="1033">
        <f>D13*(1+Deflators!V45)^(1/4)</f>
        <v>1.2704876795656541</v>
      </c>
      <c r="F13" s="1033">
        <f>E13*(1+Deflators!W45)^(1/4)</f>
        <v>1.2786369874299834</v>
      </c>
      <c r="G13" s="1033">
        <f>F13*(1+Deflators!X45)^(1/4)</f>
        <v>1.2843203359016002</v>
      </c>
      <c r="H13" s="1033">
        <f>G13*(1+Deflators!Y45)^(1/4)</f>
        <v>1.2951155229426599</v>
      </c>
      <c r="I13" s="1033">
        <f>H13*(1+Deflators!Z45)^(1/4)</f>
        <v>1.3028919037155307</v>
      </c>
      <c r="J13" s="1033">
        <f>I13*(1+Deflators!AA45)^(1/4)</f>
        <v>1.3101515115070501</v>
      </c>
      <c r="K13" s="1033">
        <f>J13*(1+Deflators!AB45)^(1/4)</f>
        <v>1.3168104596758545</v>
      </c>
      <c r="L13" s="1033">
        <f>K13*(1+Deflators!AC45)^(1/4)</f>
        <v>1.3239278581206655</v>
      </c>
      <c r="M13" s="1033">
        <f>L13*(1+Deflators!AD45)^(1/4)</f>
        <v>1.3310123052412657</v>
      </c>
      <c r="N13" s="1033">
        <f>M13*(1+Deflators!AE45)^(1/4)</f>
        <v>1.3378503332019078</v>
      </c>
      <c r="O13" s="1033">
        <f>N13*(1+Deflators!AF45)^(1/4)</f>
        <v>1.3445265082098634</v>
      </c>
      <c r="P13" s="1021">
        <v>0</v>
      </c>
      <c r="Q13" s="1021">
        <v>0</v>
      </c>
      <c r="V13" s="755"/>
    </row>
    <row r="14" spans="1:22">
      <c r="A14" s="755" t="s">
        <v>1865</v>
      </c>
      <c r="B14" s="755">
        <f>B12*B13</f>
        <v>11.312146474264033</v>
      </c>
      <c r="C14" s="755">
        <f t="shared" ref="C14:Q14" si="0">C12*C13</f>
        <v>11.427585426779297</v>
      </c>
      <c r="D14" s="755">
        <f t="shared" si="0"/>
        <v>35.788774983650818</v>
      </c>
      <c r="E14" s="755">
        <f t="shared" si="0"/>
        <v>58.079436780144199</v>
      </c>
      <c r="F14" s="755">
        <f t="shared" si="0"/>
        <v>98.455048032108721</v>
      </c>
      <c r="G14" s="755">
        <f t="shared" si="0"/>
        <v>110.45154888753761</v>
      </c>
      <c r="H14" s="755">
        <f t="shared" si="0"/>
        <v>123.03597467955268</v>
      </c>
      <c r="I14" s="755">
        <f t="shared" si="0"/>
        <v>119.12154548256282</v>
      </c>
      <c r="J14" s="755">
        <f t="shared" si="0"/>
        <v>107.00818440651871</v>
      </c>
      <c r="K14" s="755">
        <f t="shared" si="0"/>
        <v>95.111338344587452</v>
      </c>
      <c r="L14" s="755">
        <f t="shared" si="0"/>
        <v>78.11174362911926</v>
      </c>
      <c r="M14" s="755">
        <f t="shared" si="0"/>
        <v>63.888590651580756</v>
      </c>
      <c r="N14" s="755">
        <f t="shared" si="0"/>
        <v>53.514013328076317</v>
      </c>
      <c r="O14" s="755">
        <f t="shared" si="0"/>
        <v>53.781060328394538</v>
      </c>
      <c r="P14" s="755">
        <f t="shared" si="0"/>
        <v>0</v>
      </c>
      <c r="Q14" s="755">
        <f t="shared" si="0"/>
        <v>0</v>
      </c>
      <c r="R14" s="755"/>
      <c r="S14" s="755"/>
      <c r="T14" s="755"/>
      <c r="U14" s="755"/>
      <c r="V14" s="755"/>
    </row>
    <row r="15" spans="1:22">
      <c r="A15" s="755"/>
      <c r="B15" s="755"/>
      <c r="C15" s="755"/>
      <c r="D15" s="755"/>
      <c r="E15" s="755"/>
      <c r="F15" s="755"/>
      <c r="G15" s="755"/>
      <c r="H15" s="755"/>
      <c r="I15" s="755"/>
      <c r="J15" s="755"/>
      <c r="K15" s="755"/>
      <c r="L15" s="755"/>
      <c r="M15" s="755"/>
      <c r="N15" s="755"/>
      <c r="O15" s="755"/>
      <c r="P15" s="755"/>
      <c r="Q15" s="755"/>
      <c r="R15" s="755"/>
      <c r="S15" s="755"/>
      <c r="T15" s="755"/>
      <c r="U15" s="755"/>
      <c r="V15" s="755"/>
    </row>
    <row r="16" spans="1:22">
      <c r="A16" t="s">
        <v>1856</v>
      </c>
      <c r="B16" s="755"/>
      <c r="C16" s="755"/>
      <c r="D16" s="755"/>
      <c r="E16" s="755"/>
      <c r="F16" s="755"/>
      <c r="G16" s="755"/>
      <c r="H16" s="755"/>
      <c r="I16" s="755"/>
      <c r="J16" s="755"/>
      <c r="K16" s="755"/>
      <c r="L16" s="755"/>
      <c r="M16" s="755"/>
      <c r="N16" s="755"/>
      <c r="O16" s="755"/>
      <c r="P16" s="755"/>
      <c r="Q16" s="755"/>
      <c r="R16" s="755"/>
      <c r="S16" s="755"/>
      <c r="T16" s="755"/>
      <c r="U16" s="755"/>
      <c r="V16" s="755"/>
    </row>
    <row r="17" spans="1:22">
      <c r="A17" t="s">
        <v>1857</v>
      </c>
      <c r="B17" s="755"/>
      <c r="C17" s="755"/>
      <c r="D17" s="755"/>
      <c r="E17" s="755"/>
      <c r="F17" s="755"/>
      <c r="G17" s="755"/>
      <c r="H17" s="755"/>
      <c r="I17" s="755"/>
      <c r="J17" s="755"/>
      <c r="K17" s="755"/>
      <c r="L17" s="755"/>
      <c r="M17" s="755"/>
      <c r="N17" s="755"/>
      <c r="O17" s="755"/>
      <c r="P17" s="755"/>
      <c r="Q17" s="755"/>
      <c r="R17" s="755"/>
      <c r="S17" s="755"/>
      <c r="T17" s="755"/>
      <c r="U17" s="755"/>
      <c r="V17" s="755"/>
    </row>
    <row r="18" spans="1:22">
      <c r="B18" s="755"/>
      <c r="C18" s="755"/>
      <c r="D18" s="755"/>
      <c r="E18" s="755"/>
      <c r="F18" s="755"/>
      <c r="G18" s="755"/>
      <c r="H18" s="755"/>
      <c r="I18" s="755"/>
      <c r="J18" s="755"/>
      <c r="K18" s="755"/>
      <c r="L18" s="755"/>
      <c r="M18" s="755"/>
      <c r="N18" s="755"/>
      <c r="O18" s="755"/>
      <c r="P18" s="755"/>
      <c r="Q18" s="755"/>
      <c r="R18" s="755"/>
      <c r="S18" s="755"/>
      <c r="T18" s="755"/>
      <c r="U18" s="755"/>
      <c r="V18" s="755"/>
    </row>
    <row r="19" spans="1:22">
      <c r="A19" t="s">
        <v>1927</v>
      </c>
      <c r="B19" s="755"/>
      <c r="C19" s="755"/>
      <c r="D19" s="755"/>
      <c r="E19" s="755"/>
      <c r="F19" s="755"/>
      <c r="G19" s="755"/>
      <c r="H19" s="755"/>
      <c r="I19" s="755"/>
      <c r="J19" s="755"/>
      <c r="K19" s="755"/>
      <c r="L19" s="755"/>
      <c r="M19" s="755"/>
      <c r="N19" s="755"/>
      <c r="O19" s="755"/>
      <c r="P19" s="755"/>
      <c r="Q19" s="755"/>
      <c r="R19" s="755"/>
      <c r="S19" s="755"/>
      <c r="T19" s="755"/>
      <c r="U19" s="755"/>
      <c r="V19" s="755"/>
    </row>
    <row r="20" spans="1:22">
      <c r="A20" t="s">
        <v>1859</v>
      </c>
      <c r="B20" s="755"/>
      <c r="C20" s="755"/>
      <c r="D20" s="755"/>
      <c r="E20" s="755"/>
      <c r="F20" s="755"/>
      <c r="G20" s="755"/>
      <c r="H20" s="755"/>
      <c r="I20" s="755"/>
      <c r="J20" s="755"/>
      <c r="K20" s="755"/>
      <c r="L20" s="755"/>
      <c r="M20" s="755"/>
      <c r="N20" s="755"/>
      <c r="O20" s="755"/>
      <c r="P20" s="755"/>
      <c r="Q20" s="755"/>
      <c r="R20" s="755"/>
      <c r="S20" s="755"/>
      <c r="T20" s="755"/>
      <c r="U20" s="755"/>
      <c r="V20" s="755"/>
    </row>
    <row r="21" spans="1:22">
      <c r="A21" t="s">
        <v>1861</v>
      </c>
      <c r="B21" s="755"/>
      <c r="C21" s="755"/>
      <c r="D21" s="755"/>
      <c r="E21" s="755"/>
      <c r="F21" s="755"/>
      <c r="G21" s="755"/>
      <c r="H21" s="755"/>
      <c r="I21" s="755"/>
      <c r="J21" s="755"/>
      <c r="K21" s="755"/>
      <c r="L21" s="755"/>
      <c r="M21" s="755"/>
      <c r="N21" s="755"/>
      <c r="O21" s="755"/>
      <c r="P21" s="755"/>
      <c r="Q21" s="755"/>
      <c r="R21" s="755"/>
      <c r="S21" s="755"/>
      <c r="T21" s="755"/>
      <c r="U21" s="755"/>
      <c r="V21" s="755"/>
    </row>
    <row r="22" spans="1:22">
      <c r="A22" t="s">
        <v>1862</v>
      </c>
      <c r="B22" s="755"/>
      <c r="C22" s="755"/>
      <c r="D22" s="755"/>
      <c r="E22" s="755"/>
      <c r="F22" s="755"/>
      <c r="G22" s="755"/>
      <c r="H22" s="755"/>
      <c r="I22" s="755"/>
      <c r="J22" s="755"/>
      <c r="K22" s="755"/>
      <c r="L22" s="755"/>
      <c r="M22" s="755"/>
      <c r="N22" s="755"/>
      <c r="O22" s="755"/>
      <c r="P22" s="755"/>
      <c r="Q22" s="755"/>
      <c r="R22" s="755"/>
      <c r="S22" s="755"/>
      <c r="T22" s="755"/>
      <c r="U22" s="755"/>
      <c r="V22" s="755"/>
    </row>
    <row r="23" spans="1:22">
      <c r="B23" s="1439" t="s">
        <v>1866</v>
      </c>
      <c r="C23" s="1439"/>
      <c r="D23" s="1439"/>
      <c r="L23" s="755"/>
      <c r="M23" s="755"/>
      <c r="N23" s="755"/>
      <c r="O23" s="755"/>
      <c r="P23" s="755"/>
      <c r="Q23" s="755"/>
      <c r="R23" s="755"/>
      <c r="S23" s="755"/>
      <c r="T23" s="755"/>
      <c r="U23" s="755"/>
      <c r="V23" s="755"/>
    </row>
    <row r="24" spans="1:22">
      <c r="L24" s="755"/>
      <c r="M24" s="755"/>
      <c r="N24" s="755"/>
      <c r="O24" s="755"/>
      <c r="P24" s="755"/>
      <c r="Q24" s="755"/>
      <c r="R24" s="755"/>
      <c r="S24" s="755"/>
      <c r="T24" s="755"/>
      <c r="U24" s="755"/>
      <c r="V24" s="755"/>
    </row>
    <row r="25" spans="1:22" ht="58" customHeight="1">
      <c r="A25" s="1022"/>
      <c r="B25" s="14" t="s">
        <v>1867</v>
      </c>
      <c r="C25" s="14"/>
      <c r="D25" s="14" t="s">
        <v>1868</v>
      </c>
      <c r="F25" s="1023" t="s">
        <v>1869</v>
      </c>
      <c r="G25" s="1024"/>
      <c r="H25" s="1023" t="s">
        <v>1911</v>
      </c>
      <c r="I25" s="1023" t="s">
        <v>1908</v>
      </c>
      <c r="J25" s="1023"/>
      <c r="K25" s="1023"/>
      <c r="L25" s="755"/>
      <c r="M25" s="755"/>
      <c r="N25" s="755"/>
      <c r="O25" s="755"/>
      <c r="P25" s="755"/>
      <c r="Q25" s="755"/>
      <c r="R25" s="755"/>
      <c r="S25" s="755"/>
      <c r="T25" s="755"/>
      <c r="U25" s="755"/>
      <c r="V25" s="755"/>
    </row>
    <row r="26" spans="1:22" ht="58" customHeight="1">
      <c r="A26" s="1022" t="s">
        <v>1870</v>
      </c>
      <c r="B26" s="14" t="s">
        <v>1871</v>
      </c>
      <c r="C26" s="14"/>
      <c r="D26" s="1025" t="s">
        <v>1872</v>
      </c>
      <c r="F26" s="1023"/>
      <c r="G26" s="1023"/>
      <c r="H26" s="1023"/>
      <c r="I26" s="1023"/>
      <c r="J26" s="1026" t="s">
        <v>312</v>
      </c>
      <c r="K26" s="1023" t="s">
        <v>1909</v>
      </c>
      <c r="L26" s="755" t="s">
        <v>1873</v>
      </c>
      <c r="M26" s="755"/>
      <c r="N26" s="755"/>
      <c r="O26" s="755"/>
      <c r="P26" s="755"/>
      <c r="Q26" s="755"/>
      <c r="R26" s="755"/>
      <c r="S26" s="755"/>
      <c r="T26" s="755"/>
      <c r="U26" s="755"/>
      <c r="V26" s="755"/>
    </row>
    <row r="27" spans="1:22">
      <c r="A27" s="1027">
        <v>44774</v>
      </c>
      <c r="B27">
        <v>10</v>
      </c>
      <c r="D27">
        <f>B27/1.75</f>
        <v>5.7142857142857144</v>
      </c>
      <c r="F27" s="1028" t="s">
        <v>184</v>
      </c>
      <c r="G27" s="1029">
        <f>AVERAGE(D27:D28)</f>
        <v>5.7142857142857144</v>
      </c>
      <c r="H27" s="1029">
        <f>0.4*G27</f>
        <v>2.285714285714286</v>
      </c>
      <c r="I27" s="1029">
        <f>H27*3</f>
        <v>6.8571428571428577</v>
      </c>
      <c r="J27" s="1029">
        <f t="shared" ref="J27:J46" si="1">H27+I27</f>
        <v>9.1428571428571441</v>
      </c>
      <c r="K27" s="1029">
        <f>J27</f>
        <v>9.1428571428571441</v>
      </c>
      <c r="L27" s="755"/>
      <c r="M27" s="755"/>
      <c r="N27" s="755"/>
      <c r="O27" s="755"/>
      <c r="P27" s="755"/>
      <c r="Q27" s="755"/>
      <c r="R27" s="755"/>
      <c r="S27" s="755"/>
      <c r="T27" s="755"/>
      <c r="U27" s="755"/>
      <c r="V27" s="755"/>
    </row>
    <row r="28" spans="1:22">
      <c r="A28" s="1027">
        <f>A27+31</f>
        <v>44805</v>
      </c>
      <c r="B28">
        <v>10</v>
      </c>
      <c r="D28">
        <f t="shared" ref="D28:D61" si="2">B28/1.75</f>
        <v>5.7142857142857144</v>
      </c>
      <c r="F28" s="1028" t="s">
        <v>185</v>
      </c>
      <c r="G28" s="1029">
        <f>AVERAGE(D29:D31)</f>
        <v>5.7142857142857144</v>
      </c>
      <c r="H28" s="1029">
        <f t="shared" ref="H28:H46" si="3">0.4*G28</f>
        <v>2.285714285714286</v>
      </c>
      <c r="I28" s="1029">
        <f t="shared" ref="I28:I46" si="4">H28*3</f>
        <v>6.8571428571428577</v>
      </c>
      <c r="J28" s="1029">
        <f t="shared" si="1"/>
        <v>9.1428571428571441</v>
      </c>
      <c r="K28" s="1029">
        <f t="shared" ref="K28:K46" si="5">J28</f>
        <v>9.1428571428571441</v>
      </c>
      <c r="L28" s="1033">
        <f>J28-J27</f>
        <v>0</v>
      </c>
      <c r="M28" s="1033">
        <f>K28-K27</f>
        <v>0</v>
      </c>
      <c r="N28" s="755"/>
      <c r="O28" s="755"/>
      <c r="P28" s="755"/>
      <c r="Q28" s="755"/>
      <c r="R28" s="755"/>
      <c r="S28" s="755"/>
      <c r="T28" s="755"/>
      <c r="U28" s="755"/>
      <c r="V28" s="755"/>
    </row>
    <row r="29" spans="1:22">
      <c r="A29" s="1027">
        <f t="shared" ref="A29:A61" si="6">A28+31</f>
        <v>44836</v>
      </c>
      <c r="B29">
        <v>10</v>
      </c>
      <c r="D29">
        <f t="shared" si="2"/>
        <v>5.7142857142857144</v>
      </c>
      <c r="F29" s="1028" t="s">
        <v>186</v>
      </c>
      <c r="G29" s="1029">
        <f>AVERAGE(D32:D34)</f>
        <v>17.714285714285715</v>
      </c>
      <c r="H29" s="1029">
        <f t="shared" si="3"/>
        <v>7.0857142857142863</v>
      </c>
      <c r="I29" s="1029">
        <f t="shared" si="4"/>
        <v>21.25714285714286</v>
      </c>
      <c r="J29" s="1029">
        <f t="shared" si="1"/>
        <v>28.342857142857145</v>
      </c>
      <c r="K29" s="1029">
        <f t="shared" si="5"/>
        <v>28.342857142857145</v>
      </c>
      <c r="L29" s="1033">
        <f t="shared" ref="L29:M47" si="7">J29-J28</f>
        <v>19.200000000000003</v>
      </c>
      <c r="M29" s="1033">
        <f t="shared" si="7"/>
        <v>19.200000000000003</v>
      </c>
      <c r="N29" s="755"/>
      <c r="O29" s="755"/>
      <c r="P29" s="755"/>
      <c r="Q29" s="755"/>
      <c r="R29" s="755"/>
      <c r="S29" s="755"/>
      <c r="T29" s="755"/>
      <c r="U29" s="755"/>
      <c r="V29" s="755"/>
    </row>
    <row r="30" spans="1:22">
      <c r="A30" s="1027">
        <f t="shared" si="6"/>
        <v>44867</v>
      </c>
      <c r="B30">
        <v>10</v>
      </c>
      <c r="D30">
        <f t="shared" si="2"/>
        <v>5.7142857142857144</v>
      </c>
      <c r="F30" s="1028" t="s">
        <v>187</v>
      </c>
      <c r="G30" s="1029">
        <f>AVERAGE(D35:D37)</f>
        <v>28.571428571428573</v>
      </c>
      <c r="H30" s="1029">
        <f t="shared" si="3"/>
        <v>11.428571428571431</v>
      </c>
      <c r="I30" s="1029">
        <f t="shared" si="4"/>
        <v>34.285714285714292</v>
      </c>
      <c r="J30" s="1029">
        <f t="shared" si="1"/>
        <v>45.714285714285722</v>
      </c>
      <c r="K30" s="1029">
        <f t="shared" si="5"/>
        <v>45.714285714285722</v>
      </c>
      <c r="L30" s="1033">
        <f t="shared" si="7"/>
        <v>17.371428571428577</v>
      </c>
      <c r="M30" s="1033">
        <f t="shared" si="7"/>
        <v>17.371428571428577</v>
      </c>
      <c r="N30" s="755"/>
      <c r="O30" s="755"/>
      <c r="P30" s="755"/>
      <c r="Q30" s="755"/>
      <c r="R30" s="755"/>
      <c r="S30" s="755"/>
      <c r="T30" s="755"/>
      <c r="U30" s="755"/>
      <c r="V30" s="755"/>
    </row>
    <row r="31" spans="1:22">
      <c r="A31" s="1027">
        <f t="shared" si="6"/>
        <v>44898</v>
      </c>
      <c r="B31">
        <v>10</v>
      </c>
      <c r="D31">
        <f t="shared" si="2"/>
        <v>5.7142857142857144</v>
      </c>
      <c r="F31" s="1028" t="s">
        <v>188</v>
      </c>
      <c r="G31" s="1029">
        <f>AVERAGE(D38:D40)</f>
        <v>46.666666666666664</v>
      </c>
      <c r="H31" s="1029">
        <f t="shared" si="3"/>
        <v>18.666666666666668</v>
      </c>
      <c r="I31" s="1029">
        <f t="shared" si="4"/>
        <v>56</v>
      </c>
      <c r="J31" s="1029">
        <f t="shared" si="1"/>
        <v>74.666666666666671</v>
      </c>
      <c r="K31" s="1029">
        <v>77</v>
      </c>
      <c r="L31" s="1033">
        <f t="shared" si="7"/>
        <v>28.952380952380949</v>
      </c>
      <c r="M31" s="1033">
        <f t="shared" si="7"/>
        <v>31.285714285714278</v>
      </c>
      <c r="N31" s="755"/>
      <c r="O31" s="755"/>
      <c r="P31" s="755"/>
      <c r="Q31" s="755"/>
      <c r="R31" s="755"/>
      <c r="S31" s="755"/>
      <c r="T31" s="755"/>
      <c r="U31" s="755"/>
      <c r="V31" s="755"/>
    </row>
    <row r="32" spans="1:22">
      <c r="A32" s="1027">
        <f t="shared" si="6"/>
        <v>44929</v>
      </c>
      <c r="B32">
        <v>25</v>
      </c>
      <c r="D32">
        <f t="shared" si="2"/>
        <v>14.285714285714286</v>
      </c>
      <c r="F32" s="1028" t="s">
        <v>189</v>
      </c>
      <c r="G32" s="1029">
        <f>AVERAGE(D41:D43)</f>
        <v>49.904761904761905</v>
      </c>
      <c r="H32" s="1029">
        <f t="shared" si="3"/>
        <v>19.961904761904762</v>
      </c>
      <c r="I32" s="1029">
        <f t="shared" si="4"/>
        <v>59.885714285714286</v>
      </c>
      <c r="J32" s="1029">
        <f t="shared" si="1"/>
        <v>79.847619047619048</v>
      </c>
      <c r="K32" s="1029">
        <v>86</v>
      </c>
      <c r="L32" s="1033">
        <f t="shared" si="7"/>
        <v>5.1809523809523768</v>
      </c>
      <c r="M32" s="1033">
        <f t="shared" si="7"/>
        <v>9</v>
      </c>
      <c r="N32" s="755"/>
      <c r="O32" s="755"/>
      <c r="P32" s="755"/>
      <c r="Q32" s="755"/>
      <c r="R32" s="755"/>
      <c r="S32" s="755"/>
      <c r="T32" s="755"/>
      <c r="U32" s="755"/>
      <c r="V32" s="755"/>
    </row>
    <row r="33" spans="1:22">
      <c r="A33" s="1027">
        <f t="shared" si="6"/>
        <v>44960</v>
      </c>
      <c r="B33">
        <v>30</v>
      </c>
      <c r="D33">
        <f t="shared" si="2"/>
        <v>17.142857142857142</v>
      </c>
      <c r="F33" s="1028" t="s">
        <v>190</v>
      </c>
      <c r="G33" s="1029">
        <f>AVERAGE(D44:D46)</f>
        <v>57.142857142857146</v>
      </c>
      <c r="H33" s="1029">
        <f t="shared" si="3"/>
        <v>22.857142857142861</v>
      </c>
      <c r="I33" s="1029">
        <f t="shared" si="4"/>
        <v>68.571428571428584</v>
      </c>
      <c r="J33" s="1029">
        <f t="shared" si="1"/>
        <v>91.428571428571445</v>
      </c>
      <c r="K33" s="1029">
        <v>95</v>
      </c>
      <c r="L33" s="1033">
        <f t="shared" si="7"/>
        <v>11.580952380952397</v>
      </c>
      <c r="M33" s="1033">
        <f t="shared" si="7"/>
        <v>9</v>
      </c>
      <c r="N33" s="755"/>
      <c r="O33" s="755"/>
      <c r="P33" s="755"/>
      <c r="Q33" s="755"/>
      <c r="R33" s="755"/>
      <c r="S33" s="755"/>
      <c r="T33" s="755"/>
      <c r="U33" s="755"/>
      <c r="V33" s="755"/>
    </row>
    <row r="34" spans="1:22">
      <c r="A34" s="1027">
        <f t="shared" si="6"/>
        <v>44991</v>
      </c>
      <c r="B34">
        <v>38</v>
      </c>
      <c r="D34">
        <f t="shared" si="2"/>
        <v>21.714285714285715</v>
      </c>
      <c r="F34" s="1028" t="s">
        <v>191</v>
      </c>
      <c r="G34" s="1029">
        <f>AVERAGE(D47:D49)</f>
        <v>57.142857142857146</v>
      </c>
      <c r="H34" s="1029">
        <f t="shared" si="3"/>
        <v>22.857142857142861</v>
      </c>
      <c r="I34" s="1029">
        <f t="shared" si="4"/>
        <v>68.571428571428584</v>
      </c>
      <c r="J34" s="1029">
        <f t="shared" si="1"/>
        <v>91.428571428571445</v>
      </c>
      <c r="K34" s="1029">
        <f t="shared" si="5"/>
        <v>91.428571428571445</v>
      </c>
      <c r="L34" s="1033">
        <f t="shared" si="7"/>
        <v>0</v>
      </c>
      <c r="M34" s="1033">
        <f t="shared" si="7"/>
        <v>-3.5714285714285552</v>
      </c>
      <c r="N34" s="755"/>
      <c r="O34" s="755"/>
      <c r="P34" s="755"/>
      <c r="Q34" s="755"/>
      <c r="R34" s="755"/>
      <c r="S34" s="755"/>
      <c r="T34" s="755"/>
      <c r="U34" s="755"/>
      <c r="V34" s="755"/>
    </row>
    <row r="35" spans="1:22">
      <c r="A35" s="1027">
        <f t="shared" si="6"/>
        <v>45022</v>
      </c>
      <c r="B35">
        <v>40</v>
      </c>
      <c r="D35">
        <f t="shared" si="2"/>
        <v>22.857142857142858</v>
      </c>
      <c r="F35" s="1028" t="s">
        <v>175</v>
      </c>
      <c r="G35" s="1029">
        <f>AVERAGE(D50:D52)</f>
        <v>51.047619047619058</v>
      </c>
      <c r="H35" s="1029">
        <f t="shared" si="3"/>
        <v>20.419047619047625</v>
      </c>
      <c r="I35" s="1029">
        <f t="shared" si="4"/>
        <v>61.257142857142874</v>
      </c>
      <c r="J35" s="1029">
        <f t="shared" si="1"/>
        <v>81.676190476190499</v>
      </c>
      <c r="K35" s="1029">
        <f t="shared" si="5"/>
        <v>81.676190476190499</v>
      </c>
      <c r="L35" s="1033">
        <f t="shared" si="7"/>
        <v>-9.7523809523809462</v>
      </c>
      <c r="M35" s="1033">
        <f t="shared" si="7"/>
        <v>-9.7523809523809462</v>
      </c>
      <c r="N35" s="755"/>
      <c r="O35" s="755"/>
      <c r="P35" s="755"/>
      <c r="Q35" s="755"/>
      <c r="R35" s="755"/>
      <c r="S35" s="755"/>
      <c r="T35" s="755"/>
      <c r="U35" s="755"/>
      <c r="V35" s="755"/>
    </row>
    <row r="36" spans="1:22">
      <c r="A36" s="1027">
        <f t="shared" si="6"/>
        <v>45053</v>
      </c>
      <c r="B36">
        <v>50</v>
      </c>
      <c r="D36">
        <f t="shared" si="2"/>
        <v>28.571428571428573</v>
      </c>
      <c r="F36" s="1028" t="s">
        <v>176</v>
      </c>
      <c r="G36" s="1029">
        <f>AVERAGE(D53:D55)</f>
        <v>45.142857142857146</v>
      </c>
      <c r="H36" s="1029">
        <f t="shared" si="3"/>
        <v>18.05714285714286</v>
      </c>
      <c r="I36" s="1029">
        <f t="shared" si="4"/>
        <v>54.171428571428578</v>
      </c>
      <c r="J36" s="1029">
        <f t="shared" si="1"/>
        <v>72.228571428571442</v>
      </c>
      <c r="K36" s="1029">
        <f t="shared" si="5"/>
        <v>72.228571428571442</v>
      </c>
      <c r="L36" s="1033">
        <f t="shared" si="7"/>
        <v>-9.4476190476190567</v>
      </c>
      <c r="M36" s="1033">
        <f t="shared" si="7"/>
        <v>-9.4476190476190567</v>
      </c>
      <c r="N36" s="755"/>
      <c r="O36" s="755"/>
      <c r="P36" s="755"/>
      <c r="Q36" s="755"/>
      <c r="R36" s="755"/>
      <c r="S36" s="755"/>
      <c r="T36" s="755"/>
      <c r="U36" s="755"/>
      <c r="V36" s="755"/>
    </row>
    <row r="37" spans="1:22">
      <c r="A37" s="1027">
        <f t="shared" si="6"/>
        <v>45084</v>
      </c>
      <c r="B37">
        <v>60</v>
      </c>
      <c r="D37">
        <f t="shared" si="2"/>
        <v>34.285714285714285</v>
      </c>
      <c r="F37" s="1028" t="s">
        <v>177</v>
      </c>
      <c r="G37" s="1029">
        <v>35</v>
      </c>
      <c r="H37" s="1029">
        <f t="shared" si="3"/>
        <v>14</v>
      </c>
      <c r="I37" s="1029">
        <f t="shared" si="4"/>
        <v>42</v>
      </c>
      <c r="J37" s="1029">
        <f t="shared" si="1"/>
        <v>56</v>
      </c>
      <c r="K37" s="1029">
        <v>59</v>
      </c>
      <c r="L37" s="1033">
        <f t="shared" si="7"/>
        <v>-16.228571428571442</v>
      </c>
      <c r="M37" s="1033">
        <f t="shared" si="7"/>
        <v>-13.228571428571442</v>
      </c>
      <c r="N37" s="755"/>
      <c r="O37" s="755"/>
      <c r="P37" s="755"/>
      <c r="Q37" s="755"/>
      <c r="R37" s="755"/>
      <c r="S37" s="755"/>
      <c r="T37" s="755"/>
      <c r="U37" s="755"/>
      <c r="V37" s="755"/>
    </row>
    <row r="38" spans="1:22">
      <c r="A38" s="1027">
        <f t="shared" si="6"/>
        <v>45115</v>
      </c>
      <c r="B38">
        <v>70</v>
      </c>
      <c r="D38">
        <f t="shared" si="2"/>
        <v>40</v>
      </c>
      <c r="F38" s="1028" t="s">
        <v>765</v>
      </c>
      <c r="G38" s="1029">
        <v>30</v>
      </c>
      <c r="H38" s="1029">
        <f t="shared" si="3"/>
        <v>12</v>
      </c>
      <c r="I38" s="1029">
        <f t="shared" si="4"/>
        <v>36</v>
      </c>
      <c r="J38" s="1029">
        <f t="shared" si="1"/>
        <v>48</v>
      </c>
      <c r="K38" s="1029">
        <f t="shared" si="5"/>
        <v>48</v>
      </c>
      <c r="L38" s="1033">
        <f t="shared" si="7"/>
        <v>-8</v>
      </c>
      <c r="M38" s="1033">
        <f t="shared" si="7"/>
        <v>-11</v>
      </c>
      <c r="N38" s="755"/>
      <c r="O38" s="755"/>
      <c r="P38" s="755"/>
      <c r="Q38" s="755"/>
      <c r="R38" s="755"/>
      <c r="S38" s="755"/>
      <c r="T38" s="755"/>
      <c r="U38" s="755"/>
      <c r="V38" s="755"/>
    </row>
    <row r="39" spans="1:22">
      <c r="A39" s="1027">
        <f t="shared" si="6"/>
        <v>45146</v>
      </c>
      <c r="B39">
        <v>85</v>
      </c>
      <c r="D39">
        <f t="shared" si="2"/>
        <v>48.571428571428569</v>
      </c>
      <c r="F39" s="1028" t="s">
        <v>766</v>
      </c>
      <c r="G39" s="1029">
        <v>25</v>
      </c>
      <c r="H39" s="1029">
        <f t="shared" si="3"/>
        <v>10</v>
      </c>
      <c r="I39" s="1029">
        <f t="shared" si="4"/>
        <v>30</v>
      </c>
      <c r="J39" s="1029">
        <f t="shared" si="1"/>
        <v>40</v>
      </c>
      <c r="K39" s="1029">
        <f t="shared" si="5"/>
        <v>40</v>
      </c>
      <c r="L39" s="1033">
        <f t="shared" si="7"/>
        <v>-8</v>
      </c>
      <c r="M39" s="1033">
        <f t="shared" si="7"/>
        <v>-8</v>
      </c>
      <c r="N39" s="755"/>
      <c r="O39" s="755"/>
      <c r="P39" s="755"/>
      <c r="Q39" s="755"/>
      <c r="R39" s="755"/>
      <c r="S39" s="755"/>
      <c r="T39" s="755"/>
      <c r="U39" s="755"/>
      <c r="V39" s="755"/>
    </row>
    <row r="40" spans="1:22">
      <c r="A40" s="1027">
        <f t="shared" si="6"/>
        <v>45177</v>
      </c>
      <c r="B40">
        <v>90</v>
      </c>
      <c r="D40">
        <f t="shared" si="2"/>
        <v>51.428571428571431</v>
      </c>
      <c r="F40" s="1028" t="s">
        <v>767</v>
      </c>
      <c r="G40" s="1029">
        <f t="shared" ref="G40:G46" si="8">G39</f>
        <v>25</v>
      </c>
      <c r="H40" s="1029">
        <f t="shared" si="3"/>
        <v>10</v>
      </c>
      <c r="I40" s="1029">
        <f t="shared" si="4"/>
        <v>30</v>
      </c>
      <c r="J40" s="1029">
        <f t="shared" si="1"/>
        <v>40</v>
      </c>
      <c r="K40" s="1029">
        <f t="shared" si="5"/>
        <v>40</v>
      </c>
      <c r="L40" s="1033">
        <f t="shared" si="7"/>
        <v>0</v>
      </c>
      <c r="M40" s="1033">
        <f t="shared" si="7"/>
        <v>0</v>
      </c>
      <c r="N40" s="755"/>
      <c r="O40" s="755"/>
      <c r="P40" s="755"/>
      <c r="Q40" s="755"/>
      <c r="R40" s="755"/>
      <c r="S40" s="755"/>
      <c r="T40" s="755"/>
      <c r="U40" s="755"/>
      <c r="V40" s="755"/>
    </row>
    <row r="41" spans="1:22">
      <c r="A41" s="1027">
        <f t="shared" si="6"/>
        <v>45208</v>
      </c>
      <c r="B41">
        <v>93</v>
      </c>
      <c r="D41">
        <f t="shared" si="2"/>
        <v>53.142857142857146</v>
      </c>
      <c r="F41" s="1028" t="s">
        <v>1157</v>
      </c>
      <c r="G41" s="1029">
        <f t="shared" si="8"/>
        <v>25</v>
      </c>
      <c r="H41" s="1029">
        <f t="shared" si="3"/>
        <v>10</v>
      </c>
      <c r="I41" s="1029">
        <f t="shared" si="4"/>
        <v>30</v>
      </c>
      <c r="J41" s="1029">
        <f t="shared" si="1"/>
        <v>40</v>
      </c>
      <c r="K41" s="1029">
        <f t="shared" si="5"/>
        <v>40</v>
      </c>
      <c r="L41" s="1033">
        <f t="shared" si="7"/>
        <v>0</v>
      </c>
      <c r="M41" s="1033">
        <f t="shared" si="7"/>
        <v>0</v>
      </c>
      <c r="N41" s="755"/>
      <c r="O41" s="755"/>
      <c r="P41" s="755"/>
      <c r="Q41" s="755"/>
      <c r="R41" s="755"/>
      <c r="S41" s="755"/>
      <c r="T41" s="755"/>
      <c r="U41" s="755"/>
      <c r="V41" s="755"/>
    </row>
    <row r="42" spans="1:22">
      <c r="A42" s="1027">
        <f t="shared" si="6"/>
        <v>45239</v>
      </c>
      <c r="B42">
        <v>84</v>
      </c>
      <c r="D42">
        <f t="shared" si="2"/>
        <v>48</v>
      </c>
      <c r="F42" s="1028" t="s">
        <v>1158</v>
      </c>
      <c r="G42" s="1029">
        <f t="shared" si="8"/>
        <v>25</v>
      </c>
      <c r="H42" s="1029">
        <f t="shared" si="3"/>
        <v>10</v>
      </c>
      <c r="I42" s="1029">
        <f t="shared" si="4"/>
        <v>30</v>
      </c>
      <c r="J42" s="1029">
        <f t="shared" si="1"/>
        <v>40</v>
      </c>
      <c r="K42" s="1029">
        <f t="shared" si="5"/>
        <v>40</v>
      </c>
      <c r="L42" s="1033">
        <f t="shared" si="7"/>
        <v>0</v>
      </c>
      <c r="M42" s="1033">
        <f t="shared" si="7"/>
        <v>0</v>
      </c>
      <c r="N42" s="755"/>
      <c r="O42" s="755"/>
      <c r="P42" s="755"/>
      <c r="Q42" s="755"/>
      <c r="R42" s="755"/>
      <c r="S42" s="755"/>
      <c r="T42" s="755"/>
      <c r="U42" s="755"/>
      <c r="V42" s="755"/>
    </row>
    <row r="43" spans="1:22">
      <c r="A43" s="1027">
        <f t="shared" si="6"/>
        <v>45270</v>
      </c>
      <c r="B43">
        <v>85</v>
      </c>
      <c r="D43">
        <f t="shared" si="2"/>
        <v>48.571428571428569</v>
      </c>
      <c r="F43" s="1028" t="s">
        <v>1159</v>
      </c>
      <c r="G43" s="1029">
        <f t="shared" si="8"/>
        <v>25</v>
      </c>
      <c r="H43" s="1029">
        <f t="shared" si="3"/>
        <v>10</v>
      </c>
      <c r="I43" s="1029">
        <f t="shared" si="4"/>
        <v>30</v>
      </c>
      <c r="J43" s="1029">
        <f t="shared" si="1"/>
        <v>40</v>
      </c>
      <c r="K43" s="1029">
        <f t="shared" si="5"/>
        <v>40</v>
      </c>
      <c r="L43" s="1033">
        <f t="shared" si="7"/>
        <v>0</v>
      </c>
      <c r="M43" s="1033">
        <f t="shared" si="7"/>
        <v>0</v>
      </c>
      <c r="N43" s="755"/>
      <c r="O43" s="755"/>
      <c r="P43" s="755"/>
      <c r="Q43" s="755"/>
      <c r="R43" s="755"/>
      <c r="S43" s="755"/>
      <c r="T43" s="755"/>
      <c r="U43" s="755"/>
      <c r="V43" s="755"/>
    </row>
    <row r="44" spans="1:22">
      <c r="A44" s="1027">
        <f t="shared" si="6"/>
        <v>45301</v>
      </c>
      <c r="B44">
        <v>100</v>
      </c>
      <c r="D44">
        <f t="shared" si="2"/>
        <v>57.142857142857146</v>
      </c>
      <c r="F44" s="1028" t="s">
        <v>1160</v>
      </c>
      <c r="G44" s="1029">
        <f t="shared" si="8"/>
        <v>25</v>
      </c>
      <c r="H44" s="1029">
        <f t="shared" si="3"/>
        <v>10</v>
      </c>
      <c r="I44" s="1029">
        <f t="shared" si="4"/>
        <v>30</v>
      </c>
      <c r="J44" s="1029">
        <f t="shared" si="1"/>
        <v>40</v>
      </c>
      <c r="K44" s="1029">
        <f t="shared" si="5"/>
        <v>40</v>
      </c>
      <c r="L44" s="1033">
        <f t="shared" si="7"/>
        <v>0</v>
      </c>
      <c r="M44" s="1033">
        <f t="shared" si="7"/>
        <v>0</v>
      </c>
      <c r="N44" s="755"/>
      <c r="O44" s="755"/>
      <c r="P44" s="755"/>
      <c r="Q44" s="755"/>
      <c r="R44" s="755"/>
      <c r="S44" s="755"/>
      <c r="T44" s="755"/>
      <c r="U44" s="755"/>
      <c r="V44" s="755"/>
    </row>
    <row r="45" spans="1:22">
      <c r="A45" s="1027">
        <f t="shared" si="6"/>
        <v>45332</v>
      </c>
      <c r="B45">
        <v>100</v>
      </c>
      <c r="D45">
        <f t="shared" si="2"/>
        <v>57.142857142857146</v>
      </c>
      <c r="F45" s="1028" t="s">
        <v>1161</v>
      </c>
      <c r="G45" s="1029">
        <f t="shared" si="8"/>
        <v>25</v>
      </c>
      <c r="H45" s="1029">
        <f t="shared" si="3"/>
        <v>10</v>
      </c>
      <c r="I45" s="1029">
        <f t="shared" si="4"/>
        <v>30</v>
      </c>
      <c r="J45" s="1029">
        <f t="shared" si="1"/>
        <v>40</v>
      </c>
      <c r="K45" s="1029">
        <f t="shared" si="5"/>
        <v>40</v>
      </c>
      <c r="L45" s="1033">
        <f t="shared" si="7"/>
        <v>0</v>
      </c>
      <c r="M45" s="1033">
        <f t="shared" si="7"/>
        <v>0</v>
      </c>
      <c r="N45" s="755"/>
      <c r="O45" s="755"/>
      <c r="P45" s="755"/>
      <c r="Q45" s="755"/>
      <c r="R45" s="755"/>
      <c r="S45" s="755"/>
      <c r="T45" s="755"/>
      <c r="U45" s="755"/>
      <c r="V45" s="755"/>
    </row>
    <row r="46" spans="1:22">
      <c r="A46" s="1027">
        <f t="shared" si="6"/>
        <v>45363</v>
      </c>
      <c r="B46">
        <f t="shared" ref="B46:B50" si="9">B45</f>
        <v>100</v>
      </c>
      <c r="D46">
        <f t="shared" si="2"/>
        <v>57.142857142857146</v>
      </c>
      <c r="F46" s="1028" t="s">
        <v>1162</v>
      </c>
      <c r="G46" s="1029">
        <f t="shared" si="8"/>
        <v>25</v>
      </c>
      <c r="H46" s="1029">
        <f t="shared" si="3"/>
        <v>10</v>
      </c>
      <c r="I46" s="1029">
        <f t="shared" si="4"/>
        <v>30</v>
      </c>
      <c r="J46" s="1029">
        <f t="shared" si="1"/>
        <v>40</v>
      </c>
      <c r="K46" s="1029">
        <f t="shared" si="5"/>
        <v>40</v>
      </c>
      <c r="L46" s="1033">
        <f t="shared" si="7"/>
        <v>0</v>
      </c>
      <c r="M46" s="1033">
        <f t="shared" si="7"/>
        <v>0</v>
      </c>
      <c r="N46" s="755"/>
      <c r="O46" s="755"/>
      <c r="P46" s="755"/>
      <c r="Q46" s="755"/>
      <c r="R46" s="755"/>
      <c r="S46" s="755"/>
      <c r="T46" s="755"/>
      <c r="U46" s="755"/>
      <c r="V46" s="755"/>
    </row>
    <row r="47" spans="1:22">
      <c r="A47" s="1027">
        <f t="shared" si="6"/>
        <v>45394</v>
      </c>
      <c r="B47">
        <f t="shared" si="9"/>
        <v>100</v>
      </c>
      <c r="D47">
        <f t="shared" si="2"/>
        <v>57.142857142857146</v>
      </c>
      <c r="F47" s="1024"/>
      <c r="G47" s="1029"/>
      <c r="H47" s="1024"/>
      <c r="I47" s="1024"/>
      <c r="J47" s="1029">
        <f>SUM(J27:J46)</f>
        <v>1007.6190476190477</v>
      </c>
      <c r="K47" s="1029">
        <f>SUM(K27:K46)</f>
        <v>1022.6761904761905</v>
      </c>
      <c r="L47" s="1033">
        <f t="shared" si="7"/>
        <v>967.61904761904771</v>
      </c>
      <c r="M47" s="1033">
        <f t="shared" si="7"/>
        <v>982.67619047619053</v>
      </c>
      <c r="N47" s="755"/>
      <c r="O47" s="755"/>
      <c r="P47" s="755"/>
      <c r="Q47" s="755"/>
      <c r="R47" s="755"/>
      <c r="S47" s="755"/>
      <c r="T47" s="755"/>
      <c r="U47" s="755"/>
      <c r="V47" s="755"/>
    </row>
    <row r="48" spans="1:22">
      <c r="A48" s="1027">
        <f t="shared" si="6"/>
        <v>45425</v>
      </c>
      <c r="B48">
        <f t="shared" si="9"/>
        <v>100</v>
      </c>
      <c r="D48">
        <f t="shared" si="2"/>
        <v>57.142857142857146</v>
      </c>
      <c r="G48" s="180"/>
      <c r="H48" s="180"/>
      <c r="I48" s="180"/>
      <c r="K48" s="180" t="s">
        <v>323</v>
      </c>
      <c r="L48" s="755"/>
      <c r="M48" s="755"/>
      <c r="N48" s="755"/>
      <c r="O48" s="755"/>
      <c r="P48" s="755"/>
      <c r="Q48" s="755"/>
      <c r="R48" s="755"/>
      <c r="S48" s="755"/>
      <c r="T48" s="755"/>
      <c r="U48" s="755"/>
      <c r="V48" s="755"/>
    </row>
    <row r="49" spans="1:22">
      <c r="A49" s="1027">
        <f t="shared" si="6"/>
        <v>45456</v>
      </c>
      <c r="B49">
        <f t="shared" si="9"/>
        <v>100</v>
      </c>
      <c r="D49">
        <f t="shared" si="2"/>
        <v>57.142857142857146</v>
      </c>
      <c r="G49" s="180"/>
      <c r="K49" s="180"/>
      <c r="L49" s="755"/>
      <c r="M49" s="755"/>
      <c r="N49" s="755"/>
      <c r="O49" s="755"/>
      <c r="P49" s="755"/>
      <c r="Q49" s="755"/>
      <c r="R49" s="755"/>
      <c r="S49" s="755"/>
      <c r="T49" s="755"/>
      <c r="U49" s="755"/>
      <c r="V49" s="755"/>
    </row>
    <row r="50" spans="1:22">
      <c r="A50" s="1027">
        <f t="shared" si="6"/>
        <v>45487</v>
      </c>
      <c r="B50">
        <f t="shared" si="9"/>
        <v>100</v>
      </c>
      <c r="D50">
        <f t="shared" si="2"/>
        <v>57.142857142857146</v>
      </c>
      <c r="G50" s="180"/>
      <c r="K50" s="180"/>
      <c r="L50" s="755"/>
      <c r="M50" s="755"/>
      <c r="N50" s="755"/>
      <c r="O50" s="755"/>
      <c r="P50" s="755"/>
      <c r="Q50" s="755"/>
      <c r="R50" s="755"/>
      <c r="S50" s="755"/>
      <c r="T50" s="755"/>
      <c r="U50" s="755"/>
      <c r="V50" s="755"/>
    </row>
    <row r="51" spans="1:22">
      <c r="A51" s="1027">
        <f t="shared" si="6"/>
        <v>45518</v>
      </c>
      <c r="B51">
        <v>85</v>
      </c>
      <c r="D51">
        <f t="shared" si="2"/>
        <v>48.571428571428569</v>
      </c>
      <c r="G51" s="180"/>
      <c r="K51" s="180"/>
      <c r="L51" s="755"/>
      <c r="M51" s="755"/>
      <c r="N51" s="755"/>
      <c r="O51" s="755"/>
      <c r="P51" s="755"/>
      <c r="Q51" s="755"/>
      <c r="R51" s="755"/>
      <c r="S51" s="755"/>
      <c r="T51" s="755"/>
      <c r="U51" s="755"/>
      <c r="V51" s="755"/>
    </row>
    <row r="52" spans="1:22">
      <c r="A52" s="1027">
        <f t="shared" si="6"/>
        <v>45549</v>
      </c>
      <c r="B52">
        <v>83</v>
      </c>
      <c r="D52">
        <f t="shared" si="2"/>
        <v>47.428571428571431</v>
      </c>
      <c r="G52" s="180"/>
      <c r="K52" s="180"/>
      <c r="L52" s="755"/>
      <c r="M52" s="755"/>
      <c r="N52" s="755"/>
      <c r="O52" s="755"/>
      <c r="P52" s="755"/>
      <c r="Q52" s="755"/>
      <c r="R52" s="755"/>
      <c r="S52" s="755"/>
      <c r="T52" s="755"/>
      <c r="U52" s="755"/>
      <c r="V52" s="755"/>
    </row>
    <row r="53" spans="1:22">
      <c r="A53" s="1027">
        <f t="shared" si="6"/>
        <v>45580</v>
      </c>
      <c r="B53">
        <v>81</v>
      </c>
      <c r="D53">
        <f t="shared" si="2"/>
        <v>46.285714285714285</v>
      </c>
      <c r="G53" s="180"/>
      <c r="K53" s="180"/>
      <c r="L53" s="755"/>
      <c r="M53" s="755"/>
      <c r="N53" s="755"/>
      <c r="O53" s="755"/>
      <c r="P53" s="755"/>
      <c r="Q53" s="755"/>
      <c r="R53" s="755"/>
      <c r="S53" s="755"/>
      <c r="T53" s="755"/>
      <c r="U53" s="755"/>
      <c r="V53" s="755"/>
    </row>
    <row r="54" spans="1:22">
      <c r="A54" s="1027">
        <f t="shared" si="6"/>
        <v>45611</v>
      </c>
      <c r="B54">
        <v>79</v>
      </c>
      <c r="D54">
        <f t="shared" si="2"/>
        <v>45.142857142857146</v>
      </c>
      <c r="G54" s="180"/>
      <c r="K54" s="180"/>
      <c r="L54" s="755"/>
      <c r="M54" s="755"/>
      <c r="N54" s="755"/>
      <c r="O54" s="755"/>
      <c r="P54" s="755"/>
      <c r="Q54" s="755"/>
      <c r="R54" s="755"/>
      <c r="S54" s="755"/>
      <c r="T54" s="755"/>
      <c r="U54" s="755"/>
      <c r="V54" s="755"/>
    </row>
    <row r="55" spans="1:22">
      <c r="A55" s="1027">
        <f t="shared" si="6"/>
        <v>45642</v>
      </c>
      <c r="B55">
        <v>77</v>
      </c>
      <c r="D55">
        <f t="shared" si="2"/>
        <v>44</v>
      </c>
      <c r="G55" s="180"/>
      <c r="K55" s="180"/>
      <c r="L55" s="755"/>
      <c r="M55" s="755"/>
      <c r="N55" s="755"/>
      <c r="O55" s="755"/>
      <c r="P55" s="755"/>
      <c r="Q55" s="755"/>
      <c r="R55" s="755"/>
      <c r="S55" s="755"/>
      <c r="T55" s="755"/>
      <c r="U55" s="755"/>
      <c r="V55" s="755"/>
    </row>
    <row r="56" spans="1:22">
      <c r="A56" s="1027">
        <f t="shared" si="6"/>
        <v>45673</v>
      </c>
      <c r="B56">
        <v>50</v>
      </c>
      <c r="D56">
        <f t="shared" si="2"/>
        <v>28.571428571428573</v>
      </c>
      <c r="G56" s="180"/>
      <c r="K56" s="180"/>
      <c r="L56" s="755"/>
      <c r="M56" s="755"/>
      <c r="N56" s="755"/>
      <c r="O56" s="755"/>
      <c r="P56" s="755"/>
      <c r="Q56" s="755"/>
      <c r="R56" s="755"/>
      <c r="S56" s="755"/>
      <c r="T56" s="755"/>
      <c r="U56" s="755"/>
      <c r="V56" s="755"/>
    </row>
    <row r="57" spans="1:22">
      <c r="A57" s="1027">
        <f t="shared" si="6"/>
        <v>45704</v>
      </c>
      <c r="B57">
        <v>44</v>
      </c>
      <c r="D57">
        <f t="shared" si="2"/>
        <v>25.142857142857142</v>
      </c>
      <c r="G57" s="180"/>
      <c r="K57" s="180"/>
      <c r="L57" s="755"/>
      <c r="M57" s="755"/>
      <c r="N57" s="755"/>
      <c r="O57" s="755"/>
      <c r="P57" s="755"/>
      <c r="Q57" s="755"/>
      <c r="R57" s="755"/>
      <c r="S57" s="755"/>
      <c r="T57" s="755"/>
      <c r="U57" s="755"/>
      <c r="V57" s="755"/>
    </row>
    <row r="58" spans="1:22">
      <c r="A58" s="1027">
        <f t="shared" si="6"/>
        <v>45735</v>
      </c>
      <c r="B58">
        <v>36</v>
      </c>
      <c r="D58">
        <f t="shared" si="2"/>
        <v>20.571428571428573</v>
      </c>
      <c r="G58" s="180"/>
      <c r="K58" s="180"/>
      <c r="L58" s="755"/>
      <c r="M58" s="755"/>
      <c r="N58" s="755"/>
      <c r="O58" s="755"/>
      <c r="P58" s="755"/>
      <c r="Q58" s="755"/>
      <c r="R58" s="755"/>
      <c r="S58" s="755"/>
      <c r="T58" s="755"/>
      <c r="U58" s="755"/>
      <c r="V58" s="755"/>
    </row>
    <row r="59" spans="1:22">
      <c r="A59" s="1027">
        <f t="shared" si="6"/>
        <v>45766</v>
      </c>
      <c r="B59">
        <v>26</v>
      </c>
      <c r="D59">
        <f t="shared" si="2"/>
        <v>14.857142857142858</v>
      </c>
      <c r="G59" s="180"/>
      <c r="K59" s="180"/>
      <c r="L59" s="755"/>
      <c r="M59" s="755"/>
      <c r="N59" s="755"/>
      <c r="O59" s="755"/>
      <c r="P59" s="755"/>
      <c r="Q59" s="755"/>
      <c r="R59" s="755"/>
      <c r="S59" s="755"/>
      <c r="T59" s="755"/>
      <c r="U59" s="755"/>
      <c r="V59" s="755"/>
    </row>
    <row r="60" spans="1:22">
      <c r="A60" s="1027">
        <f t="shared" si="6"/>
        <v>45797</v>
      </c>
      <c r="B60">
        <v>25</v>
      </c>
      <c r="D60">
        <f t="shared" si="2"/>
        <v>14.285714285714286</v>
      </c>
      <c r="G60" s="180"/>
      <c r="K60" s="180"/>
      <c r="L60" s="755"/>
      <c r="M60" s="755"/>
      <c r="N60" s="755"/>
      <c r="O60" s="755"/>
      <c r="P60" s="755"/>
      <c r="Q60" s="755"/>
      <c r="R60" s="755"/>
      <c r="S60" s="755"/>
      <c r="T60" s="755"/>
      <c r="U60" s="755"/>
      <c r="V60" s="755"/>
    </row>
    <row r="61" spans="1:22">
      <c r="A61" s="1027">
        <f t="shared" si="6"/>
        <v>45828</v>
      </c>
      <c r="B61">
        <v>24</v>
      </c>
      <c r="D61">
        <f t="shared" si="2"/>
        <v>13.714285714285714</v>
      </c>
      <c r="G61" s="180"/>
      <c r="K61" s="180"/>
      <c r="L61" s="755"/>
      <c r="M61" s="755"/>
      <c r="N61" s="755"/>
      <c r="O61" s="755"/>
      <c r="P61" s="755"/>
      <c r="Q61" s="755"/>
      <c r="R61" s="755"/>
      <c r="S61" s="755"/>
      <c r="T61" s="755"/>
      <c r="U61" s="755"/>
      <c r="V61" s="755"/>
    </row>
    <row r="62" spans="1:22">
      <c r="L62" s="755"/>
      <c r="M62" s="755"/>
      <c r="N62" s="755"/>
      <c r="O62" s="755"/>
      <c r="P62" s="755"/>
      <c r="Q62" s="755"/>
      <c r="R62" s="755"/>
      <c r="S62" s="755"/>
      <c r="T62" s="755"/>
      <c r="U62" s="755"/>
      <c r="V62" s="755"/>
    </row>
    <row r="63" spans="1:22">
      <c r="L63" s="755"/>
      <c r="M63" s="755"/>
      <c r="N63" s="755"/>
      <c r="O63" s="755"/>
      <c r="P63" s="755"/>
      <c r="Q63" s="755"/>
      <c r="R63" s="755"/>
      <c r="S63" s="755"/>
      <c r="T63" s="755"/>
      <c r="U63" s="755"/>
      <c r="V63" s="755"/>
    </row>
    <row r="64" spans="1:22">
      <c r="A64" t="s">
        <v>1874</v>
      </c>
      <c r="L64" s="755"/>
      <c r="M64" s="755"/>
      <c r="N64" s="755"/>
      <c r="O64" s="755"/>
      <c r="P64" s="755"/>
      <c r="Q64" s="755"/>
      <c r="R64" s="755"/>
      <c r="S64" s="755"/>
      <c r="T64" s="755"/>
      <c r="U64" s="755"/>
      <c r="V64" s="755"/>
    </row>
    <row r="65" spans="1:22">
      <c r="L65" s="755"/>
      <c r="M65" s="755"/>
      <c r="N65" s="755"/>
      <c r="O65" s="755"/>
      <c r="P65" s="755"/>
      <c r="Q65" s="755"/>
      <c r="R65" s="755"/>
      <c r="S65" s="755"/>
      <c r="T65" s="755"/>
      <c r="U65" s="755"/>
      <c r="V65" s="755"/>
    </row>
    <row r="66" spans="1:22" ht="333.65" customHeight="1">
      <c r="A66" t="s">
        <v>1875</v>
      </c>
      <c r="B66" s="14" t="s">
        <v>1876</v>
      </c>
      <c r="C66" s="917" t="s">
        <v>1877</v>
      </c>
      <c r="D66" s="14"/>
      <c r="L66" s="755"/>
      <c r="M66" s="755"/>
      <c r="N66" s="755"/>
      <c r="O66" s="755"/>
      <c r="P66" s="755"/>
      <c r="Q66" s="755"/>
      <c r="R66" s="755"/>
      <c r="S66" s="755"/>
      <c r="T66" s="755"/>
      <c r="U66" s="755"/>
      <c r="V66" s="755"/>
    </row>
    <row r="67" spans="1:22">
      <c r="L67" s="755"/>
      <c r="M67" s="755"/>
      <c r="N67" s="755"/>
      <c r="O67" s="755"/>
      <c r="P67" s="755"/>
      <c r="Q67" s="755"/>
      <c r="R67" s="755"/>
      <c r="S67" s="755"/>
      <c r="T67" s="755"/>
      <c r="U67" s="755"/>
      <c r="V67" s="755"/>
    </row>
    <row r="68" spans="1:22">
      <c r="A68" t="s">
        <v>1878</v>
      </c>
      <c r="C68" s="1030"/>
      <c r="L68" s="755"/>
      <c r="M68" s="755"/>
      <c r="N68" s="755"/>
      <c r="O68" s="755"/>
      <c r="P68" s="755"/>
      <c r="Q68" s="755"/>
      <c r="R68" s="755"/>
      <c r="S68" s="755"/>
      <c r="T68" s="755"/>
      <c r="U68" s="755"/>
      <c r="V68" s="755"/>
    </row>
    <row r="69" spans="1:22">
      <c r="A69" t="s">
        <v>1879</v>
      </c>
      <c r="B69" t="s">
        <v>1875</v>
      </c>
      <c r="C69" s="1030" t="s">
        <v>1880</v>
      </c>
      <c r="D69" s="1030" t="s">
        <v>1881</v>
      </c>
      <c r="L69" s="755"/>
      <c r="M69" s="755"/>
      <c r="N69" s="755"/>
      <c r="O69" s="755"/>
      <c r="P69" s="755"/>
      <c r="Q69" s="755"/>
      <c r="R69" s="755"/>
      <c r="S69" s="755"/>
      <c r="T69" s="755"/>
      <c r="U69" s="755"/>
      <c r="V69" s="755"/>
    </row>
    <row r="70" spans="1:22">
      <c r="A70" s="1031">
        <v>44562</v>
      </c>
      <c r="B70" s="280">
        <v>58.637</v>
      </c>
      <c r="C70" s="1032">
        <v>87.938999999999993</v>
      </c>
      <c r="D70">
        <f>C70/B70</f>
        <v>1.4997186077050326</v>
      </c>
      <c r="L70" s="755"/>
      <c r="M70" s="755"/>
      <c r="N70" s="755"/>
      <c r="O70" s="755"/>
      <c r="P70" s="755"/>
      <c r="Q70" s="755"/>
      <c r="R70" s="755"/>
      <c r="S70" s="755"/>
      <c r="T70" s="755"/>
      <c r="U70" s="755"/>
      <c r="V70" s="755"/>
    </row>
    <row r="71" spans="1:22">
      <c r="A71" s="1031">
        <v>44652</v>
      </c>
      <c r="B71" s="280">
        <v>56.826000000000001</v>
      </c>
      <c r="C71" s="1032">
        <v>90.418999999999997</v>
      </c>
      <c r="D71">
        <f t="shared" ref="D71:D75" si="10">C71/B71</f>
        <v>1.5911554570091155</v>
      </c>
      <c r="L71" s="755"/>
      <c r="M71" s="755"/>
      <c r="N71" s="755"/>
      <c r="O71" s="755"/>
      <c r="P71" s="755"/>
      <c r="Q71" s="755"/>
      <c r="R71" s="755"/>
      <c r="S71" s="755"/>
      <c r="T71" s="755"/>
      <c r="U71" s="755"/>
      <c r="V71" s="755"/>
    </row>
    <row r="72" spans="1:22">
      <c r="A72" s="1031">
        <v>44743</v>
      </c>
      <c r="B72" s="280">
        <v>59.756999999999998</v>
      </c>
      <c r="C72" s="1032">
        <v>101.727</v>
      </c>
      <c r="D72">
        <f t="shared" si="10"/>
        <v>1.7023444952055828</v>
      </c>
      <c r="L72" s="755"/>
      <c r="M72" s="755"/>
      <c r="N72" s="755"/>
      <c r="O72" s="755"/>
      <c r="P72" s="755"/>
      <c r="Q72" s="755"/>
      <c r="R72" s="755"/>
      <c r="S72" s="755"/>
      <c r="T72" s="755"/>
      <c r="U72" s="755"/>
      <c r="V72" s="755"/>
    </row>
    <row r="73" spans="1:22">
      <c r="A73" s="1031">
        <v>44835</v>
      </c>
      <c r="B73" s="280">
        <v>64.33</v>
      </c>
      <c r="C73" s="1032">
        <v>112.18300000000001</v>
      </c>
      <c r="D73">
        <f t="shared" si="10"/>
        <v>1.7438675579045548</v>
      </c>
      <c r="L73" s="755"/>
      <c r="M73" s="755"/>
      <c r="N73" s="755"/>
      <c r="O73" s="755"/>
      <c r="P73" s="755"/>
      <c r="Q73" s="755"/>
      <c r="R73" s="755"/>
      <c r="S73" s="755"/>
      <c r="T73" s="755"/>
      <c r="U73" s="755"/>
      <c r="V73" s="755"/>
    </row>
    <row r="74" spans="1:22">
      <c r="A74" s="1031">
        <v>44927</v>
      </c>
      <c r="B74" s="280">
        <v>74.295000000000002</v>
      </c>
      <c r="C74" s="1032">
        <v>131.22999999999999</v>
      </c>
      <c r="D74">
        <f t="shared" si="10"/>
        <v>1.7663369001951676</v>
      </c>
      <c r="L74" s="755"/>
      <c r="M74" s="755"/>
      <c r="N74" s="755"/>
      <c r="O74" s="755"/>
      <c r="P74" s="755"/>
      <c r="Q74" s="755"/>
      <c r="R74" s="755"/>
      <c r="S74" s="755"/>
      <c r="T74" s="755"/>
      <c r="U74" s="755"/>
      <c r="V74" s="755"/>
    </row>
    <row r="75" spans="1:22">
      <c r="A75" s="1031">
        <v>45017</v>
      </c>
      <c r="B75" s="280">
        <v>87.679000000000002</v>
      </c>
      <c r="C75" s="1032">
        <v>153.18799999999999</v>
      </c>
      <c r="D75">
        <f t="shared" si="10"/>
        <v>1.7471458387983438</v>
      </c>
      <c r="L75" s="755"/>
      <c r="M75" s="755"/>
      <c r="N75" s="755"/>
      <c r="O75" s="755"/>
      <c r="P75" s="755"/>
      <c r="Q75" s="755"/>
      <c r="R75" s="755"/>
      <c r="S75" s="755"/>
      <c r="T75" s="755"/>
      <c r="U75" s="755"/>
      <c r="V75" s="755"/>
    </row>
    <row r="76" spans="1:22">
      <c r="A76" s="755"/>
      <c r="B76" s="755"/>
      <c r="C76" s="755"/>
      <c r="D76" s="755"/>
      <c r="E76" s="755"/>
      <c r="F76" s="755"/>
      <c r="G76" s="755"/>
      <c r="H76" s="755"/>
      <c r="I76" s="755"/>
      <c r="J76" s="755"/>
      <c r="K76" s="755"/>
      <c r="L76" s="755"/>
      <c r="M76" s="755"/>
      <c r="N76" s="755"/>
      <c r="O76" s="755"/>
      <c r="P76" s="755"/>
      <c r="Q76" s="755"/>
      <c r="R76" s="755"/>
      <c r="S76" s="755"/>
      <c r="T76" s="755"/>
      <c r="U76" s="755"/>
      <c r="V76" s="755"/>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cols>
    <col min="3" max="3" width="33.81640625" customWidth="1"/>
  </cols>
  <sheetData>
    <row r="3" spans="1:17">
      <c r="A3" s="871" t="s">
        <v>521</v>
      </c>
      <c r="B3" s="240"/>
    </row>
    <row r="4" spans="1:17">
      <c r="A4" s="1035" t="s">
        <v>522</v>
      </c>
      <c r="B4" s="1036"/>
      <c r="C4" s="1036"/>
    </row>
    <row r="7" spans="1:17">
      <c r="A7" s="1441" t="s">
        <v>523</v>
      </c>
      <c r="B7" s="1442"/>
      <c r="C7" s="1442"/>
      <c r="D7" s="1442"/>
      <c r="E7" s="1442"/>
      <c r="F7" s="1442"/>
      <c r="G7" s="1442"/>
      <c r="H7" s="1442"/>
      <c r="I7" s="1442"/>
      <c r="J7" s="1442"/>
      <c r="K7" s="1442"/>
      <c r="L7" s="1442"/>
      <c r="M7" s="1442"/>
      <c r="N7" s="1442"/>
      <c r="O7" s="1442"/>
      <c r="P7" s="1442"/>
    </row>
    <row r="8" spans="1:17">
      <c r="A8" s="358" t="s">
        <v>524</v>
      </c>
      <c r="B8" s="358"/>
      <c r="C8" s="358"/>
      <c r="D8" s="1040"/>
      <c r="E8" s="358"/>
      <c r="F8" s="358"/>
      <c r="G8" s="358"/>
      <c r="H8" s="358"/>
      <c r="I8" s="358"/>
      <c r="J8" s="358"/>
      <c r="K8" s="358"/>
      <c r="L8" s="358"/>
      <c r="M8" s="358"/>
      <c r="N8" s="358"/>
      <c r="O8" s="358"/>
      <c r="P8" s="358"/>
    </row>
    <row r="9" spans="1:17">
      <c r="A9" s="240"/>
      <c r="B9" s="240"/>
      <c r="C9" s="240"/>
      <c r="D9" s="736"/>
      <c r="E9" s="240"/>
      <c r="F9" s="240"/>
      <c r="G9" s="240"/>
      <c r="H9" s="240"/>
      <c r="I9" s="240"/>
      <c r="J9" s="240"/>
      <c r="K9" s="240"/>
      <c r="L9" s="240"/>
      <c r="M9" s="240"/>
      <c r="N9" s="240"/>
      <c r="O9" s="240"/>
      <c r="P9" s="240"/>
    </row>
    <row r="10" spans="1:17">
      <c r="A10" s="240"/>
      <c r="B10" s="240"/>
      <c r="C10" s="240"/>
      <c r="D10" s="736"/>
      <c r="E10" s="240"/>
      <c r="F10" s="240"/>
      <c r="G10" s="240"/>
      <c r="H10" s="240"/>
      <c r="I10" s="240"/>
      <c r="J10" s="240"/>
      <c r="K10" s="240"/>
      <c r="L10" s="240"/>
      <c r="M10" s="240"/>
      <c r="N10" s="240"/>
      <c r="O10" s="1443" t="s">
        <v>312</v>
      </c>
      <c r="P10" s="1443"/>
    </row>
    <row r="11" spans="1:17">
      <c r="A11" s="240"/>
      <c r="B11" s="240"/>
      <c r="C11" s="717"/>
      <c r="D11" s="266"/>
      <c r="E11" s="717"/>
      <c r="F11" s="717"/>
      <c r="G11" s="717"/>
      <c r="H11" s="717"/>
      <c r="I11" s="717"/>
      <c r="J11" s="717"/>
      <c r="K11" s="717"/>
      <c r="L11" s="717"/>
      <c r="M11" s="717"/>
      <c r="N11" s="717"/>
      <c r="O11" s="1039" t="s">
        <v>525</v>
      </c>
      <c r="P11" s="1039" t="s">
        <v>525</v>
      </c>
    </row>
    <row r="12" spans="1:17">
      <c r="A12" s="358"/>
      <c r="B12" s="358"/>
      <c r="C12" s="358"/>
      <c r="D12" s="1040">
        <v>2020</v>
      </c>
      <c r="E12" s="1040">
        <v>2021</v>
      </c>
      <c r="F12" s="1040">
        <v>2022</v>
      </c>
      <c r="G12" s="1040">
        <v>2023</v>
      </c>
      <c r="H12" s="1040">
        <v>2024</v>
      </c>
      <c r="I12" s="1040">
        <v>2025</v>
      </c>
      <c r="J12" s="1040">
        <v>2026</v>
      </c>
      <c r="K12" s="1040">
        <v>2027</v>
      </c>
      <c r="L12" s="1040">
        <v>2028</v>
      </c>
      <c r="M12" s="1040">
        <v>2029</v>
      </c>
      <c r="N12" s="1040">
        <v>2030</v>
      </c>
      <c r="O12" s="837">
        <v>2025</v>
      </c>
      <c r="P12" s="837">
        <v>2030</v>
      </c>
    </row>
    <row r="13" spans="1:17">
      <c r="A13" s="717" t="s">
        <v>526</v>
      </c>
      <c r="B13" s="717"/>
      <c r="C13" s="717"/>
      <c r="D13" s="630">
        <v>540.56299999999999</v>
      </c>
      <c r="E13" s="630">
        <v>0</v>
      </c>
      <c r="F13" s="630">
        <v>0</v>
      </c>
      <c r="G13" s="630">
        <v>0</v>
      </c>
      <c r="H13" s="630">
        <v>0</v>
      </c>
      <c r="I13" s="630">
        <v>0</v>
      </c>
      <c r="J13" s="630">
        <v>0</v>
      </c>
      <c r="K13" s="630">
        <v>0</v>
      </c>
      <c r="L13" s="630">
        <v>0</v>
      </c>
      <c r="M13" s="630">
        <v>0</v>
      </c>
      <c r="N13" s="630">
        <v>0</v>
      </c>
      <c r="O13" s="630">
        <v>0</v>
      </c>
      <c r="P13" s="630">
        <v>0</v>
      </c>
      <c r="Q13" t="s">
        <v>50</v>
      </c>
    </row>
    <row r="14" spans="1:17">
      <c r="A14" s="240" t="s">
        <v>527</v>
      </c>
      <c r="B14" s="240"/>
      <c r="C14" s="240"/>
      <c r="D14" s="266"/>
      <c r="E14" s="717"/>
      <c r="F14" s="717"/>
      <c r="G14" s="717"/>
      <c r="H14" s="717"/>
      <c r="I14" s="717"/>
      <c r="J14" s="717"/>
      <c r="K14" s="717"/>
      <c r="L14" s="717"/>
      <c r="M14" s="717"/>
      <c r="N14" s="717"/>
      <c r="O14" s="717"/>
      <c r="P14" s="717"/>
      <c r="Q14" t="s">
        <v>528</v>
      </c>
    </row>
    <row r="15" spans="1:17">
      <c r="A15" s="240"/>
      <c r="B15" s="240" t="s">
        <v>529</v>
      </c>
      <c r="C15" s="240"/>
      <c r="D15" s="266">
        <v>285.56</v>
      </c>
      <c r="E15" s="266">
        <v>5</v>
      </c>
      <c r="F15" s="266">
        <v>0</v>
      </c>
      <c r="G15" s="266">
        <v>0</v>
      </c>
      <c r="H15" s="266">
        <v>0</v>
      </c>
      <c r="I15" s="266">
        <v>0</v>
      </c>
      <c r="J15" s="266">
        <v>0</v>
      </c>
      <c r="K15" s="266">
        <v>0</v>
      </c>
      <c r="L15" s="266">
        <v>0</v>
      </c>
      <c r="M15" s="266">
        <v>0</v>
      </c>
      <c r="N15" s="266">
        <v>0</v>
      </c>
      <c r="O15" s="266">
        <v>5</v>
      </c>
      <c r="P15" s="266">
        <v>5</v>
      </c>
    </row>
    <row r="16" spans="1:17">
      <c r="A16" s="717"/>
      <c r="B16" s="240" t="s">
        <v>530</v>
      </c>
      <c r="C16" s="717"/>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c r="A17" s="717"/>
      <c r="B17" s="240" t="s">
        <v>531</v>
      </c>
      <c r="C17" s="717"/>
      <c r="D17" s="266">
        <v>11.12</v>
      </c>
      <c r="E17" s="266">
        <v>47.8</v>
      </c>
      <c r="F17" s="266">
        <v>0</v>
      </c>
      <c r="G17" s="266">
        <v>0</v>
      </c>
      <c r="H17" s="266">
        <v>0</v>
      </c>
      <c r="I17" s="266">
        <v>0</v>
      </c>
      <c r="J17" s="266">
        <v>0</v>
      </c>
      <c r="K17" s="266">
        <v>0</v>
      </c>
      <c r="L17" s="266">
        <v>0</v>
      </c>
      <c r="M17" s="266">
        <v>0</v>
      </c>
      <c r="N17" s="266">
        <v>0</v>
      </c>
      <c r="O17" s="266">
        <v>47.8</v>
      </c>
      <c r="P17" s="266">
        <v>47.8</v>
      </c>
    </row>
    <row r="18" spans="1:17">
      <c r="A18" s="717"/>
      <c r="B18" s="240" t="s">
        <v>532</v>
      </c>
      <c r="C18" s="717"/>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c r="A19" s="717"/>
      <c r="B19" s="240"/>
      <c r="C19" s="717"/>
      <c r="D19" s="266" t="s">
        <v>533</v>
      </c>
      <c r="E19" s="266" t="s">
        <v>533</v>
      </c>
      <c r="F19" s="266" t="s">
        <v>533</v>
      </c>
      <c r="G19" s="266" t="s">
        <v>533</v>
      </c>
      <c r="H19" s="266" t="s">
        <v>533</v>
      </c>
      <c r="I19" s="266" t="s">
        <v>533</v>
      </c>
      <c r="J19" s="266" t="s">
        <v>533</v>
      </c>
      <c r="K19" s="266" t="s">
        <v>533</v>
      </c>
      <c r="L19" s="266" t="s">
        <v>533</v>
      </c>
      <c r="M19" s="266" t="s">
        <v>533</v>
      </c>
      <c r="N19" s="266" t="s">
        <v>533</v>
      </c>
      <c r="O19" s="266" t="s">
        <v>533</v>
      </c>
      <c r="P19" s="266" t="s">
        <v>533</v>
      </c>
    </row>
    <row r="20" spans="1:17">
      <c r="A20" s="717"/>
      <c r="B20" s="240"/>
      <c r="C20" s="717" t="s">
        <v>534</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c r="A21" s="717"/>
      <c r="B21" s="240"/>
      <c r="C21" s="717"/>
      <c r="D21" s="266"/>
      <c r="E21" s="266"/>
      <c r="F21" s="266"/>
      <c r="G21" s="266"/>
      <c r="H21" s="266"/>
      <c r="I21" s="266"/>
      <c r="J21" s="266"/>
      <c r="K21" s="266"/>
      <c r="L21" s="266"/>
      <c r="M21" s="266"/>
      <c r="N21" s="266"/>
      <c r="O21" s="266"/>
      <c r="P21" s="266"/>
    </row>
    <row r="22" spans="1:17" ht="17.149999999999999" customHeight="1">
      <c r="A22" s="717" t="s">
        <v>535</v>
      </c>
      <c r="B22" s="240"/>
      <c r="C22" s="717"/>
      <c r="D22" s="266">
        <v>271.98399999999998</v>
      </c>
      <c r="E22" s="266">
        <v>9.327</v>
      </c>
      <c r="F22" s="266">
        <v>0</v>
      </c>
      <c r="G22" s="266">
        <v>0</v>
      </c>
      <c r="H22" s="266">
        <v>0</v>
      </c>
      <c r="I22" s="266">
        <v>0</v>
      </c>
      <c r="J22" s="266">
        <v>0</v>
      </c>
      <c r="K22" s="266">
        <v>0</v>
      </c>
      <c r="L22" s="266">
        <v>0</v>
      </c>
      <c r="M22" s="266">
        <v>0</v>
      </c>
      <c r="N22" s="266">
        <v>0</v>
      </c>
      <c r="O22" s="266">
        <v>9.327</v>
      </c>
      <c r="P22" s="266">
        <v>9.327</v>
      </c>
      <c r="Q22" t="s">
        <v>536</v>
      </c>
    </row>
    <row r="23" spans="1:17">
      <c r="A23" s="717" t="s">
        <v>149</v>
      </c>
      <c r="B23" s="240"/>
      <c r="C23" s="240"/>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c r="A24" s="717" t="s">
        <v>537</v>
      </c>
      <c r="B24" s="240"/>
      <c r="C24" s="240"/>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538</v>
      </c>
    </row>
    <row r="25" spans="1:17">
      <c r="A25" s="717" t="s">
        <v>539</v>
      </c>
      <c r="B25" s="240"/>
      <c r="C25" s="240"/>
      <c r="D25" s="266"/>
      <c r="E25" s="266"/>
      <c r="F25" s="266"/>
      <c r="G25" s="266"/>
      <c r="H25" s="266"/>
      <c r="I25" s="266"/>
      <c r="J25" s="266"/>
      <c r="K25" s="266"/>
      <c r="L25" s="266"/>
      <c r="M25" s="266"/>
      <c r="N25" s="266"/>
      <c r="O25" s="266"/>
      <c r="P25" s="266"/>
    </row>
    <row r="26" spans="1:17">
      <c r="A26" s="717" t="s">
        <v>540</v>
      </c>
      <c r="B26" s="240"/>
      <c r="C26" s="240"/>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c r="A27" s="717" t="s">
        <v>541</v>
      </c>
      <c r="B27" s="240"/>
      <c r="C27" s="240"/>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c r="A28" s="717" t="s">
        <v>542</v>
      </c>
      <c r="B28" s="240"/>
      <c r="C28" s="240"/>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c r="A29" s="717" t="s">
        <v>543</v>
      </c>
      <c r="B29" s="240"/>
      <c r="C29" s="240"/>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544</v>
      </c>
    </row>
    <row r="30" spans="1:17">
      <c r="A30" s="717" t="s">
        <v>545</v>
      </c>
      <c r="B30" s="240"/>
      <c r="C30" s="240"/>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c r="A31" s="717" t="s">
        <v>150</v>
      </c>
      <c r="B31" s="240"/>
      <c r="C31" s="240"/>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546</v>
      </c>
    </row>
    <row r="32" spans="1:17">
      <c r="A32" s="717" t="s">
        <v>547</v>
      </c>
      <c r="B32" s="240"/>
      <c r="C32" s="240"/>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548</v>
      </c>
    </row>
    <row r="33" spans="1:16">
      <c r="A33" s="717"/>
      <c r="B33" s="240"/>
      <c r="C33" s="240"/>
      <c r="D33" s="266"/>
      <c r="E33" s="266"/>
      <c r="F33" s="266"/>
      <c r="G33" s="266"/>
      <c r="H33" s="266"/>
      <c r="I33" s="266"/>
      <c r="J33" s="266"/>
      <c r="K33" s="266"/>
      <c r="L33" s="266"/>
      <c r="M33" s="266"/>
      <c r="N33" s="266"/>
      <c r="O33" s="266"/>
      <c r="P33" s="266"/>
    </row>
    <row r="34" spans="1:16">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c r="A35" s="240"/>
      <c r="B35" s="240"/>
      <c r="C35" s="240"/>
      <c r="D35" s="1037"/>
      <c r="E35" s="486"/>
      <c r="F35" s="717"/>
      <c r="G35" s="717"/>
      <c r="H35" s="717"/>
      <c r="I35" s="717"/>
      <c r="J35" s="717"/>
      <c r="K35" s="717"/>
      <c r="L35" s="717"/>
      <c r="M35" s="717"/>
      <c r="N35" s="717"/>
      <c r="O35" s="717"/>
      <c r="P35" s="717"/>
    </row>
    <row r="36" spans="1:16">
      <c r="A36" s="1042" t="s">
        <v>549</v>
      </c>
      <c r="B36" s="1042"/>
      <c r="C36" s="1042"/>
      <c r="D36" s="1043"/>
      <c r="E36" s="1042"/>
      <c r="F36" s="1042"/>
      <c r="G36" s="1042"/>
      <c r="H36" s="1042"/>
      <c r="I36" s="1042"/>
      <c r="J36" s="1042"/>
      <c r="K36" s="1042"/>
      <c r="L36" s="1042"/>
      <c r="M36" s="1042"/>
      <c r="N36" s="1042"/>
      <c r="O36" s="1042"/>
      <c r="P36" s="1042"/>
    </row>
    <row r="37" spans="1:16">
      <c r="A37" s="1042"/>
      <c r="B37" s="1042"/>
      <c r="C37" s="1042"/>
      <c r="D37" s="1043"/>
      <c r="E37" s="1042"/>
      <c r="F37" s="1042"/>
      <c r="G37" s="1042"/>
      <c r="H37" s="1042"/>
      <c r="I37" s="1042"/>
      <c r="J37" s="1042"/>
      <c r="K37" s="1042"/>
      <c r="L37" s="1042"/>
      <c r="M37" s="1042"/>
      <c r="N37" s="1042"/>
      <c r="O37" s="1042"/>
      <c r="P37" s="1042"/>
    </row>
    <row r="38" spans="1:16">
      <c r="A38" s="1446" t="s">
        <v>550</v>
      </c>
      <c r="B38" s="1446"/>
      <c r="C38" s="1446"/>
      <c r="D38" s="1446"/>
      <c r="E38" s="1446"/>
      <c r="F38" s="1446"/>
      <c r="G38" s="1446"/>
      <c r="H38" s="1446"/>
      <c r="I38" s="1446"/>
      <c r="J38" s="1446"/>
      <c r="K38" s="1446"/>
      <c r="L38" s="1446"/>
      <c r="M38" s="1446"/>
      <c r="N38" s="1446"/>
      <c r="O38" s="1446"/>
      <c r="P38" s="1446"/>
    </row>
    <row r="39" spans="1:16">
      <c r="A39" s="1446"/>
      <c r="B39" s="1446"/>
      <c r="C39" s="1446"/>
      <c r="D39" s="1446"/>
      <c r="E39" s="1446"/>
      <c r="F39" s="1446"/>
      <c r="G39" s="1446"/>
      <c r="H39" s="1446"/>
      <c r="I39" s="1446"/>
      <c r="J39" s="1446"/>
      <c r="K39" s="1446"/>
      <c r="L39" s="1446"/>
      <c r="M39" s="1446"/>
      <c r="N39" s="1446"/>
      <c r="O39" s="1446"/>
      <c r="P39" s="1446"/>
    </row>
    <row r="40" spans="1:16">
      <c r="A40" s="1446"/>
      <c r="B40" s="1446"/>
      <c r="C40" s="1446"/>
      <c r="D40" s="1446"/>
      <c r="E40" s="1446"/>
      <c r="F40" s="1446"/>
      <c r="G40" s="1446"/>
      <c r="H40" s="1446"/>
      <c r="I40" s="1446"/>
      <c r="J40" s="1446"/>
      <c r="K40" s="1446"/>
      <c r="L40" s="1446"/>
      <c r="M40" s="1446"/>
      <c r="N40" s="1446"/>
      <c r="O40" s="1446"/>
      <c r="P40" s="1446"/>
    </row>
    <row r="41" spans="1:16">
      <c r="A41" s="1446"/>
      <c r="B41" s="1446"/>
      <c r="C41" s="1446"/>
      <c r="D41" s="1446"/>
      <c r="E41" s="1446"/>
      <c r="F41" s="1446"/>
      <c r="G41" s="1446"/>
      <c r="H41" s="1446"/>
      <c r="I41" s="1446"/>
      <c r="J41" s="1446"/>
      <c r="K41" s="1446"/>
      <c r="L41" s="1446"/>
      <c r="M41" s="1446"/>
      <c r="N41" s="1446"/>
      <c r="O41" s="1446"/>
      <c r="P41" s="1446"/>
    </row>
    <row r="42" spans="1:16">
      <c r="A42" s="1446"/>
      <c r="B42" s="1446"/>
      <c r="C42" s="1446"/>
      <c r="D42" s="1446"/>
      <c r="E42" s="1446"/>
      <c r="F42" s="1446"/>
      <c r="G42" s="1446"/>
      <c r="H42" s="1446"/>
      <c r="I42" s="1446"/>
      <c r="J42" s="1446"/>
      <c r="K42" s="1446"/>
      <c r="L42" s="1446"/>
      <c r="M42" s="1446"/>
      <c r="N42" s="1446"/>
      <c r="O42" s="1446"/>
      <c r="P42" s="1446"/>
    </row>
    <row r="43" spans="1:16">
      <c r="A43" s="247"/>
      <c r="B43" s="247"/>
      <c r="C43" s="247"/>
      <c r="D43" s="247"/>
      <c r="E43" s="247"/>
      <c r="F43" s="247"/>
      <c r="G43" s="247"/>
      <c r="H43" s="247"/>
      <c r="I43" s="247"/>
      <c r="J43" s="247"/>
      <c r="K43" s="247"/>
      <c r="L43" s="247"/>
      <c r="M43" s="247"/>
      <c r="N43" s="247"/>
      <c r="O43" s="247"/>
      <c r="P43" s="247"/>
    </row>
    <row r="44" spans="1:16">
      <c r="A44" s="1349" t="s">
        <v>551</v>
      </c>
      <c r="B44" s="1349"/>
      <c r="C44" s="1349"/>
      <c r="D44" s="1349"/>
      <c r="E44" s="1349"/>
      <c r="F44" s="1349"/>
      <c r="G44" s="1349"/>
      <c r="H44" s="1349"/>
      <c r="I44" s="1349"/>
      <c r="J44" s="1349"/>
      <c r="K44" s="1349"/>
      <c r="L44" s="1349"/>
      <c r="M44" s="1349"/>
      <c r="N44" s="1349"/>
      <c r="O44" s="1349"/>
      <c r="P44" s="1349"/>
    </row>
    <row r="45" spans="1:16">
      <c r="A45" s="1349"/>
      <c r="B45" s="1349"/>
      <c r="C45" s="1349"/>
      <c r="D45" s="1349"/>
      <c r="E45" s="1349"/>
      <c r="F45" s="1349"/>
      <c r="G45" s="1349"/>
      <c r="H45" s="1349"/>
      <c r="I45" s="1349"/>
      <c r="J45" s="1349"/>
      <c r="K45" s="1349"/>
      <c r="L45" s="1349"/>
      <c r="M45" s="1349"/>
      <c r="N45" s="1349"/>
      <c r="O45" s="1349"/>
      <c r="P45" s="1349"/>
    </row>
    <row r="46" spans="1:16">
      <c r="A46" s="1349"/>
      <c r="B46" s="1349"/>
      <c r="C46" s="1349"/>
      <c r="D46" s="1349"/>
      <c r="E46" s="1349"/>
      <c r="F46" s="1349"/>
      <c r="G46" s="1349"/>
      <c r="H46" s="1349"/>
      <c r="I46" s="1349"/>
      <c r="J46" s="1349"/>
      <c r="K46" s="1349"/>
      <c r="L46" s="1349"/>
      <c r="M46" s="1349"/>
      <c r="N46" s="1349"/>
      <c r="O46" s="1349"/>
      <c r="P46" s="1349"/>
    </row>
    <row r="47" spans="1:16">
      <c r="A47" s="1042"/>
      <c r="B47" s="1042"/>
      <c r="C47" s="1042"/>
      <c r="D47" s="1043"/>
      <c r="E47" s="1042"/>
      <c r="F47" s="1042"/>
      <c r="G47" s="1042"/>
      <c r="H47" s="1042"/>
      <c r="I47" s="1042"/>
      <c r="J47" s="1042"/>
      <c r="K47" s="1042"/>
      <c r="L47" s="1042"/>
      <c r="M47" s="1042"/>
      <c r="N47" s="1042"/>
      <c r="O47" s="1042"/>
      <c r="P47" s="1042"/>
    </row>
    <row r="48" spans="1:16">
      <c r="A48" s="1444" t="s">
        <v>552</v>
      </c>
      <c r="B48" s="1445"/>
      <c r="C48" s="1445"/>
      <c r="D48" s="1445"/>
      <c r="E48" s="1445"/>
      <c r="F48" s="1445"/>
      <c r="G48" s="1445"/>
      <c r="H48" s="1445"/>
      <c r="I48" s="1445"/>
      <c r="J48" s="1445"/>
      <c r="K48" s="1445"/>
      <c r="L48" s="1445"/>
      <c r="M48" s="1445"/>
      <c r="N48" s="1445"/>
      <c r="O48" s="1445"/>
      <c r="P48" s="1445"/>
    </row>
    <row r="49" spans="1:16">
      <c r="A49" s="1445"/>
      <c r="B49" s="1445"/>
      <c r="C49" s="1445"/>
      <c r="D49" s="1445"/>
      <c r="E49" s="1445"/>
      <c r="F49" s="1445"/>
      <c r="G49" s="1445"/>
      <c r="H49" s="1445"/>
      <c r="I49" s="1445"/>
      <c r="J49" s="1445"/>
      <c r="K49" s="1445"/>
      <c r="L49" s="1445"/>
      <c r="M49" s="1445"/>
      <c r="N49" s="1445"/>
      <c r="O49" s="1445"/>
      <c r="P49" s="1445"/>
    </row>
    <row r="50" spans="1:16">
      <c r="A50" s="1042"/>
      <c r="B50" s="1042"/>
      <c r="C50" s="1042"/>
      <c r="D50" s="1043"/>
      <c r="E50" s="1042"/>
      <c r="F50" s="1042"/>
      <c r="G50" s="1042"/>
      <c r="H50" s="1042"/>
      <c r="I50" s="1042"/>
      <c r="J50" s="1042"/>
      <c r="K50" s="1042"/>
      <c r="L50" s="1042"/>
      <c r="M50" s="1042"/>
      <c r="N50" s="1042"/>
      <c r="O50" s="1042"/>
      <c r="P50" s="1042"/>
    </row>
    <row r="51" spans="1:16">
      <c r="A51" s="1440" t="s">
        <v>553</v>
      </c>
      <c r="B51" s="1440"/>
      <c r="C51" s="1440"/>
      <c r="D51" s="1440"/>
      <c r="E51" s="1440"/>
      <c r="F51" s="1440"/>
      <c r="G51" s="1440"/>
      <c r="H51" s="1440"/>
      <c r="I51" s="1440"/>
      <c r="J51" s="1440"/>
      <c r="K51" s="1440"/>
      <c r="L51" s="1440"/>
      <c r="M51" s="1440"/>
      <c r="N51" s="1440"/>
      <c r="O51" s="1440"/>
      <c r="P51" s="1440"/>
    </row>
    <row r="52" spans="1:16">
      <c r="A52" s="1440"/>
      <c r="B52" s="1440"/>
      <c r="C52" s="1440"/>
      <c r="D52" s="1440"/>
      <c r="E52" s="1440"/>
      <c r="F52" s="1440"/>
      <c r="G52" s="1440"/>
      <c r="H52" s="1440"/>
      <c r="I52" s="1440"/>
      <c r="J52" s="1440"/>
      <c r="K52" s="1440"/>
      <c r="L52" s="1440"/>
      <c r="M52" s="1440"/>
      <c r="N52" s="1440"/>
      <c r="O52" s="1440"/>
      <c r="P52" s="1440"/>
    </row>
    <row r="53" spans="1:16">
      <c r="A53" s="1440"/>
      <c r="B53" s="1440"/>
      <c r="C53" s="1440"/>
      <c r="D53" s="1440"/>
      <c r="E53" s="1440"/>
      <c r="F53" s="1440"/>
      <c r="G53" s="1440"/>
      <c r="H53" s="1440"/>
      <c r="I53" s="1440"/>
      <c r="J53" s="1440"/>
      <c r="K53" s="1440"/>
      <c r="L53" s="1440"/>
      <c r="M53" s="1440"/>
      <c r="N53" s="1440"/>
      <c r="O53" s="1440"/>
      <c r="P53" s="1440"/>
    </row>
    <row r="54" spans="1:16">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1640625" defaultRowHeight="14.5"/>
  <cols>
    <col min="1" max="1" width="36" customWidth="1"/>
    <col min="2" max="2" width="15.54296875" customWidth="1"/>
    <col min="3" max="19" width="10.7265625" customWidth="1"/>
    <col min="20" max="20" width="125.81640625" customWidth="1"/>
  </cols>
  <sheetData>
    <row r="1" spans="1:19">
      <c r="A1" s="631"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c r="C2" s="1447" t="s">
        <v>1387</v>
      </c>
      <c r="D2" s="1447"/>
      <c r="E2" s="1447"/>
      <c r="F2" s="1447"/>
      <c r="G2" s="1447"/>
      <c r="H2" s="1447"/>
      <c r="I2" s="1447"/>
      <c r="J2" s="1447"/>
      <c r="K2" s="1447"/>
      <c r="L2" s="1447"/>
      <c r="M2" s="1447"/>
      <c r="N2" s="1447"/>
      <c r="O2" s="1447"/>
      <c r="P2" s="1109"/>
      <c r="Q2" s="1109"/>
      <c r="R2" s="1109"/>
      <c r="S2" s="1109"/>
    </row>
    <row r="3" spans="1:19">
      <c r="A3" s="56" t="s">
        <v>1197</v>
      </c>
      <c r="B3" s="56">
        <v>13601</v>
      </c>
      <c r="C3" s="56" t="s">
        <v>1388</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c r="A4" s="56" t="s">
        <v>1210</v>
      </c>
      <c r="B4" s="56">
        <v>10301</v>
      </c>
      <c r="C4" s="56" t="s">
        <v>1388</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c r="A5" s="56" t="s">
        <v>1212</v>
      </c>
      <c r="B5" s="56">
        <v>13802</v>
      </c>
      <c r="C5" s="56" t="s">
        <v>1388</v>
      </c>
      <c r="D5" s="56">
        <v>0</v>
      </c>
      <c r="E5" s="56">
        <v>55</v>
      </c>
      <c r="F5" s="56">
        <v>55</v>
      </c>
      <c r="G5" s="56">
        <v>55</v>
      </c>
      <c r="H5" s="56">
        <v>55</v>
      </c>
      <c r="I5" s="56">
        <v>55</v>
      </c>
      <c r="J5" s="56">
        <v>55</v>
      </c>
      <c r="K5" s="56">
        <v>55</v>
      </c>
      <c r="L5" s="56">
        <v>55</v>
      </c>
      <c r="M5" s="56">
        <v>55</v>
      </c>
      <c r="N5" s="56">
        <v>220</v>
      </c>
      <c r="O5" s="56">
        <v>495</v>
      </c>
      <c r="P5" s="56"/>
      <c r="Q5" s="56"/>
      <c r="R5" s="56"/>
      <c r="S5" s="56"/>
    </row>
    <row r="6" spans="1:19">
      <c r="A6" s="56" t="s">
        <v>1214</v>
      </c>
      <c r="B6" s="56">
        <v>22005</v>
      </c>
      <c r="C6" s="56" t="s">
        <v>1388</v>
      </c>
      <c r="D6" s="56">
        <v>0</v>
      </c>
      <c r="E6" s="56">
        <v>19</v>
      </c>
      <c r="F6" s="56">
        <v>26</v>
      </c>
      <c r="G6" s="56">
        <v>27</v>
      </c>
      <c r="H6" s="56">
        <v>17</v>
      </c>
      <c r="I6" s="56">
        <v>7</v>
      </c>
      <c r="J6" s="56">
        <v>3</v>
      </c>
      <c r="K6" s="56">
        <v>1</v>
      </c>
      <c r="L6" s="56">
        <v>0</v>
      </c>
      <c r="M6" s="56">
        <v>0</v>
      </c>
      <c r="N6" s="56">
        <v>89</v>
      </c>
      <c r="O6" s="56">
        <v>100</v>
      </c>
      <c r="P6" s="56"/>
      <c r="Q6" s="56"/>
      <c r="R6" s="56"/>
      <c r="S6" s="56"/>
    </row>
    <row r="7" spans="1:19">
      <c r="A7" s="56" t="s">
        <v>1200</v>
      </c>
      <c r="B7" s="56">
        <v>23001</v>
      </c>
      <c r="C7" s="56" t="s">
        <v>1388</v>
      </c>
      <c r="D7" s="56">
        <v>0</v>
      </c>
      <c r="E7" s="56">
        <v>35</v>
      </c>
      <c r="F7" s="56">
        <v>125</v>
      </c>
      <c r="G7" s="56">
        <v>170</v>
      </c>
      <c r="H7" s="56">
        <v>375</v>
      </c>
      <c r="I7" s="56">
        <v>470</v>
      </c>
      <c r="J7" s="56">
        <v>415</v>
      </c>
      <c r="K7" s="56">
        <v>280</v>
      </c>
      <c r="L7" s="56">
        <v>217</v>
      </c>
      <c r="M7" s="56">
        <v>58</v>
      </c>
      <c r="N7" s="56">
        <v>705</v>
      </c>
      <c r="O7" s="56">
        <v>2145</v>
      </c>
      <c r="P7" s="56"/>
      <c r="Q7" s="56"/>
      <c r="R7" s="56"/>
      <c r="S7" s="56"/>
    </row>
    <row r="8" spans="1:19">
      <c r="A8" s="56" t="s">
        <v>1216</v>
      </c>
      <c r="B8" s="56">
        <v>23005</v>
      </c>
      <c r="C8" s="56" t="s">
        <v>1388</v>
      </c>
      <c r="D8" s="56">
        <v>0</v>
      </c>
      <c r="E8" s="56">
        <v>15</v>
      </c>
      <c r="F8" s="56">
        <v>15</v>
      </c>
      <c r="G8" s="56">
        <v>15</v>
      </c>
      <c r="H8" s="56">
        <v>10</v>
      </c>
      <c r="I8" s="56">
        <v>10</v>
      </c>
      <c r="J8" s="56">
        <v>10</v>
      </c>
      <c r="K8" s="56">
        <v>10</v>
      </c>
      <c r="L8" s="56">
        <v>10</v>
      </c>
      <c r="M8" s="56">
        <v>5</v>
      </c>
      <c r="N8" s="56">
        <v>55</v>
      </c>
      <c r="O8" s="56">
        <v>100</v>
      </c>
      <c r="P8" s="56"/>
      <c r="Q8" s="56"/>
      <c r="R8" s="56"/>
      <c r="S8" s="56"/>
    </row>
    <row r="9" spans="1:19">
      <c r="A9" s="56" t="s">
        <v>1269</v>
      </c>
      <c r="B9" s="56">
        <v>23003</v>
      </c>
      <c r="C9" s="56" t="s">
        <v>1256</v>
      </c>
      <c r="D9" s="56">
        <v>0</v>
      </c>
      <c r="E9" s="56">
        <v>65</v>
      </c>
      <c r="F9" s="56">
        <v>150</v>
      </c>
      <c r="G9" s="56">
        <v>290</v>
      </c>
      <c r="H9" s="56">
        <v>290</v>
      </c>
      <c r="I9" s="56">
        <v>290</v>
      </c>
      <c r="J9" s="56">
        <v>285</v>
      </c>
      <c r="K9" s="56">
        <v>250</v>
      </c>
      <c r="L9" s="56">
        <v>220</v>
      </c>
      <c r="M9" s="56">
        <v>160</v>
      </c>
      <c r="N9" s="56">
        <v>795</v>
      </c>
      <c r="O9" s="56">
        <v>2000</v>
      </c>
      <c r="P9" s="56"/>
      <c r="Q9" s="56"/>
      <c r="R9" s="56"/>
      <c r="S9" s="56"/>
    </row>
    <row r="10" spans="1:19">
      <c r="A10" s="56" t="s">
        <v>1297</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c r="A11" s="56" t="s">
        <v>1299</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c r="A12" s="56" t="s">
        <v>1301</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c r="A14" s="56" t="s">
        <v>1297</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c r="A16" s="56" t="s">
        <v>1304</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c r="A17" s="56" t="s">
        <v>1389</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c r="A18" s="56" t="s">
        <v>1306</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c r="A19" s="56" t="s">
        <v>1308</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c r="A25" s="56" t="s">
        <v>1310</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c r="A26" s="56" t="s">
        <v>1322</v>
      </c>
      <c r="B26" s="56">
        <v>12001</v>
      </c>
      <c r="C26" s="56" t="s">
        <v>1390</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c r="A27" s="56" t="s">
        <v>1324</v>
      </c>
      <c r="B27" s="56">
        <v>22003</v>
      </c>
      <c r="C27" s="56" t="s">
        <v>1390</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c r="A28" s="56" t="s">
        <v>1326</v>
      </c>
      <c r="B28" s="56">
        <v>22004</v>
      </c>
      <c r="C28" s="56" t="s">
        <v>1390</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c r="A29" s="14" t="s">
        <v>1391</v>
      </c>
      <c r="B29" s="56">
        <v>22007</v>
      </c>
      <c r="C29" s="56" t="s">
        <v>1390</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c r="A30" s="56" t="s">
        <v>1328</v>
      </c>
      <c r="B30" s="56">
        <v>23002</v>
      </c>
      <c r="C30" s="56" t="s">
        <v>1390</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c r="A31" s="56" t="s">
        <v>1319</v>
      </c>
      <c r="B31" s="56">
        <v>30002</v>
      </c>
      <c r="C31" s="56" t="s">
        <v>1390</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c r="A32" s="56" t="s">
        <v>1392</v>
      </c>
      <c r="B32" s="56">
        <v>13104</v>
      </c>
      <c r="C32" s="56" t="s">
        <v>1393</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c r="A33" s="56" t="s">
        <v>1394</v>
      </c>
      <c r="B33" s="56">
        <v>13105</v>
      </c>
      <c r="C33" s="56" t="s">
        <v>1393</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c r="A34" s="56" t="s">
        <v>1356</v>
      </c>
      <c r="B34" s="56">
        <v>13204</v>
      </c>
      <c r="C34" s="56" t="s">
        <v>1393</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c r="A35" s="56" t="s">
        <v>1395</v>
      </c>
      <c r="B35" s="56">
        <v>13502</v>
      </c>
      <c r="C35" s="56" t="s">
        <v>1393</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c r="A36" s="56" t="s">
        <v>1396</v>
      </c>
      <c r="B36" s="56">
        <v>13701</v>
      </c>
      <c r="C36" s="56" t="s">
        <v>1393</v>
      </c>
      <c r="D36" s="56">
        <v>0</v>
      </c>
      <c r="E36" s="56">
        <v>1</v>
      </c>
      <c r="F36" s="56">
        <v>1</v>
      </c>
      <c r="G36" s="56">
        <v>2</v>
      </c>
      <c r="H36" s="56">
        <v>2</v>
      </c>
      <c r="I36" s="56">
        <v>3</v>
      </c>
      <c r="J36" s="56">
        <v>3</v>
      </c>
      <c r="K36" s="56">
        <v>4</v>
      </c>
      <c r="L36" s="56">
        <v>5</v>
      </c>
      <c r="M36" s="56">
        <v>6</v>
      </c>
      <c r="N36" s="56">
        <v>6</v>
      </c>
      <c r="O36" s="56">
        <v>26</v>
      </c>
      <c r="P36" s="56"/>
      <c r="Q36" s="56"/>
      <c r="R36" s="56"/>
      <c r="S36" s="56"/>
    </row>
    <row r="37" spans="1:19">
      <c r="A37" s="56" t="s">
        <v>1338</v>
      </c>
      <c r="B37" s="56">
        <v>21001</v>
      </c>
      <c r="C37" s="56" t="s">
        <v>1393</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c r="A38" s="56">
        <v>0</v>
      </c>
      <c r="B38" s="56">
        <v>21002</v>
      </c>
      <c r="C38" s="56" t="s">
        <v>1393</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c r="A39" s="56" t="s">
        <v>1350</v>
      </c>
      <c r="B39" s="56">
        <v>22002</v>
      </c>
      <c r="C39" s="56" t="s">
        <v>1393</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c r="A40" s="56" t="s">
        <v>1366</v>
      </c>
      <c r="B40" s="56">
        <v>30001</v>
      </c>
      <c r="C40" s="56" t="s">
        <v>1393</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c r="C42" s="1448" t="s">
        <v>1397</v>
      </c>
      <c r="D42" s="1448"/>
      <c r="E42" s="1448"/>
      <c r="F42" s="1448"/>
      <c r="G42" s="1448"/>
      <c r="H42" s="1448"/>
      <c r="I42" s="1448"/>
      <c r="J42" s="1448"/>
      <c r="K42" s="1448"/>
      <c r="L42" s="1448"/>
      <c r="M42" s="1448"/>
      <c r="N42" s="1448"/>
      <c r="O42" s="1448"/>
      <c r="P42" s="1109"/>
      <c r="Q42" s="1109"/>
      <c r="R42" s="1109"/>
      <c r="S42" s="1109"/>
    </row>
    <row r="43" spans="1:19">
      <c r="A43" s="56" t="s">
        <v>1398</v>
      </c>
      <c r="B43" s="56">
        <v>10101</v>
      </c>
      <c r="C43" s="56" t="s">
        <v>1399</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c r="A44" s="56" t="s">
        <v>1400</v>
      </c>
      <c r="B44" s="56" t="s">
        <v>1401</v>
      </c>
      <c r="C44" s="56" t="s">
        <v>1399</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c r="A45" s="56" t="s">
        <v>1402</v>
      </c>
      <c r="B45" s="56">
        <v>13101</v>
      </c>
      <c r="C45" s="56" t="s">
        <v>1399</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c r="A46" s="56" t="s">
        <v>1403</v>
      </c>
      <c r="B46" s="56">
        <v>13102</v>
      </c>
      <c r="C46" s="56" t="s">
        <v>1399</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c r="A47" s="56" t="s">
        <v>1404</v>
      </c>
      <c r="B47" s="56">
        <v>13104</v>
      </c>
      <c r="C47" s="56" t="s">
        <v>1399</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c r="A48" s="56" t="s">
        <v>1405</v>
      </c>
      <c r="B48" s="56">
        <v>13105</v>
      </c>
      <c r="C48" s="56" t="s">
        <v>1399</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c r="A49" s="56" t="s">
        <v>1406</v>
      </c>
      <c r="B49" s="56">
        <v>13303</v>
      </c>
      <c r="C49" s="56" t="s">
        <v>1399</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c r="A50" s="56" t="s">
        <v>1407</v>
      </c>
      <c r="B50" s="56" t="s">
        <v>1408</v>
      </c>
      <c r="C50" s="56" t="s">
        <v>1399</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c r="A51" s="56" t="s">
        <v>1409</v>
      </c>
      <c r="B51" s="56">
        <v>13601</v>
      </c>
      <c r="C51" s="56" t="s">
        <v>1399</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c r="A52" s="56" t="s">
        <v>1410</v>
      </c>
      <c r="B52" s="56" t="s">
        <v>1411</v>
      </c>
      <c r="C52" s="56" t="s">
        <v>1399</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c r="A53" s="56" t="s">
        <v>1412</v>
      </c>
      <c r="B53" s="56">
        <v>13901</v>
      </c>
      <c r="C53" s="56" t="s">
        <v>1399</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c r="A54" s="56" t="s">
        <v>1413</v>
      </c>
      <c r="B54" s="56">
        <v>13902</v>
      </c>
      <c r="C54" s="56" t="s">
        <v>1399</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c r="A55" s="56" t="s">
        <v>1414</v>
      </c>
      <c r="B55" s="56" t="s">
        <v>1415</v>
      </c>
      <c r="C55" s="56" t="s">
        <v>1399</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c r="A56" s="56" t="s">
        <v>1416</v>
      </c>
      <c r="B56" s="56">
        <v>60113</v>
      </c>
      <c r="C56" s="56" t="s">
        <v>1399</v>
      </c>
      <c r="D56" s="56">
        <v>0</v>
      </c>
      <c r="E56" s="56">
        <v>0</v>
      </c>
      <c r="F56" s="56">
        <v>0</v>
      </c>
      <c r="G56" s="56">
        <v>0</v>
      </c>
      <c r="H56" s="56">
        <v>850</v>
      </c>
      <c r="I56" s="201">
        <v>1350</v>
      </c>
      <c r="J56" s="201">
        <v>1400</v>
      </c>
      <c r="K56" s="201">
        <v>1200</v>
      </c>
      <c r="L56" s="201">
        <v>1050</v>
      </c>
      <c r="M56" s="56">
        <v>500</v>
      </c>
      <c r="N56" s="56">
        <v>850</v>
      </c>
      <c r="O56" s="201">
        <v>6350</v>
      </c>
      <c r="P56" s="201"/>
      <c r="Q56" s="201"/>
      <c r="R56" s="201"/>
      <c r="S56" s="201"/>
    </row>
    <row r="57" spans="1:19">
      <c r="A57" s="56" t="s">
        <v>1417</v>
      </c>
      <c r="B57" s="56">
        <v>10201</v>
      </c>
      <c r="C57" s="56" t="s">
        <v>1399</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c r="A58" s="56" t="s">
        <v>1424</v>
      </c>
      <c r="B58" s="56">
        <v>13304</v>
      </c>
      <c r="C58" s="56" t="s">
        <v>1429</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c r="A59" s="56" t="s">
        <v>1420</v>
      </c>
      <c r="B59" s="56" t="s">
        <v>1421</v>
      </c>
      <c r="C59" s="56" t="s">
        <v>1429</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201"/>
      <c r="Q60" s="201"/>
      <c r="R60" s="201"/>
      <c r="S60" s="201"/>
    </row>
    <row r="61" spans="1:19">
      <c r="A61" s="56" t="s">
        <v>1419</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c r="A62" s="56" t="s">
        <v>1422</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c r="A63" s="56" t="s">
        <v>1423</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c r="A64" s="56" t="s">
        <v>1425</v>
      </c>
      <c r="B64" s="56" t="s">
        <v>1426</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c r="C68" s="1449" t="s">
        <v>1427</v>
      </c>
      <c r="D68" s="1450"/>
      <c r="E68" s="1450"/>
      <c r="F68" s="1450"/>
      <c r="G68" s="1450"/>
      <c r="H68" s="1450"/>
      <c r="I68" s="1450"/>
      <c r="J68" s="1450"/>
      <c r="K68" s="1450"/>
      <c r="L68" s="1450"/>
      <c r="M68" s="1450"/>
      <c r="N68" s="1450"/>
      <c r="O68" s="1451"/>
      <c r="P68" s="1109"/>
      <c r="Q68" s="1109"/>
      <c r="R68" s="1109"/>
      <c r="S68" s="1109"/>
    </row>
    <row r="69" spans="3:19">
      <c r="C69" s="68" t="s">
        <v>1388</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c r="C70" s="68" t="s">
        <v>1256</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8">
        <f t="shared" si="1"/>
        <v>795</v>
      </c>
      <c r="O70" s="224">
        <f t="shared" si="1"/>
        <v>2000</v>
      </c>
      <c r="P70" s="56"/>
      <c r="Q70" s="56"/>
      <c r="R70" s="56"/>
      <c r="S70" s="56"/>
    </row>
    <row r="71" spans="3:19">
      <c r="C71" s="68"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8">
        <f t="shared" si="2"/>
        <v>3541</v>
      </c>
      <c r="O71" s="224">
        <f t="shared" si="2"/>
        <v>18248</v>
      </c>
      <c r="P71" s="56"/>
      <c r="Q71" s="56"/>
      <c r="R71" s="56"/>
      <c r="S71" s="56"/>
    </row>
    <row r="72" spans="3:19">
      <c r="C72" s="68"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8">
        <f t="shared" si="3"/>
        <v>-15494</v>
      </c>
      <c r="O72" s="224">
        <f t="shared" si="3"/>
        <v>-248219</v>
      </c>
      <c r="P72" s="56"/>
      <c r="Q72" s="56"/>
      <c r="R72" s="56"/>
      <c r="S72" s="56"/>
    </row>
    <row r="73" spans="3:19">
      <c r="C73" s="68" t="s">
        <v>1390</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8">
        <f t="shared" si="4"/>
        <v>37354</v>
      </c>
      <c r="O73" s="224">
        <f t="shared" si="4"/>
        <v>46384</v>
      </c>
      <c r="P73" s="56"/>
      <c r="Q73" s="56"/>
      <c r="R73" s="56"/>
      <c r="S73" s="56"/>
    </row>
    <row r="74" spans="3:19">
      <c r="C74" s="68" t="s">
        <v>1393</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19">
        <f t="shared" si="5"/>
        <v>16463</v>
      </c>
      <c r="O74" s="225">
        <f t="shared" si="5"/>
        <v>55153</v>
      </c>
      <c r="P74" s="56"/>
      <c r="Q74" s="56"/>
      <c r="R74" s="56"/>
      <c r="S74" s="56"/>
    </row>
    <row r="75" spans="3:19">
      <c r="C75" s="1449" t="s">
        <v>1428</v>
      </c>
      <c r="D75" s="1450"/>
      <c r="E75" s="1450"/>
      <c r="F75" s="1450"/>
      <c r="G75" s="1450"/>
      <c r="H75" s="1450"/>
      <c r="I75" s="1450"/>
      <c r="J75" s="1450"/>
      <c r="K75" s="1450"/>
      <c r="L75" s="1450"/>
      <c r="M75" s="1450"/>
      <c r="N75" s="1450"/>
      <c r="O75" s="1451"/>
      <c r="P75" s="1109"/>
      <c r="Q75" s="1109"/>
      <c r="R75" s="1109"/>
      <c r="S75" s="1109"/>
    </row>
    <row r="76" spans="3:19">
      <c r="C76" s="68" t="s">
        <v>385</v>
      </c>
      <c r="D76" s="56">
        <v>0</v>
      </c>
      <c r="E76" s="56">
        <v>596</v>
      </c>
      <c r="F76" s="56">
        <v>1406</v>
      </c>
      <c r="G76" s="56">
        <v>1885</v>
      </c>
      <c r="H76" s="56">
        <v>2113</v>
      </c>
      <c r="I76" s="56">
        <v>2058</v>
      </c>
      <c r="J76" s="56">
        <v>1745</v>
      </c>
      <c r="K76" s="56">
        <v>1369</v>
      </c>
      <c r="L76" s="56">
        <v>970</v>
      </c>
      <c r="M76" s="56">
        <v>369</v>
      </c>
      <c r="N76" s="744">
        <v>6000</v>
      </c>
      <c r="O76" s="447">
        <v>12511</v>
      </c>
      <c r="P76" s="56"/>
      <c r="Q76" s="56"/>
      <c r="R76" s="56"/>
      <c r="S76" s="56"/>
    </row>
    <row r="77" spans="3:19">
      <c r="C77" s="68" t="s">
        <v>134</v>
      </c>
      <c r="D77" s="56">
        <v>0</v>
      </c>
      <c r="E77" s="56">
        <v>754</v>
      </c>
      <c r="F77" s="56">
        <v>2328</v>
      </c>
      <c r="G77" s="56">
        <v>3782</v>
      </c>
      <c r="H77" s="56">
        <v>5158</v>
      </c>
      <c r="I77" s="56">
        <v>4539</v>
      </c>
      <c r="J77" s="56">
        <v>3010</v>
      </c>
      <c r="K77" s="56">
        <v>1730</v>
      </c>
      <c r="L77" s="56">
        <v>790</v>
      </c>
      <c r="M77" s="56">
        <v>244</v>
      </c>
      <c r="N77" s="68">
        <v>12022</v>
      </c>
      <c r="O77" s="224">
        <v>22335</v>
      </c>
      <c r="P77" s="56"/>
      <c r="Q77" s="56"/>
      <c r="R77" s="56"/>
      <c r="S77" s="56"/>
    </row>
    <row r="78" spans="3:19">
      <c r="C78" s="68" t="s">
        <v>192</v>
      </c>
      <c r="D78" s="56">
        <v>0</v>
      </c>
      <c r="E78" s="56">
        <v>68</v>
      </c>
      <c r="F78" s="56">
        <v>1363</v>
      </c>
      <c r="G78" s="56">
        <v>2433</v>
      </c>
      <c r="H78" s="56">
        <v>2803</v>
      </c>
      <c r="I78" s="56">
        <v>1741</v>
      </c>
      <c r="J78" s="56">
        <v>570</v>
      </c>
      <c r="K78" s="56">
        <v>35</v>
      </c>
      <c r="L78" s="56">
        <v>0</v>
      </c>
      <c r="M78" s="56">
        <v>0</v>
      </c>
      <c r="N78" s="68">
        <v>6667</v>
      </c>
      <c r="O78" s="224">
        <v>9013</v>
      </c>
      <c r="P78" s="56"/>
      <c r="Q78" s="56"/>
      <c r="R78" s="56"/>
      <c r="S78" s="56"/>
    </row>
    <row r="79" spans="3:19">
      <c r="C79" s="68" t="s">
        <v>52</v>
      </c>
      <c r="D79" s="56">
        <v>0</v>
      </c>
      <c r="E79" s="56">
        <v>81</v>
      </c>
      <c r="F79" s="56">
        <v>350</v>
      </c>
      <c r="G79" s="56">
        <v>1354</v>
      </c>
      <c r="H79" s="56">
        <v>2869</v>
      </c>
      <c r="I79" s="56">
        <v>3890</v>
      </c>
      <c r="J79" s="56">
        <v>3430</v>
      </c>
      <c r="K79" s="56">
        <v>2260</v>
      </c>
      <c r="L79" s="56">
        <v>1320</v>
      </c>
      <c r="M79" s="56">
        <v>665</v>
      </c>
      <c r="N79" s="68">
        <v>4654</v>
      </c>
      <c r="O79" s="224">
        <v>16219</v>
      </c>
      <c r="P79" s="56"/>
      <c r="Q79" s="56"/>
      <c r="R79" s="56"/>
      <c r="S79" s="56"/>
    </row>
    <row r="80" spans="3:19">
      <c r="C80" s="68" t="s">
        <v>57</v>
      </c>
      <c r="D80" s="56">
        <v>0</v>
      </c>
      <c r="E80" s="56">
        <v>794</v>
      </c>
      <c r="F80" s="56">
        <v>3183</v>
      </c>
      <c r="G80" s="56">
        <v>5818</v>
      </c>
      <c r="H80" s="56">
        <v>7253</v>
      </c>
      <c r="I80" s="56">
        <v>5628</v>
      </c>
      <c r="J80" s="56">
        <v>1977</v>
      </c>
      <c r="K80" s="56">
        <v>229</v>
      </c>
      <c r="L80" s="56">
        <v>33</v>
      </c>
      <c r="M80" s="56">
        <v>1</v>
      </c>
      <c r="N80" s="68">
        <v>17048</v>
      </c>
      <c r="O80" s="224">
        <v>24916</v>
      </c>
      <c r="P80" s="56"/>
      <c r="Q80" s="56"/>
      <c r="R80" s="56"/>
      <c r="S80" s="56"/>
    </row>
    <row r="81" spans="1:20">
      <c r="C81" s="68"/>
      <c r="N81" s="319"/>
      <c r="O81" s="225"/>
      <c r="P81" s="56"/>
      <c r="Q81" s="56"/>
      <c r="R81" s="56"/>
      <c r="S81" s="56"/>
    </row>
    <row r="82" spans="1:20">
      <c r="C82" s="1449" t="s">
        <v>1397</v>
      </c>
      <c r="D82" s="1450"/>
      <c r="E82" s="1450"/>
      <c r="F82" s="1450"/>
      <c r="G82" s="1450"/>
      <c r="H82" s="1450"/>
      <c r="I82" s="1450"/>
      <c r="J82" s="1450"/>
      <c r="K82" s="1450"/>
      <c r="L82" s="1450"/>
      <c r="M82" s="1450"/>
      <c r="N82" s="1450"/>
      <c r="O82" s="1451"/>
      <c r="P82" s="1109"/>
      <c r="Q82" s="1109"/>
      <c r="R82" s="1109"/>
      <c r="S82" s="1109"/>
    </row>
    <row r="83" spans="1:20">
      <c r="C83" s="68" t="s">
        <v>1399</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c r="C84" s="68" t="s">
        <v>484</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c r="C85" s="68"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c r="A87" s="46" t="s">
        <v>1379</v>
      </c>
    </row>
    <row r="88" spans="1:20">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c r="A165" s="41"/>
      <c r="B165" s="17"/>
      <c r="C165" s="58"/>
      <c r="D165" s="58"/>
      <c r="E165" s="58"/>
      <c r="F165" s="58"/>
      <c r="G165" s="58"/>
      <c r="H165" s="58"/>
      <c r="I165" s="58"/>
      <c r="J165" s="58"/>
      <c r="K165" s="58"/>
      <c r="L165" s="58"/>
      <c r="M165" s="58"/>
      <c r="N165" s="58"/>
      <c r="O165" s="41"/>
      <c r="P165" s="41"/>
      <c r="Q165" s="41"/>
      <c r="R165" s="41"/>
      <c r="S165" s="41"/>
      <c r="T165" s="17"/>
    </row>
    <row r="167" spans="1:21">
      <c r="A167" s="42" t="s">
        <v>1375</v>
      </c>
    </row>
    <row r="168" spans="1:21">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8"/>
    </row>
    <row r="169" spans="1:21">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8"/>
    </row>
    <row r="170" spans="1:21">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8"/>
    </row>
    <row r="171" spans="1:21">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8"/>
    </row>
    <row r="172" spans="1:21">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8"/>
    </row>
    <row r="173" spans="1:21">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8"/>
    </row>
    <row r="174" spans="1:21">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8"/>
    </row>
    <row r="175" spans="1:21">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8"/>
    </row>
    <row r="176" spans="1:21">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8"/>
    </row>
    <row r="177" spans="1:21">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8"/>
    </row>
    <row r="178" spans="1:21">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8"/>
    </row>
    <row r="179" spans="1:21">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8"/>
    </row>
    <row r="182" spans="1:21">
      <c r="A182" s="42" t="s">
        <v>1374</v>
      </c>
    </row>
    <row r="183" spans="1:21">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8"/>
    </row>
    <row r="184" spans="1:21">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8"/>
    </row>
    <row r="185" spans="1:21">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8"/>
    </row>
    <row r="186" spans="1:21">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8"/>
    </row>
    <row r="187" spans="1:21">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8"/>
    </row>
    <row r="188" spans="1:21">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8"/>
    </row>
    <row r="189" spans="1:21">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8"/>
    </row>
    <row r="190" spans="1:21">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8"/>
    </row>
    <row r="191" spans="1:21">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8"/>
    </row>
    <row r="192" spans="1:21">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8"/>
    </row>
    <row r="193" spans="1:21">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8"/>
    </row>
    <row r="194" spans="1:21">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8"/>
    </row>
    <row r="197" spans="1:21">
      <c r="A197" s="42" t="s">
        <v>1376</v>
      </c>
    </row>
    <row r="198" spans="1:21">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cols>
    <col min="1" max="1" width="77.81640625" customWidth="1"/>
    <col min="2" max="2" width="21" customWidth="1"/>
    <col min="5" max="5" width="37.453125" customWidth="1"/>
    <col min="6" max="6" width="16" customWidth="1"/>
  </cols>
  <sheetData>
    <row r="1" spans="1:6">
      <c r="A1" s="240" t="s">
        <v>554</v>
      </c>
    </row>
    <row r="2" spans="1:6" ht="20.9" customHeight="1">
      <c r="A2" s="1153" t="s">
        <v>555</v>
      </c>
      <c r="B2" s="1153" t="s">
        <v>556</v>
      </c>
      <c r="C2" s="1153" t="s">
        <v>557</v>
      </c>
      <c r="D2" s="1153" t="s">
        <v>558</v>
      </c>
    </row>
    <row r="3" spans="1:6">
      <c r="A3" s="1154" t="s">
        <v>559</v>
      </c>
      <c r="B3" s="736">
        <f>SUM(B4:B7)</f>
        <v>325</v>
      </c>
      <c r="E3" s="1452" t="s">
        <v>560</v>
      </c>
      <c r="F3" s="1452"/>
    </row>
    <row r="4" spans="1:6">
      <c r="A4" s="793" t="s">
        <v>561</v>
      </c>
      <c r="B4" s="736">
        <v>284</v>
      </c>
      <c r="E4" s="514" t="s">
        <v>51</v>
      </c>
      <c r="F4" s="514" t="s">
        <v>562</v>
      </c>
    </row>
    <row r="5" spans="1:6">
      <c r="A5" s="793" t="s">
        <v>414</v>
      </c>
      <c r="B5" s="736">
        <v>20</v>
      </c>
      <c r="E5" s="240" t="s">
        <v>150</v>
      </c>
      <c r="F5" s="240">
        <f>SUM(B11:B16)</f>
        <v>82</v>
      </c>
    </row>
    <row r="6" spans="1:6">
      <c r="A6" s="793" t="s">
        <v>421</v>
      </c>
      <c r="B6" s="736">
        <v>15</v>
      </c>
      <c r="E6" s="240" t="s">
        <v>49</v>
      </c>
      <c r="F6" s="240">
        <f>B23</f>
        <v>3</v>
      </c>
    </row>
    <row r="7" spans="1:6">
      <c r="A7" s="793" t="s">
        <v>422</v>
      </c>
      <c r="B7" s="736">
        <v>6</v>
      </c>
      <c r="E7" s="240" t="s">
        <v>343</v>
      </c>
      <c r="F7" s="240">
        <f>B27-B28</f>
        <v>29</v>
      </c>
    </row>
    <row r="8" spans="1:6">
      <c r="A8" s="514" t="s">
        <v>563</v>
      </c>
      <c r="B8" s="736">
        <v>121</v>
      </c>
      <c r="E8" s="240" t="s">
        <v>360</v>
      </c>
      <c r="F8" s="240">
        <f>B42</f>
        <v>2</v>
      </c>
    </row>
    <row r="9" spans="1:6">
      <c r="A9" s="1155" t="s">
        <v>564</v>
      </c>
      <c r="B9" s="736">
        <v>166</v>
      </c>
      <c r="E9" s="240" t="s">
        <v>565</v>
      </c>
      <c r="F9" s="240">
        <f>B18+B20+B21</f>
        <v>34</v>
      </c>
    </row>
    <row r="10" spans="1:6">
      <c r="A10" s="1152" t="s">
        <v>566</v>
      </c>
      <c r="B10" s="736">
        <v>82</v>
      </c>
      <c r="E10" s="514" t="s">
        <v>567</v>
      </c>
      <c r="F10" s="514" t="s">
        <v>568</v>
      </c>
    </row>
    <row r="11" spans="1:6">
      <c r="A11" s="793" t="s">
        <v>569</v>
      </c>
      <c r="B11" s="736">
        <v>54</v>
      </c>
      <c r="E11" s="240" t="s">
        <v>316</v>
      </c>
      <c r="F11" s="240">
        <f>B4</f>
        <v>284</v>
      </c>
    </row>
    <row r="12" spans="1:6">
      <c r="A12" s="793" t="s">
        <v>570</v>
      </c>
      <c r="B12" s="736">
        <v>20</v>
      </c>
      <c r="E12" s="240" t="s">
        <v>571</v>
      </c>
      <c r="F12" s="240">
        <f>B5</f>
        <v>20</v>
      </c>
    </row>
    <row r="13" spans="1:6">
      <c r="A13" s="793" t="s">
        <v>572</v>
      </c>
      <c r="B13" s="736">
        <v>4</v>
      </c>
      <c r="E13" s="240" t="s">
        <v>421</v>
      </c>
      <c r="F13" s="240">
        <f>B6</f>
        <v>15</v>
      </c>
    </row>
    <row r="14" spans="1:6" ht="27.65" customHeight="1">
      <c r="A14" s="793" t="s">
        <v>573</v>
      </c>
      <c r="B14" s="736">
        <v>2</v>
      </c>
      <c r="E14" s="283" t="s">
        <v>422</v>
      </c>
      <c r="F14" s="240">
        <f>B7</f>
        <v>6</v>
      </c>
    </row>
    <row r="15" spans="1:6" ht="27.65" customHeight="1">
      <c r="A15" s="793" t="s">
        <v>574</v>
      </c>
      <c r="B15" s="736">
        <v>1</v>
      </c>
      <c r="E15" s="283" t="s">
        <v>575</v>
      </c>
      <c r="F15" s="240">
        <f>B28</f>
        <v>15</v>
      </c>
    </row>
    <row r="16" spans="1:6">
      <c r="A16" s="793" t="s">
        <v>576</v>
      </c>
      <c r="B16" s="736">
        <v>1</v>
      </c>
      <c r="E16" s="240" t="s">
        <v>577</v>
      </c>
      <c r="F16" s="240">
        <f>B37</f>
        <v>12</v>
      </c>
    </row>
    <row r="17" spans="1:6">
      <c r="A17" s="514" t="s">
        <v>578</v>
      </c>
      <c r="B17" s="736">
        <v>72</v>
      </c>
      <c r="E17" s="240" t="s">
        <v>579</v>
      </c>
      <c r="F17" s="240">
        <f>B38</f>
        <v>10</v>
      </c>
    </row>
    <row r="18" spans="1:6">
      <c r="A18" s="793" t="s">
        <v>580</v>
      </c>
      <c r="B18" s="736">
        <v>22</v>
      </c>
      <c r="C18" s="240" t="s">
        <v>581</v>
      </c>
    </row>
    <row r="19" spans="1:6">
      <c r="A19" s="793" t="s">
        <v>582</v>
      </c>
      <c r="B19" s="736">
        <v>20</v>
      </c>
      <c r="C19" s="240" t="s">
        <v>109</v>
      </c>
    </row>
    <row r="20" spans="1:6">
      <c r="A20" s="793" t="s">
        <v>583</v>
      </c>
      <c r="B20" s="736">
        <v>8</v>
      </c>
      <c r="C20" s="240" t="s">
        <v>581</v>
      </c>
    </row>
    <row r="21" spans="1:6">
      <c r="A21" s="793" t="s">
        <v>584</v>
      </c>
      <c r="B21" s="736">
        <v>4</v>
      </c>
      <c r="C21" s="240" t="s">
        <v>51</v>
      </c>
    </row>
    <row r="22" spans="1:6">
      <c r="A22" s="793" t="s">
        <v>585</v>
      </c>
      <c r="B22" s="736">
        <v>4</v>
      </c>
      <c r="C22" s="240" t="s">
        <v>109</v>
      </c>
    </row>
    <row r="23" spans="1:6">
      <c r="A23" s="793" t="s">
        <v>586</v>
      </c>
      <c r="B23" s="736">
        <v>3</v>
      </c>
      <c r="C23" s="240" t="s">
        <v>587</v>
      </c>
    </row>
    <row r="24" spans="1:6">
      <c r="A24" s="793" t="s">
        <v>588</v>
      </c>
      <c r="B24" s="736">
        <v>3</v>
      </c>
      <c r="C24" s="240" t="s">
        <v>589</v>
      </c>
    </row>
    <row r="25" spans="1:6">
      <c r="A25" s="1156" t="s">
        <v>590</v>
      </c>
      <c r="B25" s="736">
        <v>3</v>
      </c>
      <c r="C25" s="240" t="s">
        <v>55</v>
      </c>
    </row>
    <row r="26" spans="1:6">
      <c r="A26" s="793" t="s">
        <v>591</v>
      </c>
      <c r="B26" s="736">
        <v>4</v>
      </c>
      <c r="C26" s="240" t="s">
        <v>592</v>
      </c>
    </row>
    <row r="27" spans="1:6">
      <c r="A27" s="514" t="s">
        <v>343</v>
      </c>
      <c r="B27" s="736">
        <v>44</v>
      </c>
    </row>
    <row r="28" spans="1:6">
      <c r="A28" s="1149" t="s">
        <v>575</v>
      </c>
      <c r="B28" s="1150">
        <v>15</v>
      </c>
    </row>
    <row r="29" spans="1:6">
      <c r="A29" s="793" t="s">
        <v>593</v>
      </c>
      <c r="B29" s="736">
        <v>14</v>
      </c>
    </row>
    <row r="30" spans="1:6">
      <c r="A30" s="793" t="s">
        <v>594</v>
      </c>
      <c r="B30" s="736">
        <v>10</v>
      </c>
    </row>
    <row r="31" spans="1:6">
      <c r="A31" s="793" t="s">
        <v>595</v>
      </c>
      <c r="B31" s="736">
        <v>2</v>
      </c>
    </row>
    <row r="32" spans="1:6">
      <c r="A32" s="793" t="s">
        <v>596</v>
      </c>
      <c r="B32" s="736">
        <v>2</v>
      </c>
    </row>
    <row r="33" spans="1:6">
      <c r="A33" s="793" t="s">
        <v>597</v>
      </c>
      <c r="B33" s="736">
        <v>1</v>
      </c>
    </row>
    <row r="34" spans="1:6">
      <c r="A34" s="514" t="s">
        <v>598</v>
      </c>
      <c r="B34" s="736">
        <v>88</v>
      </c>
    </row>
    <row r="35" spans="1:6">
      <c r="A35" s="1156" t="s">
        <v>599</v>
      </c>
      <c r="B35" s="736">
        <v>26</v>
      </c>
    </row>
    <row r="36" spans="1:6">
      <c r="A36" s="793" t="s">
        <v>600</v>
      </c>
      <c r="B36" s="736">
        <v>25</v>
      </c>
    </row>
    <row r="37" spans="1:6">
      <c r="A37" s="793" t="s">
        <v>577</v>
      </c>
      <c r="B37" s="736">
        <v>12</v>
      </c>
      <c r="C37" s="240" t="s">
        <v>601</v>
      </c>
      <c r="E37" s="240" t="s">
        <v>602</v>
      </c>
      <c r="F37" s="240" t="s">
        <v>603</v>
      </c>
    </row>
    <row r="38" spans="1:6">
      <c r="A38" s="793" t="s">
        <v>579</v>
      </c>
      <c r="B38" s="736">
        <v>10</v>
      </c>
      <c r="C38" s="240" t="s">
        <v>601</v>
      </c>
      <c r="E38" s="240" t="s">
        <v>604</v>
      </c>
      <c r="F38" s="240" t="s">
        <v>605</v>
      </c>
    </row>
    <row r="39" spans="1:6">
      <c r="A39" s="793" t="s">
        <v>606</v>
      </c>
      <c r="B39" s="736">
        <v>7</v>
      </c>
      <c r="C39" s="240" t="s">
        <v>592</v>
      </c>
      <c r="E39" s="240" t="s">
        <v>607</v>
      </c>
      <c r="F39" s="240" t="s">
        <v>608</v>
      </c>
    </row>
    <row r="40" spans="1:6">
      <c r="A40" s="793" t="s">
        <v>609</v>
      </c>
      <c r="B40" s="736">
        <v>5</v>
      </c>
      <c r="C40" s="240" t="s">
        <v>109</v>
      </c>
      <c r="E40" s="240" t="s">
        <v>610</v>
      </c>
    </row>
    <row r="41" spans="1:6">
      <c r="A41" s="793" t="s">
        <v>611</v>
      </c>
      <c r="B41" s="736">
        <v>2</v>
      </c>
      <c r="C41" s="240" t="s">
        <v>592</v>
      </c>
      <c r="E41" s="240" t="s">
        <v>612</v>
      </c>
    </row>
    <row r="42" spans="1:6">
      <c r="A42" s="793" t="s">
        <v>613</v>
      </c>
      <c r="B42" s="736">
        <v>2</v>
      </c>
      <c r="C42" s="240" t="s">
        <v>581</v>
      </c>
      <c r="E42" s="1151" t="s">
        <v>614</v>
      </c>
    </row>
    <row r="43" spans="1:6">
      <c r="A43" s="793" t="s">
        <v>615</v>
      </c>
      <c r="B43" s="736">
        <v>0</v>
      </c>
      <c r="E43" s="240" t="s">
        <v>616</v>
      </c>
    </row>
    <row r="44" spans="1:6">
      <c r="A44" s="514" t="s">
        <v>617</v>
      </c>
      <c r="B44" s="736">
        <v>40</v>
      </c>
    </row>
    <row r="45" spans="1:6">
      <c r="A45" s="1156" t="s">
        <v>618</v>
      </c>
      <c r="B45" s="1157">
        <v>21</v>
      </c>
    </row>
    <row r="46" spans="1:6">
      <c r="A46" s="793" t="s">
        <v>619</v>
      </c>
      <c r="B46" s="736">
        <v>6</v>
      </c>
    </row>
    <row r="47" spans="1:6">
      <c r="A47" s="1156" t="s">
        <v>620</v>
      </c>
      <c r="B47" s="1157">
        <v>4</v>
      </c>
    </row>
    <row r="48" spans="1:6">
      <c r="A48" s="793" t="s">
        <v>621</v>
      </c>
      <c r="B48" s="736">
        <v>4</v>
      </c>
    </row>
    <row r="49" spans="1:2">
      <c r="A49" s="1156" t="s">
        <v>622</v>
      </c>
      <c r="B49" s="1157">
        <v>3</v>
      </c>
    </row>
    <row r="50" spans="1:2">
      <c r="A50" s="793"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c r="A1" s="56" t="s">
        <v>830</v>
      </c>
      <c r="I1" s="1453"/>
      <c r="J1" s="1453"/>
      <c r="K1" s="1453"/>
    </row>
    <row r="2" spans="1:62" ht="13.4" customHeight="1">
      <c r="A2" s="1169"/>
      <c r="O2" s="1195" t="s">
        <v>795</v>
      </c>
      <c r="P2" s="1459" t="s">
        <v>624</v>
      </c>
      <c r="Q2" s="1459"/>
      <c r="R2" s="1459"/>
      <c r="S2" s="1459"/>
      <c r="T2" s="1198"/>
      <c r="U2" s="1198"/>
      <c r="V2" s="1198"/>
      <c r="W2" s="1198"/>
      <c r="X2" s="1198"/>
      <c r="Y2" s="1454" t="s">
        <v>625</v>
      </c>
      <c r="Z2" s="1455"/>
      <c r="AA2" s="1455"/>
      <c r="AB2" s="1455"/>
      <c r="AC2" s="1455"/>
      <c r="AD2" s="1455"/>
      <c r="AE2" s="1198"/>
      <c r="AF2" s="1198"/>
      <c r="AG2" s="1456" t="s">
        <v>626</v>
      </c>
      <c r="AH2" s="1455"/>
      <c r="AI2" s="1455"/>
      <c r="AJ2" s="1458" t="s">
        <v>627</v>
      </c>
      <c r="AK2" s="1458"/>
      <c r="AL2" s="1458"/>
      <c r="AM2" s="1458"/>
      <c r="AN2" s="1458"/>
      <c r="AO2" s="1458"/>
      <c r="AP2" s="1458"/>
      <c r="AQ2" s="1458"/>
      <c r="AR2" s="1458"/>
      <c r="AS2" s="1458"/>
      <c r="AT2" s="1199"/>
      <c r="AU2" s="1457" t="s">
        <v>385</v>
      </c>
      <c r="AV2" s="1457"/>
      <c r="AW2" s="1457"/>
      <c r="AX2" s="1457"/>
      <c r="AY2" s="1457"/>
      <c r="AZ2" s="1457"/>
      <c r="BA2" s="1457"/>
      <c r="BB2" s="1180"/>
      <c r="BC2" s="1180"/>
      <c r="BD2" s="1180"/>
      <c r="BE2" s="1180"/>
      <c r="BF2" s="1180"/>
      <c r="BG2" s="1180"/>
      <c r="BH2" s="1180"/>
      <c r="BI2" s="1180"/>
      <c r="BJ2" s="1186" t="s">
        <v>628</v>
      </c>
    </row>
    <row r="3" spans="1:62" ht="43.4" customHeight="1">
      <c r="A3" s="1170"/>
      <c r="B3" s="1170"/>
      <c r="C3" s="1170"/>
      <c r="D3" s="1170"/>
      <c r="E3" s="1170"/>
      <c r="F3" s="1170"/>
      <c r="G3" s="1170"/>
      <c r="H3" s="1170"/>
      <c r="I3" s="1170"/>
      <c r="J3" s="1170"/>
      <c r="K3" s="1170"/>
      <c r="L3" s="1170"/>
      <c r="M3" s="1170"/>
      <c r="N3" s="1170"/>
      <c r="O3" s="1196" t="s">
        <v>629</v>
      </c>
      <c r="P3" s="1179" t="s">
        <v>630</v>
      </c>
      <c r="Q3" s="1179" t="s">
        <v>631</v>
      </c>
      <c r="R3" s="1179" t="s">
        <v>632</v>
      </c>
      <c r="S3" s="1179" t="s">
        <v>633</v>
      </c>
      <c r="T3" s="1179" t="s">
        <v>634</v>
      </c>
      <c r="U3" s="1179" t="s">
        <v>635</v>
      </c>
      <c r="V3" s="1179" t="s">
        <v>636</v>
      </c>
      <c r="W3" s="1179" t="s">
        <v>637</v>
      </c>
      <c r="X3" s="1179" t="s">
        <v>638</v>
      </c>
      <c r="Y3" s="1179" t="s">
        <v>639</v>
      </c>
      <c r="Z3" s="1179"/>
      <c r="AA3" s="1179"/>
      <c r="AB3" s="1179"/>
      <c r="AC3" s="1179" t="s">
        <v>640</v>
      </c>
      <c r="AD3" s="1179" t="s">
        <v>641</v>
      </c>
      <c r="AE3" s="1179" t="s">
        <v>642</v>
      </c>
      <c r="AF3" s="1179" t="s">
        <v>643</v>
      </c>
      <c r="AG3" s="1179" t="s">
        <v>644</v>
      </c>
      <c r="AH3" s="1179" t="s">
        <v>645</v>
      </c>
      <c r="AI3" s="1179" t="s">
        <v>646</v>
      </c>
      <c r="AJ3" s="1179" t="s">
        <v>647</v>
      </c>
      <c r="AK3" s="1179" t="s">
        <v>648</v>
      </c>
      <c r="AL3" s="1179" t="s">
        <v>649</v>
      </c>
      <c r="AM3" s="1179" t="s">
        <v>650</v>
      </c>
      <c r="AN3" s="1179" t="s">
        <v>651</v>
      </c>
      <c r="AO3" s="1179" t="s">
        <v>652</v>
      </c>
      <c r="AP3" s="1179" t="s">
        <v>653</v>
      </c>
      <c r="AQ3" s="1192" t="s">
        <v>654</v>
      </c>
      <c r="AR3" s="1179" t="s">
        <v>655</v>
      </c>
      <c r="AS3" s="1179" t="s">
        <v>656</v>
      </c>
      <c r="AT3" s="1179" t="s">
        <v>657</v>
      </c>
      <c r="AU3" s="1179" t="s">
        <v>658</v>
      </c>
      <c r="AV3" s="1179" t="s">
        <v>659</v>
      </c>
      <c r="AW3" s="1179" t="s">
        <v>660</v>
      </c>
      <c r="AX3" s="1179" t="s">
        <v>661</v>
      </c>
      <c r="AY3" s="1179" t="s">
        <v>662</v>
      </c>
      <c r="AZ3" s="1179" t="s">
        <v>663</v>
      </c>
      <c r="BA3" s="1179" t="s">
        <v>640</v>
      </c>
      <c r="BB3" s="1187" t="s">
        <v>664</v>
      </c>
      <c r="BC3" s="1187" t="s">
        <v>665</v>
      </c>
      <c r="BD3" s="1187" t="s">
        <v>666</v>
      </c>
      <c r="BE3" s="1187" t="s">
        <v>667</v>
      </c>
      <c r="BF3" s="1187" t="s">
        <v>668</v>
      </c>
      <c r="BG3" s="1187" t="s">
        <v>669</v>
      </c>
      <c r="BH3" s="1187" t="s">
        <v>670</v>
      </c>
      <c r="BI3" s="1187" t="s">
        <v>671</v>
      </c>
      <c r="BJ3" s="1181" t="s">
        <v>672</v>
      </c>
    </row>
    <row r="4" spans="1:62" ht="63" customHeight="1">
      <c r="A4" s="1190" t="s">
        <v>673</v>
      </c>
      <c r="B4" s="1169" t="s">
        <v>56</v>
      </c>
      <c r="C4" s="1169" t="s">
        <v>674</v>
      </c>
      <c r="D4" s="1169" t="s">
        <v>544</v>
      </c>
      <c r="E4" s="1169" t="s">
        <v>675</v>
      </c>
      <c r="F4" s="1169" t="s">
        <v>676</v>
      </c>
      <c r="G4" s="1169" t="s">
        <v>677</v>
      </c>
      <c r="H4" s="1169" t="s">
        <v>131</v>
      </c>
      <c r="I4" s="1176" t="s">
        <v>348</v>
      </c>
      <c r="J4" s="1176" t="s">
        <v>150</v>
      </c>
      <c r="K4" s="1176" t="s">
        <v>678</v>
      </c>
      <c r="L4" s="1174" t="s">
        <v>159</v>
      </c>
      <c r="M4" s="1169" t="s">
        <v>109</v>
      </c>
      <c r="N4" s="1169" t="s">
        <v>679</v>
      </c>
      <c r="O4" s="1197" t="s">
        <v>680</v>
      </c>
      <c r="P4" s="1187" t="s">
        <v>681</v>
      </c>
      <c r="Q4" s="1187" t="s">
        <v>682</v>
      </c>
      <c r="R4" s="1187" t="s">
        <v>683</v>
      </c>
      <c r="S4" s="1187" t="s">
        <v>684</v>
      </c>
      <c r="T4" s="1187" t="s">
        <v>685</v>
      </c>
      <c r="U4" s="1187" t="s">
        <v>686</v>
      </c>
      <c r="V4" s="1187" t="s">
        <v>687</v>
      </c>
      <c r="W4" s="1187" t="s">
        <v>688</v>
      </c>
      <c r="X4" s="1187" t="s">
        <v>689</v>
      </c>
      <c r="Y4" s="1187" t="s">
        <v>690</v>
      </c>
      <c r="Z4" s="1187" t="s">
        <v>691</v>
      </c>
      <c r="AA4" s="1187" t="s">
        <v>692</v>
      </c>
      <c r="AB4" s="1187" t="s">
        <v>693</v>
      </c>
      <c r="AC4" s="1187" t="s">
        <v>694</v>
      </c>
      <c r="AD4" s="1187" t="s">
        <v>695</v>
      </c>
      <c r="AE4" s="1187" t="s">
        <v>696</v>
      </c>
      <c r="AF4" s="1187" t="s">
        <v>697</v>
      </c>
      <c r="AG4" s="1187" t="s">
        <v>210</v>
      </c>
      <c r="AH4" s="1187" t="s">
        <v>211</v>
      </c>
      <c r="AI4" s="1187" t="s">
        <v>698</v>
      </c>
      <c r="AJ4" s="1187" t="s">
        <v>699</v>
      </c>
      <c r="AK4" s="1187" t="s">
        <v>700</v>
      </c>
      <c r="AL4" s="1187" t="s">
        <v>701</v>
      </c>
      <c r="AM4" s="1187" t="s">
        <v>702</v>
      </c>
      <c r="AN4" s="1187" t="s">
        <v>703</v>
      </c>
      <c r="AO4" s="1187" t="s">
        <v>704</v>
      </c>
      <c r="AP4" s="1187" t="s">
        <v>705</v>
      </c>
      <c r="AQ4" s="1188" t="s">
        <v>706</v>
      </c>
      <c r="AR4" s="1187" t="s">
        <v>707</v>
      </c>
      <c r="AS4" s="1187" t="s">
        <v>708</v>
      </c>
      <c r="AT4" s="1187" t="s">
        <v>709</v>
      </c>
      <c r="AU4" s="1187" t="s">
        <v>710</v>
      </c>
      <c r="AV4" s="1187" t="s">
        <v>711</v>
      </c>
      <c r="AW4" s="1187" t="s">
        <v>712</v>
      </c>
      <c r="AX4" s="1187" t="s">
        <v>713</v>
      </c>
      <c r="AY4" s="1187" t="s">
        <v>714</v>
      </c>
      <c r="AZ4" s="1187" t="s">
        <v>715</v>
      </c>
      <c r="BA4" s="1187"/>
      <c r="BB4" s="1187" t="s">
        <v>426</v>
      </c>
      <c r="BC4" s="1187" t="s">
        <v>716</v>
      </c>
      <c r="BD4" s="1187" t="s">
        <v>717</v>
      </c>
      <c r="BE4" s="1187" t="s">
        <v>718</v>
      </c>
      <c r="BF4" s="1187" t="s">
        <v>719</v>
      </c>
      <c r="BG4" s="1187" t="s">
        <v>720</v>
      </c>
      <c r="BH4" s="1187" t="s">
        <v>721</v>
      </c>
      <c r="BI4" s="1187" t="s">
        <v>722</v>
      </c>
      <c r="BJ4" s="1189" t="s">
        <v>723</v>
      </c>
    </row>
    <row r="5" spans="1:62">
      <c r="A5" s="1171">
        <v>2021</v>
      </c>
      <c r="B5" s="1173">
        <f>Q5</f>
        <v>394.202</v>
      </c>
      <c r="C5" s="1173">
        <f>SUM(Y5:AB5)</f>
        <v>195.7</v>
      </c>
      <c r="D5" s="1173">
        <f>T5</f>
        <v>18.823</v>
      </c>
      <c r="E5" s="1173">
        <f>SUM(P5:S5)-B5</f>
        <v>0.77600000000001046</v>
      </c>
      <c r="F5" s="1173">
        <f>SUM(T5:AF5)-C5-L5-D5 - 28</f>
        <v>19.722000000000016</v>
      </c>
      <c r="G5" s="1173">
        <f>SUM(BB5:BI5)-BC5</f>
        <v>81.642999999999986</v>
      </c>
      <c r="H5" s="1173">
        <f>SUM(AG5:AI5)</f>
        <v>7.798</v>
      </c>
      <c r="I5" s="1173">
        <f>AJ5</f>
        <v>283.95749999999998</v>
      </c>
      <c r="J5" s="1173">
        <f>AL5</f>
        <v>12.347</v>
      </c>
      <c r="K5" s="1173">
        <f>SUM(AM5:AT5)</f>
        <v>29.628</v>
      </c>
      <c r="L5" s="1177">
        <f>103/4</f>
        <v>25.75</v>
      </c>
      <c r="M5" s="1173">
        <f t="shared" ref="M5:M16" si="0">SUM(AU5:BA5)</f>
        <v>31.939</v>
      </c>
      <c r="N5" s="1173">
        <f>AK5</f>
        <v>3.4</v>
      </c>
      <c r="O5" s="1200">
        <v>50</v>
      </c>
      <c r="P5" s="1194">
        <v>0.55000000000000004</v>
      </c>
      <c r="Q5" s="1030">
        <v>394.202</v>
      </c>
      <c r="R5" s="1202">
        <v>0.14599999999999999</v>
      </c>
      <c r="S5" s="1202">
        <v>0.08</v>
      </c>
      <c r="T5" s="1202">
        <v>18.823</v>
      </c>
      <c r="U5" s="1030">
        <v>19</v>
      </c>
      <c r="V5" s="1202">
        <v>11.481999999999999</v>
      </c>
      <c r="W5" s="755">
        <v>1.5580000000000001</v>
      </c>
      <c r="X5" s="755">
        <v>0.74</v>
      </c>
      <c r="Y5" s="1030">
        <v>0.2</v>
      </c>
      <c r="Z5" s="1030">
        <v>43.1</v>
      </c>
      <c r="AA5" s="1030">
        <v>33.9</v>
      </c>
      <c r="AB5" s="1030">
        <v>118.5</v>
      </c>
      <c r="AC5" s="1030">
        <v>28</v>
      </c>
      <c r="AD5" s="755">
        <v>-2.0379999999999998</v>
      </c>
      <c r="AE5" s="1030">
        <v>14.31</v>
      </c>
      <c r="AF5" s="1202">
        <v>0.42</v>
      </c>
      <c r="AG5" s="1202">
        <v>7.7279999999999998</v>
      </c>
      <c r="AH5" s="1030">
        <v>7.0000000000000007E-2</v>
      </c>
      <c r="AI5" s="1030">
        <v>0</v>
      </c>
      <c r="AJ5" s="1030">
        <v>283.95749999999998</v>
      </c>
      <c r="AK5" s="1193">
        <v>3.4</v>
      </c>
      <c r="AL5" s="1193">
        <v>12.347</v>
      </c>
      <c r="AM5" s="1203">
        <v>0.28599999999999998</v>
      </c>
      <c r="AN5" s="1193">
        <v>2</v>
      </c>
      <c r="AO5" s="1030">
        <v>0.81</v>
      </c>
      <c r="AP5" s="1193">
        <v>0.52100000000000002</v>
      </c>
      <c r="AQ5" s="1204">
        <v>10</v>
      </c>
      <c r="AR5" s="1193">
        <v>2.7</v>
      </c>
      <c r="AS5" s="1193">
        <v>0.751</v>
      </c>
      <c r="AT5" s="1030">
        <v>12.56</v>
      </c>
      <c r="AU5" s="1030">
        <v>0</v>
      </c>
      <c r="AV5" s="1193">
        <v>1.415</v>
      </c>
      <c r="AW5" s="1193">
        <v>10.51</v>
      </c>
      <c r="AX5" s="1193">
        <v>2.6</v>
      </c>
      <c r="AY5" s="1030">
        <v>-0.33</v>
      </c>
      <c r="AZ5" s="1193">
        <v>17.744</v>
      </c>
      <c r="BA5" s="1030">
        <v>0</v>
      </c>
      <c r="BB5" s="1193">
        <v>4.0999999999999996</v>
      </c>
      <c r="BC5" s="1193">
        <v>7.25</v>
      </c>
      <c r="BD5" s="1193">
        <v>48.4</v>
      </c>
      <c r="BE5" s="1202">
        <v>0.83</v>
      </c>
      <c r="BF5" s="755">
        <v>4.5110000000000001</v>
      </c>
      <c r="BG5" s="1030">
        <v>3.0739999999999998</v>
      </c>
      <c r="BH5" s="1158">
        <v>-0.28399999999999997</v>
      </c>
      <c r="BI5" s="1193">
        <v>21.012</v>
      </c>
      <c r="BJ5" s="1182">
        <v>1.1599999999999999</v>
      </c>
    </row>
    <row r="6" spans="1:62">
      <c r="A6" s="1171">
        <v>2022</v>
      </c>
      <c r="B6" s="1173">
        <f t="shared" ref="B6:B15" si="1">Q6</f>
        <v>17.465</v>
      </c>
      <c r="C6" s="1173">
        <f t="shared" ref="C6:C15" si="2">SUM(Y6:AB6)</f>
        <v>10.1</v>
      </c>
      <c r="D6" s="1173">
        <f t="shared" ref="D6:D15" si="3">T6</f>
        <v>2.5950000000000002</v>
      </c>
      <c r="E6" s="1173">
        <f t="shared" ref="E6:E15" si="4">SUM(P6:S6)-B6</f>
        <v>19.719000000000005</v>
      </c>
      <c r="F6" s="1173">
        <f>SUM(T6:AF6)-C6-L6-D6</f>
        <v>52.756999999999998</v>
      </c>
      <c r="G6" s="1173">
        <f t="shared" ref="G6:G16" si="5">SUM(BB6:BI6)-BC6</f>
        <v>110.24799999999999</v>
      </c>
      <c r="H6" s="1173">
        <f t="shared" ref="H6:H15" si="6">SUM(AG6:AI6)</f>
        <v>7.9489999999999998</v>
      </c>
      <c r="I6" s="1173">
        <f t="shared" ref="I6:I15" si="7">AJ6</f>
        <v>77.092500000000001</v>
      </c>
      <c r="J6" s="1173">
        <f t="shared" ref="J6:J15" si="8">AL6</f>
        <v>46.79</v>
      </c>
      <c r="K6" s="1173">
        <f t="shared" ref="K6:K16" si="9">SUM(AM6:AT6)</f>
        <v>35.671000000000006</v>
      </c>
      <c r="L6" s="1177">
        <v>0</v>
      </c>
      <c r="M6" s="1173">
        <f t="shared" si="0"/>
        <v>56.412999999999997</v>
      </c>
      <c r="N6" s="1173">
        <f t="shared" ref="N6:N15" si="10">AK6</f>
        <v>5.0999999999999996</v>
      </c>
      <c r="O6" s="1200">
        <v>55</v>
      </c>
      <c r="P6" s="1194">
        <v>15.61</v>
      </c>
      <c r="Q6" s="1030">
        <v>17.465</v>
      </c>
      <c r="R6" s="1202">
        <v>0.317</v>
      </c>
      <c r="S6" s="1202">
        <v>3.7919999999999998</v>
      </c>
      <c r="T6" s="1030">
        <v>2.5950000000000002</v>
      </c>
      <c r="U6" s="1193">
        <v>14.5</v>
      </c>
      <c r="V6" s="1030">
        <v>25.070999999999998</v>
      </c>
      <c r="W6" s="755">
        <v>1.952</v>
      </c>
      <c r="X6" s="755">
        <v>0.61399999999999999</v>
      </c>
      <c r="Y6" s="1193">
        <v>0</v>
      </c>
      <c r="Z6" s="1193">
        <v>2.2999999999999998</v>
      </c>
      <c r="AA6" s="1193">
        <v>1.6</v>
      </c>
      <c r="AB6" s="1193">
        <v>6.2</v>
      </c>
      <c r="AC6" s="1030">
        <v>0</v>
      </c>
      <c r="AD6" s="1030">
        <v>1.31</v>
      </c>
      <c r="AE6" s="1030">
        <v>8.61</v>
      </c>
      <c r="AF6" s="1030">
        <v>0.7</v>
      </c>
      <c r="AG6" s="1202">
        <v>7.782</v>
      </c>
      <c r="AH6" s="1030">
        <v>0.12</v>
      </c>
      <c r="AI6" s="1030">
        <v>4.7E-2</v>
      </c>
      <c r="AJ6" s="1030">
        <v>77.092500000000001</v>
      </c>
      <c r="AK6" s="1193">
        <v>5.0999999999999996</v>
      </c>
      <c r="AL6" s="1193">
        <v>46.79</v>
      </c>
      <c r="AM6" s="1158">
        <v>0.30499999999999999</v>
      </c>
      <c r="AN6" s="1193">
        <v>4.3</v>
      </c>
      <c r="AO6" s="755">
        <v>1.1000000000000001</v>
      </c>
      <c r="AP6" s="1193">
        <v>1.575</v>
      </c>
      <c r="AQ6" s="1204">
        <v>10</v>
      </c>
      <c r="AR6" s="1193">
        <v>4.5</v>
      </c>
      <c r="AS6" s="1193">
        <v>1.9810000000000001</v>
      </c>
      <c r="AT6" s="1030">
        <v>11.91</v>
      </c>
      <c r="AU6" s="1030">
        <v>0</v>
      </c>
      <c r="AV6" s="1193">
        <v>3.927</v>
      </c>
      <c r="AW6" s="1193">
        <v>4.2880000000000003</v>
      </c>
      <c r="AX6" s="1193">
        <v>3.7</v>
      </c>
      <c r="AY6" s="1030">
        <v>-1.34</v>
      </c>
      <c r="AZ6" s="1193">
        <v>45.838000000000001</v>
      </c>
      <c r="BA6" s="1030">
        <v>0</v>
      </c>
      <c r="BB6" s="1193">
        <v>11.3</v>
      </c>
      <c r="BC6" s="1193">
        <v>0</v>
      </c>
      <c r="BD6" s="1193">
        <v>1.1000000000000001</v>
      </c>
      <c r="BE6" s="1202">
        <v>1.75</v>
      </c>
      <c r="BF6" s="755">
        <v>1.7330000000000001</v>
      </c>
      <c r="BG6" s="755">
        <v>7.1440000000000001</v>
      </c>
      <c r="BH6" s="1159">
        <v>81.608999999999995</v>
      </c>
      <c r="BI6" s="1193">
        <v>5.6120000000000001</v>
      </c>
      <c r="BJ6" s="1182">
        <v>4.2</v>
      </c>
    </row>
    <row r="7" spans="1:62">
      <c r="A7" s="1171">
        <v>2023</v>
      </c>
      <c r="B7" s="1173">
        <f t="shared" si="1"/>
        <v>0.48599999999999999</v>
      </c>
      <c r="C7" s="1173">
        <f t="shared" si="2"/>
        <v>0</v>
      </c>
      <c r="D7" s="1173">
        <f t="shared" si="3"/>
        <v>0.93700000000000006</v>
      </c>
      <c r="E7" s="1173">
        <f t="shared" si="4"/>
        <v>1.4159999999999999</v>
      </c>
      <c r="F7" s="1173">
        <f t="shared" ref="F7:F15" si="11">SUM(T7:AF7)-C7-L7-D7</f>
        <v>12</v>
      </c>
      <c r="G7" s="1173">
        <f t="shared" si="5"/>
        <v>12.726000000000001</v>
      </c>
      <c r="H7" s="1173">
        <f t="shared" si="6"/>
        <v>4.7519999999999998</v>
      </c>
      <c r="I7" s="1173">
        <f t="shared" si="7"/>
        <v>1</v>
      </c>
      <c r="J7" s="1173">
        <f t="shared" si="8"/>
        <v>38.595999999999997</v>
      </c>
      <c r="K7" s="1173">
        <f t="shared" si="9"/>
        <v>24.216000000000001</v>
      </c>
      <c r="L7" s="1177">
        <v>0</v>
      </c>
      <c r="M7" s="1173">
        <f t="shared" si="0"/>
        <v>15.652999999999999</v>
      </c>
      <c r="N7" s="1173">
        <f t="shared" si="10"/>
        <v>0</v>
      </c>
      <c r="O7" s="1200">
        <v>0.7</v>
      </c>
      <c r="P7" s="1194">
        <v>0.96</v>
      </c>
      <c r="Q7" s="1030">
        <v>0.48599999999999999</v>
      </c>
      <c r="R7" s="1202">
        <v>0.45600000000000002</v>
      </c>
      <c r="S7" s="1030">
        <v>0</v>
      </c>
      <c r="T7" s="1160">
        <v>0.93700000000000006</v>
      </c>
      <c r="U7" s="1193">
        <v>3</v>
      </c>
      <c r="V7" s="1202">
        <v>7.891</v>
      </c>
      <c r="W7" s="755">
        <v>0.61699999999999999</v>
      </c>
      <c r="X7" s="755">
        <v>8.4000000000000005E-2</v>
      </c>
      <c r="Y7" s="1193">
        <v>0</v>
      </c>
      <c r="Z7" s="1193">
        <v>0</v>
      </c>
      <c r="AA7" s="1193">
        <v>0</v>
      </c>
      <c r="AB7" s="1193">
        <v>0</v>
      </c>
      <c r="AC7" s="1030">
        <v>0</v>
      </c>
      <c r="AD7" s="1030">
        <v>0.318</v>
      </c>
      <c r="AE7" s="1202">
        <v>-0.11000000000000001</v>
      </c>
      <c r="AF7" s="1030">
        <v>0.2</v>
      </c>
      <c r="AG7" s="1202">
        <v>4.6749999999999998</v>
      </c>
      <c r="AH7" s="1030">
        <v>0.06</v>
      </c>
      <c r="AI7" s="1030">
        <v>1.7000000000000001E-2</v>
      </c>
      <c r="AJ7" s="1030">
        <v>1</v>
      </c>
      <c r="AK7" s="1193">
        <v>0</v>
      </c>
      <c r="AL7" s="1193">
        <v>38.595999999999997</v>
      </c>
      <c r="AM7" s="1030">
        <v>0.14899999999999999</v>
      </c>
      <c r="AN7" s="1193">
        <v>1.2</v>
      </c>
      <c r="AO7" s="755">
        <v>0.53</v>
      </c>
      <c r="AP7" s="1193">
        <v>0.38100000000000001</v>
      </c>
      <c r="AQ7" s="1204">
        <v>8</v>
      </c>
      <c r="AR7" s="1193">
        <v>4.5</v>
      </c>
      <c r="AS7" s="1193">
        <v>0.76600000000000001</v>
      </c>
      <c r="AT7" s="1030">
        <v>8.69</v>
      </c>
      <c r="AU7" s="1030">
        <v>0</v>
      </c>
      <c r="AV7" s="1193">
        <v>1.93</v>
      </c>
      <c r="AW7" s="1193">
        <v>1.4379999999999999</v>
      </c>
      <c r="AX7" s="1193">
        <v>2.6</v>
      </c>
      <c r="AY7" s="755">
        <v>-2.48</v>
      </c>
      <c r="AZ7" s="1193">
        <v>12.164999999999999</v>
      </c>
      <c r="BA7" s="755">
        <v>0</v>
      </c>
      <c r="BB7" s="1193">
        <v>8.4</v>
      </c>
      <c r="BC7" s="1193">
        <v>0</v>
      </c>
      <c r="BD7" s="1193">
        <v>0.3</v>
      </c>
      <c r="BE7" s="1202">
        <v>1.8</v>
      </c>
      <c r="BF7" s="755">
        <v>0</v>
      </c>
      <c r="BG7" s="755">
        <v>0</v>
      </c>
      <c r="BH7" s="1158">
        <v>1.3759999999999999</v>
      </c>
      <c r="BI7" s="1193">
        <v>0.85</v>
      </c>
      <c r="BJ7" s="1182">
        <v>2.7</v>
      </c>
    </row>
    <row r="8" spans="1:62">
      <c r="A8" s="1171">
        <v>2024</v>
      </c>
      <c r="B8" s="1173">
        <f t="shared" si="1"/>
        <v>0</v>
      </c>
      <c r="C8" s="1173">
        <f t="shared" si="2"/>
        <v>0</v>
      </c>
      <c r="D8" s="1173">
        <f t="shared" si="3"/>
        <v>0.16</v>
      </c>
      <c r="E8" s="1173">
        <f t="shared" si="4"/>
        <v>1.4790000000000001</v>
      </c>
      <c r="F8" s="1173">
        <f t="shared" si="11"/>
        <v>4.2219999999999995</v>
      </c>
      <c r="G8" s="1173">
        <f t="shared" si="5"/>
        <v>1.365</v>
      </c>
      <c r="H8" s="1173">
        <f t="shared" si="6"/>
        <v>4.637999999999999</v>
      </c>
      <c r="I8" s="1173">
        <f t="shared" si="7"/>
        <v>0</v>
      </c>
      <c r="J8" s="1173">
        <f t="shared" si="8"/>
        <v>31.911000000000001</v>
      </c>
      <c r="K8" s="1173">
        <f t="shared" si="9"/>
        <v>9.6430000000000007</v>
      </c>
      <c r="L8" s="1177">
        <v>0</v>
      </c>
      <c r="M8" s="1173">
        <f t="shared" si="0"/>
        <v>3.9320000000000004</v>
      </c>
      <c r="N8" s="1173">
        <f t="shared" si="10"/>
        <v>0</v>
      </c>
      <c r="O8" s="1200">
        <v>0.7</v>
      </c>
      <c r="P8" s="1194">
        <v>0.96</v>
      </c>
      <c r="Q8" s="1193">
        <v>0</v>
      </c>
      <c r="R8" s="1202">
        <v>0.51900000000000002</v>
      </c>
      <c r="S8" s="1030">
        <v>0</v>
      </c>
      <c r="T8" s="1161">
        <v>0.16</v>
      </c>
      <c r="U8" s="1193">
        <v>2.8</v>
      </c>
      <c r="V8" s="1030">
        <v>0.504</v>
      </c>
      <c r="W8" s="755">
        <v>0.47199999999999998</v>
      </c>
      <c r="X8" s="755">
        <v>2E-3</v>
      </c>
      <c r="Y8" s="1193">
        <v>0</v>
      </c>
      <c r="Z8" s="1193">
        <v>0</v>
      </c>
      <c r="AA8" s="1193">
        <v>0</v>
      </c>
      <c r="AB8" s="1193">
        <v>0</v>
      </c>
      <c r="AC8" s="1030">
        <v>0</v>
      </c>
      <c r="AD8" s="1030">
        <v>0.34399999999999997</v>
      </c>
      <c r="AE8" s="1202">
        <v>0</v>
      </c>
      <c r="AF8" s="1202">
        <v>0.1</v>
      </c>
      <c r="AG8" s="1202">
        <v>4.5739999999999998</v>
      </c>
      <c r="AH8" s="1030">
        <v>0.06</v>
      </c>
      <c r="AI8" s="1030">
        <v>4.0000000000000001E-3</v>
      </c>
      <c r="AJ8" s="1030">
        <v>0</v>
      </c>
      <c r="AK8" s="1193">
        <v>0</v>
      </c>
      <c r="AL8" s="1193">
        <v>31.911000000000001</v>
      </c>
      <c r="AM8" s="1030">
        <v>4.1000000000000002E-2</v>
      </c>
      <c r="AN8" s="1193">
        <v>0.4</v>
      </c>
      <c r="AO8" s="755">
        <v>0.41</v>
      </c>
      <c r="AP8" s="1193">
        <v>0.13100000000000001</v>
      </c>
      <c r="AQ8" s="1204">
        <v>0</v>
      </c>
      <c r="AR8" s="1193">
        <v>3</v>
      </c>
      <c r="AS8" s="1193">
        <v>0.30099999999999999</v>
      </c>
      <c r="AT8" s="755">
        <v>5.36</v>
      </c>
      <c r="AU8" s="1030">
        <v>0</v>
      </c>
      <c r="AV8" s="1193">
        <v>0.79600000000000004</v>
      </c>
      <c r="AW8" s="1193">
        <v>0.27500000000000002</v>
      </c>
      <c r="AX8" s="1193">
        <v>1</v>
      </c>
      <c r="AY8" s="755">
        <v>-2.6</v>
      </c>
      <c r="AZ8" s="1193">
        <v>4.4610000000000003</v>
      </c>
      <c r="BA8" s="755">
        <v>0</v>
      </c>
      <c r="BB8" s="1193">
        <v>0.2</v>
      </c>
      <c r="BC8" s="1193">
        <v>0</v>
      </c>
      <c r="BD8" s="1193">
        <v>0</v>
      </c>
      <c r="BE8" s="1202">
        <v>1.95</v>
      </c>
      <c r="BF8" s="755">
        <v>0</v>
      </c>
      <c r="BG8" s="755">
        <v>0</v>
      </c>
      <c r="BH8" s="1158">
        <v>-0.875</v>
      </c>
      <c r="BI8" s="1193">
        <v>0.09</v>
      </c>
      <c r="BJ8" s="1183">
        <v>0.87</v>
      </c>
    </row>
    <row r="9" spans="1:62">
      <c r="A9" s="1171">
        <v>2025</v>
      </c>
      <c r="B9" s="1173">
        <f t="shared" si="1"/>
        <v>0</v>
      </c>
      <c r="C9" s="1173">
        <f t="shared" si="2"/>
        <v>0</v>
      </c>
      <c r="D9" s="1173">
        <f t="shared" si="3"/>
        <v>3.3000000000000002E-2</v>
      </c>
      <c r="E9" s="1173">
        <f t="shared" si="4"/>
        <v>1.63</v>
      </c>
      <c r="F9" s="1173">
        <f t="shared" si="11"/>
        <v>2.3719999999999999</v>
      </c>
      <c r="G9" s="1173">
        <f t="shared" si="5"/>
        <v>-0.90100000000000025</v>
      </c>
      <c r="H9" s="1173">
        <f t="shared" si="6"/>
        <v>1.8800000000000001</v>
      </c>
      <c r="I9" s="1173">
        <f t="shared" si="7"/>
        <v>0</v>
      </c>
      <c r="J9" s="1173">
        <f t="shared" si="8"/>
        <v>23.099</v>
      </c>
      <c r="K9" s="1173">
        <f t="shared" si="9"/>
        <v>4.5789999999999997</v>
      </c>
      <c r="L9" s="1177">
        <v>0</v>
      </c>
      <c r="M9" s="1173">
        <f t="shared" si="0"/>
        <v>-0.74299999999999988</v>
      </c>
      <c r="N9" s="1173">
        <f t="shared" si="10"/>
        <v>0</v>
      </c>
      <c r="O9" s="1200">
        <v>0.7</v>
      </c>
      <c r="P9" s="1194">
        <v>1.06</v>
      </c>
      <c r="Q9" s="1193">
        <v>0</v>
      </c>
      <c r="R9" s="1202">
        <v>0.56999999999999995</v>
      </c>
      <c r="S9" s="1030">
        <v>0</v>
      </c>
      <c r="T9" s="1162">
        <v>3.3000000000000002E-2</v>
      </c>
      <c r="U9" s="1193">
        <v>2</v>
      </c>
      <c r="V9" s="1162">
        <v>0</v>
      </c>
      <c r="W9" s="755">
        <v>0.21299999999999999</v>
      </c>
      <c r="X9" s="755">
        <v>2E-3</v>
      </c>
      <c r="Y9" s="1193">
        <v>0</v>
      </c>
      <c r="Z9" s="1193">
        <v>0</v>
      </c>
      <c r="AA9" s="1193">
        <v>0</v>
      </c>
      <c r="AB9" s="1193">
        <v>0</v>
      </c>
      <c r="AC9" s="1030">
        <v>0</v>
      </c>
      <c r="AD9" s="1030">
        <v>0.157</v>
      </c>
      <c r="AE9" s="1202">
        <v>0</v>
      </c>
      <c r="AF9" s="1202">
        <v>0</v>
      </c>
      <c r="AG9" s="1030">
        <v>1.81</v>
      </c>
      <c r="AH9" s="1030">
        <v>7.0000000000000007E-2</v>
      </c>
      <c r="AI9" s="1030">
        <v>0</v>
      </c>
      <c r="AJ9" s="1193">
        <v>0</v>
      </c>
      <c r="AK9" s="1193">
        <v>0</v>
      </c>
      <c r="AL9" s="1193">
        <v>23.099</v>
      </c>
      <c r="AM9" s="1030">
        <v>1.2999999999999999E-2</v>
      </c>
      <c r="AN9" s="1193">
        <v>0.3</v>
      </c>
      <c r="AO9" s="1191">
        <v>0.15</v>
      </c>
      <c r="AP9" s="1193">
        <v>0.112</v>
      </c>
      <c r="AQ9" s="1204">
        <v>0</v>
      </c>
      <c r="AR9" s="1193">
        <v>0.2</v>
      </c>
      <c r="AS9" s="1193">
        <v>7.3999999999999996E-2</v>
      </c>
      <c r="AT9" s="755">
        <v>3.73</v>
      </c>
      <c r="AU9" s="1030">
        <v>0</v>
      </c>
      <c r="AV9" s="1193">
        <v>5.3999999999999999E-2</v>
      </c>
      <c r="AW9" s="1193">
        <v>0.13100000000000001</v>
      </c>
      <c r="AX9" s="1193">
        <v>0</v>
      </c>
      <c r="AY9" s="755">
        <v>-2.71</v>
      </c>
      <c r="AZ9" s="1193">
        <v>1.782</v>
      </c>
      <c r="BA9" s="755">
        <v>0</v>
      </c>
      <c r="BB9" s="1193">
        <v>0</v>
      </c>
      <c r="BC9" s="1193">
        <v>0</v>
      </c>
      <c r="BD9" s="1193">
        <v>0</v>
      </c>
      <c r="BE9" s="1202">
        <v>1.43</v>
      </c>
      <c r="BF9" s="755">
        <v>0</v>
      </c>
      <c r="BG9" s="755">
        <v>0</v>
      </c>
      <c r="BH9" s="1158">
        <v>-2.3410000000000002</v>
      </c>
      <c r="BI9" s="1193">
        <v>0.01</v>
      </c>
      <c r="BJ9" s="1183">
        <v>0.33</v>
      </c>
    </row>
    <row r="10" spans="1:62">
      <c r="A10" s="1171">
        <v>2026</v>
      </c>
      <c r="B10" s="1173">
        <f t="shared" si="1"/>
        <v>0</v>
      </c>
      <c r="C10" s="1173">
        <f t="shared" si="2"/>
        <v>0</v>
      </c>
      <c r="D10" s="1173">
        <f t="shared" si="3"/>
        <v>3.2000000000000001E-2</v>
      </c>
      <c r="E10" s="1173">
        <f t="shared" si="4"/>
        <v>1.671</v>
      </c>
      <c r="F10" s="1173">
        <f t="shared" si="11"/>
        <v>0.49</v>
      </c>
      <c r="G10" s="1173">
        <f t="shared" si="5"/>
        <v>-2.1500000000000004</v>
      </c>
      <c r="H10" s="1173">
        <f t="shared" si="6"/>
        <v>1.446</v>
      </c>
      <c r="I10" s="1173">
        <f t="shared" si="7"/>
        <v>0</v>
      </c>
      <c r="J10" s="1173">
        <f t="shared" si="8"/>
        <v>10.766999999999999</v>
      </c>
      <c r="K10" s="1173">
        <f t="shared" si="9"/>
        <v>2.9130000000000003</v>
      </c>
      <c r="L10" s="1177"/>
      <c r="M10" s="1173">
        <f t="shared" si="0"/>
        <v>-21.606000000000002</v>
      </c>
      <c r="N10" s="1173">
        <f t="shared" si="10"/>
        <v>0</v>
      </c>
      <c r="O10" s="1200">
        <v>0.7</v>
      </c>
      <c r="P10" s="1194">
        <v>1.07</v>
      </c>
      <c r="Q10" s="1193">
        <v>0</v>
      </c>
      <c r="R10" s="1202">
        <v>0.60099999999999998</v>
      </c>
      <c r="S10" s="1030">
        <v>0</v>
      </c>
      <c r="T10" s="1158">
        <v>3.2000000000000001E-2</v>
      </c>
      <c r="U10" s="1193">
        <v>0.3</v>
      </c>
      <c r="V10" s="1202">
        <v>0</v>
      </c>
      <c r="W10" s="755">
        <v>0.188</v>
      </c>
      <c r="X10" s="755">
        <v>2E-3</v>
      </c>
      <c r="Y10" s="1193">
        <v>0</v>
      </c>
      <c r="Z10" s="1193">
        <v>0</v>
      </c>
      <c r="AA10" s="1193">
        <v>0</v>
      </c>
      <c r="AB10" s="1193">
        <v>0</v>
      </c>
      <c r="AC10" s="1030">
        <v>0</v>
      </c>
      <c r="AD10" s="1030">
        <v>0</v>
      </c>
      <c r="AE10" s="1030">
        <v>0</v>
      </c>
      <c r="AF10" s="1202">
        <v>0</v>
      </c>
      <c r="AG10" s="1030">
        <v>1.3759999999999999</v>
      </c>
      <c r="AH10" s="1030">
        <v>7.0000000000000007E-2</v>
      </c>
      <c r="AI10" s="1030">
        <v>0</v>
      </c>
      <c r="AJ10" s="1163">
        <v>0</v>
      </c>
      <c r="AK10" s="1193">
        <v>0</v>
      </c>
      <c r="AL10" s="1193">
        <v>10.766999999999999</v>
      </c>
      <c r="AM10" s="1030">
        <v>3.0000000000000001E-3</v>
      </c>
      <c r="AN10" s="1193">
        <v>0.2</v>
      </c>
      <c r="AO10" s="1191">
        <v>0.1</v>
      </c>
      <c r="AP10" s="1193">
        <v>0.05</v>
      </c>
      <c r="AQ10" s="1204">
        <v>0</v>
      </c>
      <c r="AR10" s="1193">
        <v>0</v>
      </c>
      <c r="AS10" s="1193">
        <v>0</v>
      </c>
      <c r="AT10" s="755">
        <v>2.56</v>
      </c>
      <c r="AU10" s="1030">
        <v>0</v>
      </c>
      <c r="AV10" s="1193">
        <v>3.7999999999999999E-2</v>
      </c>
      <c r="AW10" s="1193">
        <v>2.5999999999999999E-2</v>
      </c>
      <c r="AX10" s="1193">
        <v>0</v>
      </c>
      <c r="AY10" s="755">
        <v>-2.6700000000000004</v>
      </c>
      <c r="AZ10" s="1193">
        <v>0</v>
      </c>
      <c r="BA10" s="755">
        <v>-19</v>
      </c>
      <c r="BB10" s="1193">
        <v>0</v>
      </c>
      <c r="BC10" s="1193">
        <v>0</v>
      </c>
      <c r="BD10" s="1193">
        <v>0</v>
      </c>
      <c r="BE10" s="755">
        <v>0.88</v>
      </c>
      <c r="BF10" s="755">
        <v>0</v>
      </c>
      <c r="BG10" s="755">
        <v>0</v>
      </c>
      <c r="BH10" s="1030">
        <v>-2.8200000000000003</v>
      </c>
      <c r="BI10" s="1193">
        <v>-0.21</v>
      </c>
      <c r="BJ10" s="1183">
        <v>0.17</v>
      </c>
    </row>
    <row r="11" spans="1:62">
      <c r="A11" s="1171">
        <v>2027</v>
      </c>
      <c r="B11" s="1173">
        <f t="shared" si="1"/>
        <v>0</v>
      </c>
      <c r="C11" s="1173">
        <f t="shared" si="2"/>
        <v>0</v>
      </c>
      <c r="D11" s="1173">
        <f t="shared" si="3"/>
        <v>3.2000000000000001E-2</v>
      </c>
      <c r="E11" s="1173">
        <f t="shared" si="4"/>
        <v>1.7130000000000001</v>
      </c>
      <c r="F11" s="1173">
        <f t="shared" si="11"/>
        <v>0</v>
      </c>
      <c r="G11" s="1173">
        <f t="shared" si="5"/>
        <v>-4.8169999999999993</v>
      </c>
      <c r="H11" s="1173">
        <f t="shared" si="6"/>
        <v>0.65699999999999992</v>
      </c>
      <c r="I11" s="1173">
        <f t="shared" si="7"/>
        <v>0</v>
      </c>
      <c r="J11" s="1173">
        <f t="shared" si="8"/>
        <v>4.0789999999999997</v>
      </c>
      <c r="K11" s="1173">
        <f t="shared" si="9"/>
        <v>2.46</v>
      </c>
      <c r="L11" s="1177"/>
      <c r="M11" s="1173">
        <f t="shared" si="0"/>
        <v>-14.713000000000001</v>
      </c>
      <c r="N11" s="1173">
        <f t="shared" si="10"/>
        <v>0</v>
      </c>
      <c r="O11" s="1200">
        <v>0.3</v>
      </c>
      <c r="P11" s="1194">
        <v>1.08</v>
      </c>
      <c r="Q11" s="1193">
        <v>0</v>
      </c>
      <c r="R11" s="1202">
        <v>0.63300000000000001</v>
      </c>
      <c r="S11" s="1161">
        <v>0</v>
      </c>
      <c r="T11" s="1193">
        <v>3.2000000000000001E-2</v>
      </c>
      <c r="U11" s="1193">
        <v>0</v>
      </c>
      <c r="V11" s="1030">
        <v>0</v>
      </c>
      <c r="W11" s="755">
        <v>0</v>
      </c>
      <c r="X11" s="755">
        <v>0</v>
      </c>
      <c r="Y11" s="1193">
        <v>0</v>
      </c>
      <c r="Z11" s="1193">
        <v>0</v>
      </c>
      <c r="AA11" s="1193">
        <v>0</v>
      </c>
      <c r="AB11" s="1193">
        <v>0</v>
      </c>
      <c r="AC11" s="1030">
        <v>0</v>
      </c>
      <c r="AD11" s="1202">
        <v>0</v>
      </c>
      <c r="AE11" s="1030">
        <v>0</v>
      </c>
      <c r="AF11" s="1202">
        <v>0</v>
      </c>
      <c r="AG11" s="1030">
        <v>0.57699999999999996</v>
      </c>
      <c r="AH11" s="1030">
        <v>0.08</v>
      </c>
      <c r="AI11" s="1030">
        <v>0</v>
      </c>
      <c r="AJ11" s="1030">
        <v>0</v>
      </c>
      <c r="AK11" s="1193">
        <v>0</v>
      </c>
      <c r="AL11" s="1193">
        <v>4.0789999999999997</v>
      </c>
      <c r="AM11" s="1193">
        <v>0</v>
      </c>
      <c r="AN11" s="1193">
        <v>0.1</v>
      </c>
      <c r="AO11" s="1191">
        <v>0.1</v>
      </c>
      <c r="AP11" s="1193">
        <v>0.03</v>
      </c>
      <c r="AQ11" s="1204">
        <v>0</v>
      </c>
      <c r="AR11" s="1193">
        <v>0</v>
      </c>
      <c r="AS11" s="1193">
        <v>0</v>
      </c>
      <c r="AT11" s="1191">
        <v>2.23</v>
      </c>
      <c r="AU11" s="1030">
        <v>0</v>
      </c>
      <c r="AV11" s="1193">
        <v>1.7000000000000001E-2</v>
      </c>
      <c r="AW11" s="1193">
        <v>0</v>
      </c>
      <c r="AX11" s="1193">
        <v>0</v>
      </c>
      <c r="AY11" s="755">
        <v>-2.73</v>
      </c>
      <c r="AZ11" s="1193">
        <v>0</v>
      </c>
      <c r="BA11" s="755">
        <v>-12</v>
      </c>
      <c r="BB11" s="1193">
        <v>0</v>
      </c>
      <c r="BC11" s="1193">
        <v>0</v>
      </c>
      <c r="BD11" s="1193">
        <v>0</v>
      </c>
      <c r="BE11" s="755">
        <v>0.28000000000000003</v>
      </c>
      <c r="BF11" s="755">
        <v>0</v>
      </c>
      <c r="BG11" s="755">
        <v>0</v>
      </c>
      <c r="BH11" s="1162">
        <v>-5.0069999999999997</v>
      </c>
      <c r="BI11" s="1193">
        <v>-0.09</v>
      </c>
      <c r="BJ11" s="1184">
        <v>0.06</v>
      </c>
    </row>
    <row r="12" spans="1:62">
      <c r="A12" s="1171">
        <v>2028</v>
      </c>
      <c r="B12" s="1173">
        <f t="shared" si="1"/>
        <v>0</v>
      </c>
      <c r="C12" s="1173">
        <f t="shared" si="2"/>
        <v>0</v>
      </c>
      <c r="D12" s="1173">
        <f t="shared" si="3"/>
        <v>3.3000000000000002E-2</v>
      </c>
      <c r="E12" s="1173">
        <f t="shared" si="4"/>
        <v>1.7130000000000001</v>
      </c>
      <c r="F12" s="1173">
        <f t="shared" si="11"/>
        <v>0</v>
      </c>
      <c r="G12" s="1173">
        <f t="shared" si="5"/>
        <v>-5.0590000000000002</v>
      </c>
      <c r="H12" s="1173">
        <f t="shared" si="6"/>
        <v>-1.071</v>
      </c>
      <c r="I12" s="1173">
        <f t="shared" si="7"/>
        <v>0</v>
      </c>
      <c r="J12" s="1173">
        <f t="shared" si="8"/>
        <v>1.635</v>
      </c>
      <c r="K12" s="1173">
        <f t="shared" si="9"/>
        <v>1.81</v>
      </c>
      <c r="L12" s="1177"/>
      <c r="M12" s="1173">
        <f t="shared" si="0"/>
        <v>-2.7690000000000001</v>
      </c>
      <c r="N12" s="1173">
        <f t="shared" si="10"/>
        <v>0</v>
      </c>
      <c r="O12" s="1200">
        <v>0.3</v>
      </c>
      <c r="P12" s="1194">
        <v>1.08</v>
      </c>
      <c r="Q12" s="1193">
        <v>0</v>
      </c>
      <c r="R12" s="1202">
        <v>0.63300000000000001</v>
      </c>
      <c r="S12" s="1161">
        <v>0</v>
      </c>
      <c r="T12" s="1164">
        <v>3.3000000000000002E-2</v>
      </c>
      <c r="U12" s="1193">
        <v>0</v>
      </c>
      <c r="V12" s="1030">
        <v>0</v>
      </c>
      <c r="W12" s="755">
        <v>0</v>
      </c>
      <c r="X12" s="755">
        <v>0</v>
      </c>
      <c r="Y12" s="1193">
        <v>0</v>
      </c>
      <c r="Z12" s="1193">
        <v>0</v>
      </c>
      <c r="AA12" s="1193">
        <v>0</v>
      </c>
      <c r="AB12" s="1193">
        <v>0</v>
      </c>
      <c r="AC12" s="1030">
        <v>0</v>
      </c>
      <c r="AD12" s="1030">
        <v>0</v>
      </c>
      <c r="AE12" s="1030">
        <v>0</v>
      </c>
      <c r="AF12" s="1030">
        <v>0</v>
      </c>
      <c r="AG12" s="1030">
        <v>-1.151</v>
      </c>
      <c r="AH12" s="1030">
        <v>0.08</v>
      </c>
      <c r="AI12" s="1030">
        <v>0</v>
      </c>
      <c r="AJ12" s="1030">
        <v>0</v>
      </c>
      <c r="AK12" s="1193">
        <v>0</v>
      </c>
      <c r="AL12" s="1193">
        <v>1.635</v>
      </c>
      <c r="AM12" s="1193">
        <v>0</v>
      </c>
      <c r="AN12" s="1193">
        <v>0.1</v>
      </c>
      <c r="AO12" s="755">
        <v>0</v>
      </c>
      <c r="AP12" s="1193">
        <v>0</v>
      </c>
      <c r="AQ12" s="1204">
        <v>0</v>
      </c>
      <c r="AR12" s="1193">
        <v>0</v>
      </c>
      <c r="AS12" s="1193">
        <v>0</v>
      </c>
      <c r="AT12" s="1191">
        <v>1.71</v>
      </c>
      <c r="AU12" s="1030">
        <v>0</v>
      </c>
      <c r="AV12" s="1193">
        <v>1E-3</v>
      </c>
      <c r="AW12" s="1193">
        <v>0</v>
      </c>
      <c r="AX12" s="1193">
        <v>0</v>
      </c>
      <c r="AY12" s="755">
        <v>-2.77</v>
      </c>
      <c r="AZ12" s="1193">
        <v>0</v>
      </c>
      <c r="BA12" s="755">
        <v>0</v>
      </c>
      <c r="BB12" s="1193">
        <v>0</v>
      </c>
      <c r="BC12" s="1193">
        <v>0</v>
      </c>
      <c r="BD12" s="1193">
        <v>0</v>
      </c>
      <c r="BE12" s="755">
        <v>0.1</v>
      </c>
      <c r="BF12" s="755">
        <v>0</v>
      </c>
      <c r="BG12" s="755">
        <v>0</v>
      </c>
      <c r="BH12" s="1162">
        <v>-5.069</v>
      </c>
      <c r="BI12" s="1193">
        <v>-0.09</v>
      </c>
      <c r="BJ12" s="1184">
        <v>0.03</v>
      </c>
    </row>
    <row r="13" spans="1:62">
      <c r="A13" s="1171">
        <v>2029</v>
      </c>
      <c r="B13" s="1173">
        <f t="shared" si="1"/>
        <v>0</v>
      </c>
      <c r="C13" s="1173">
        <f t="shared" si="2"/>
        <v>0</v>
      </c>
      <c r="D13" s="1173">
        <f t="shared" si="3"/>
        <v>3.3000000000000002E-2</v>
      </c>
      <c r="E13" s="1173">
        <f t="shared" si="4"/>
        <v>1.7130000000000001</v>
      </c>
      <c r="F13" s="1173">
        <f t="shared" si="11"/>
        <v>0</v>
      </c>
      <c r="G13" s="1173">
        <f t="shared" si="5"/>
        <v>-5.218</v>
      </c>
      <c r="H13" s="1173">
        <f t="shared" si="6"/>
        <v>-1.964</v>
      </c>
      <c r="I13" s="1173">
        <f t="shared" si="7"/>
        <v>0</v>
      </c>
      <c r="J13" s="1173">
        <f t="shared" si="8"/>
        <v>-1.7000000000000001E-2</v>
      </c>
      <c r="K13" s="1173">
        <f t="shared" si="9"/>
        <v>1</v>
      </c>
      <c r="L13" s="1177"/>
      <c r="M13" s="1173">
        <f t="shared" si="0"/>
        <v>-2.75</v>
      </c>
      <c r="N13" s="1173">
        <f t="shared" si="10"/>
        <v>0</v>
      </c>
      <c r="O13" s="1200">
        <v>0.3</v>
      </c>
      <c r="P13" s="1194">
        <v>1.08</v>
      </c>
      <c r="Q13" s="1193">
        <v>0</v>
      </c>
      <c r="R13" s="1202">
        <v>0.63300000000000001</v>
      </c>
      <c r="S13" s="1161">
        <v>0</v>
      </c>
      <c r="T13" s="1030">
        <v>3.3000000000000002E-2</v>
      </c>
      <c r="U13" s="1193">
        <v>0</v>
      </c>
      <c r="V13" s="1030">
        <v>0</v>
      </c>
      <c r="W13" s="755">
        <v>0</v>
      </c>
      <c r="X13" s="755">
        <v>0</v>
      </c>
      <c r="Y13" s="1193">
        <v>0</v>
      </c>
      <c r="Z13" s="1193">
        <v>0</v>
      </c>
      <c r="AA13" s="1193">
        <v>0</v>
      </c>
      <c r="AB13" s="1193">
        <v>0</v>
      </c>
      <c r="AC13" s="1030">
        <v>0</v>
      </c>
      <c r="AD13" s="1030">
        <v>0</v>
      </c>
      <c r="AE13" s="1030">
        <v>0</v>
      </c>
      <c r="AF13" s="1030">
        <v>0</v>
      </c>
      <c r="AG13" s="1193">
        <v>-2.044</v>
      </c>
      <c r="AH13" s="1030">
        <v>0.08</v>
      </c>
      <c r="AI13" s="1030">
        <v>0</v>
      </c>
      <c r="AJ13" s="1165">
        <v>0</v>
      </c>
      <c r="AK13" s="1193">
        <v>0</v>
      </c>
      <c r="AL13" s="1193">
        <v>-1.7000000000000001E-2</v>
      </c>
      <c r="AM13" s="1193">
        <v>0</v>
      </c>
      <c r="AN13" s="1193">
        <v>0</v>
      </c>
      <c r="AO13" s="755">
        <v>0</v>
      </c>
      <c r="AP13" s="1193">
        <v>0</v>
      </c>
      <c r="AQ13" s="1204">
        <v>0</v>
      </c>
      <c r="AR13" s="1193">
        <v>0</v>
      </c>
      <c r="AS13" s="1193">
        <v>0</v>
      </c>
      <c r="AT13" s="1191">
        <v>1</v>
      </c>
      <c r="AU13" s="1030">
        <v>0</v>
      </c>
      <c r="AV13" s="1193">
        <v>0</v>
      </c>
      <c r="AW13" s="1193">
        <v>0</v>
      </c>
      <c r="AX13" s="1193">
        <v>0</v>
      </c>
      <c r="AY13" s="755">
        <v>-2.75</v>
      </c>
      <c r="AZ13" s="1193">
        <v>0</v>
      </c>
      <c r="BA13" s="755">
        <v>0</v>
      </c>
      <c r="BB13" s="1193">
        <v>0</v>
      </c>
      <c r="BC13" s="1193">
        <v>0</v>
      </c>
      <c r="BD13" s="1193">
        <v>0</v>
      </c>
      <c r="BE13" s="755">
        <v>0</v>
      </c>
      <c r="BF13" s="1166">
        <v>0</v>
      </c>
      <c r="BG13" s="755">
        <v>0</v>
      </c>
      <c r="BH13" s="1162">
        <v>-5.1180000000000003</v>
      </c>
      <c r="BI13" s="1193">
        <v>-0.1</v>
      </c>
      <c r="BJ13" s="1184">
        <v>0.01</v>
      </c>
    </row>
    <row r="14" spans="1:62">
      <c r="A14" s="1171">
        <v>2030</v>
      </c>
      <c r="B14" s="1173">
        <f t="shared" si="1"/>
        <v>0</v>
      </c>
      <c r="C14" s="1173">
        <f t="shared" si="2"/>
        <v>0</v>
      </c>
      <c r="D14" s="1173">
        <f t="shared" si="3"/>
        <v>3.3000000000000002E-2</v>
      </c>
      <c r="E14" s="1173">
        <f t="shared" si="4"/>
        <v>1.8130000000000002</v>
      </c>
      <c r="F14" s="1173">
        <f t="shared" si="11"/>
        <v>0</v>
      </c>
      <c r="G14" s="1173">
        <f t="shared" si="5"/>
        <v>-5.9420000000000002</v>
      </c>
      <c r="H14" s="1173">
        <f t="shared" si="6"/>
        <v>-2.0210000000000004</v>
      </c>
      <c r="I14" s="1173">
        <f t="shared" si="7"/>
        <v>0</v>
      </c>
      <c r="J14" s="1173">
        <f t="shared" si="8"/>
        <v>-1.9E-2</v>
      </c>
      <c r="K14" s="1173">
        <f t="shared" si="9"/>
        <v>0.8</v>
      </c>
      <c r="L14" s="1177"/>
      <c r="M14" s="1173">
        <f t="shared" si="0"/>
        <v>-8.1189999999999998</v>
      </c>
      <c r="N14" s="1173">
        <f t="shared" si="10"/>
        <v>0</v>
      </c>
      <c r="O14" s="1200">
        <v>0.3</v>
      </c>
      <c r="P14" s="1194">
        <v>1.1800000000000002</v>
      </c>
      <c r="Q14" s="1193">
        <v>0</v>
      </c>
      <c r="R14" s="1202">
        <v>0.63300000000000001</v>
      </c>
      <c r="S14" s="1161">
        <v>0</v>
      </c>
      <c r="T14" s="1030">
        <v>3.3000000000000002E-2</v>
      </c>
      <c r="U14" s="1193">
        <v>0</v>
      </c>
      <c r="V14" s="1030">
        <v>0</v>
      </c>
      <c r="W14" s="755">
        <v>0</v>
      </c>
      <c r="X14" s="755">
        <v>0</v>
      </c>
      <c r="Y14" s="1193">
        <v>0</v>
      </c>
      <c r="Z14" s="1193">
        <v>0</v>
      </c>
      <c r="AA14" s="1193">
        <v>0</v>
      </c>
      <c r="AB14" s="1193">
        <v>0</v>
      </c>
      <c r="AC14" s="1030">
        <v>0</v>
      </c>
      <c r="AD14" s="1202">
        <v>0</v>
      </c>
      <c r="AE14" s="1193">
        <v>0</v>
      </c>
      <c r="AF14" s="1030">
        <v>0</v>
      </c>
      <c r="AG14" s="1030">
        <v>-2.1110000000000002</v>
      </c>
      <c r="AH14" s="1030">
        <v>0.09</v>
      </c>
      <c r="AI14" s="1030">
        <v>0</v>
      </c>
      <c r="AJ14" s="1167">
        <v>0</v>
      </c>
      <c r="AK14" s="1193">
        <v>0</v>
      </c>
      <c r="AL14" s="1193">
        <v>-1.9E-2</v>
      </c>
      <c r="AM14" s="1193">
        <v>0</v>
      </c>
      <c r="AN14" s="1193">
        <v>0</v>
      </c>
      <c r="AO14" s="755">
        <v>0</v>
      </c>
      <c r="AP14" s="1193">
        <v>0</v>
      </c>
      <c r="AQ14" s="1204">
        <v>0</v>
      </c>
      <c r="AR14" s="1193">
        <v>0</v>
      </c>
      <c r="AS14" s="1193">
        <v>0</v>
      </c>
      <c r="AT14" s="755">
        <v>0.8</v>
      </c>
      <c r="AU14" s="1030">
        <v>-5.4089999999999998</v>
      </c>
      <c r="AV14" s="1193">
        <v>0</v>
      </c>
      <c r="AW14" s="1193">
        <v>0</v>
      </c>
      <c r="AX14" s="1193">
        <v>0</v>
      </c>
      <c r="AY14" s="755">
        <v>-2.71</v>
      </c>
      <c r="AZ14" s="1193">
        <v>0</v>
      </c>
      <c r="BA14" s="755">
        <v>0</v>
      </c>
      <c r="BB14" s="1193">
        <v>0</v>
      </c>
      <c r="BC14" s="1193">
        <v>0</v>
      </c>
      <c r="BD14" s="1193">
        <v>0</v>
      </c>
      <c r="BE14" s="1193">
        <v>0</v>
      </c>
      <c r="BF14" s="755">
        <v>0</v>
      </c>
      <c r="BG14" s="755">
        <v>0</v>
      </c>
      <c r="BH14" s="1030">
        <v>-5.8319999999999999</v>
      </c>
      <c r="BI14" s="1193">
        <v>-0.11</v>
      </c>
      <c r="BJ14" s="1183">
        <v>0.01</v>
      </c>
    </row>
    <row r="15" spans="1:62" ht="17.25" customHeight="1">
      <c r="A15" s="1171">
        <v>2031</v>
      </c>
      <c r="B15" s="1173">
        <f t="shared" si="1"/>
        <v>0</v>
      </c>
      <c r="C15" s="1173">
        <f t="shared" si="2"/>
        <v>0</v>
      </c>
      <c r="D15" s="1173">
        <f t="shared" si="3"/>
        <v>0</v>
      </c>
      <c r="E15" s="1173">
        <f t="shared" si="4"/>
        <v>1.8230000000000002</v>
      </c>
      <c r="F15" s="1173">
        <f t="shared" si="11"/>
        <v>0</v>
      </c>
      <c r="G15" s="1173">
        <f t="shared" si="5"/>
        <v>-7.7250000000000005</v>
      </c>
      <c r="H15" s="1173">
        <f t="shared" si="6"/>
        <v>-2.4630000000000001</v>
      </c>
      <c r="I15" s="1173">
        <f t="shared" si="7"/>
        <v>0</v>
      </c>
      <c r="J15" s="1173">
        <f t="shared" si="8"/>
        <v>-1.9E-2</v>
      </c>
      <c r="K15" s="1173">
        <f t="shared" si="9"/>
        <v>0</v>
      </c>
      <c r="L15" s="1177"/>
      <c r="M15" s="1173">
        <f t="shared" si="0"/>
        <v>-3.0390000000000001</v>
      </c>
      <c r="N15" s="1173">
        <f t="shared" si="10"/>
        <v>0</v>
      </c>
      <c r="O15" s="1200">
        <v>0.3</v>
      </c>
      <c r="P15" s="1194">
        <v>1.1900000000000002</v>
      </c>
      <c r="Q15" s="1193">
        <v>0</v>
      </c>
      <c r="R15" s="1202">
        <v>0.63300000000000001</v>
      </c>
      <c r="S15" s="1161">
        <v>0</v>
      </c>
      <c r="T15" s="755">
        <v>0</v>
      </c>
      <c r="U15" s="1193">
        <v>0</v>
      </c>
      <c r="V15" s="1193">
        <v>0</v>
      </c>
      <c r="W15" s="755">
        <v>0</v>
      </c>
      <c r="X15" s="755">
        <v>0</v>
      </c>
      <c r="Y15" s="1193">
        <v>0</v>
      </c>
      <c r="Z15" s="1193">
        <v>0</v>
      </c>
      <c r="AA15" s="1193">
        <v>0</v>
      </c>
      <c r="AB15" s="1193">
        <v>0</v>
      </c>
      <c r="AC15" s="1030">
        <v>0</v>
      </c>
      <c r="AD15" s="1193">
        <v>0</v>
      </c>
      <c r="AE15" s="1030">
        <v>0</v>
      </c>
      <c r="AF15" s="1030">
        <v>0</v>
      </c>
      <c r="AG15" s="1030">
        <v>-2.5529999999999999</v>
      </c>
      <c r="AH15" s="1030">
        <v>0.09</v>
      </c>
      <c r="AI15" s="1030">
        <v>0</v>
      </c>
      <c r="AJ15" s="1168">
        <v>0</v>
      </c>
      <c r="AK15" s="1193">
        <v>0</v>
      </c>
      <c r="AL15" s="1193">
        <v>-1.9E-2</v>
      </c>
      <c r="AM15" s="1193">
        <v>0</v>
      </c>
      <c r="AN15" s="1193">
        <v>0</v>
      </c>
      <c r="AO15" s="755">
        <v>0</v>
      </c>
      <c r="AP15" s="1193">
        <v>0</v>
      </c>
      <c r="AQ15" s="1204">
        <v>0</v>
      </c>
      <c r="AR15" s="1193">
        <v>0</v>
      </c>
      <c r="AS15" s="1193">
        <v>0</v>
      </c>
      <c r="AT15" s="755">
        <v>0</v>
      </c>
      <c r="AU15" s="1030">
        <v>-0.26900000000000002</v>
      </c>
      <c r="AV15" s="1193">
        <v>0</v>
      </c>
      <c r="AW15" s="1193">
        <v>0</v>
      </c>
      <c r="AX15" s="1193">
        <v>0</v>
      </c>
      <c r="AY15" s="755">
        <v>-2.77</v>
      </c>
      <c r="AZ15" s="1193">
        <v>0</v>
      </c>
      <c r="BA15" s="755">
        <v>0</v>
      </c>
      <c r="BB15" s="1193">
        <v>0</v>
      </c>
      <c r="BC15" s="1193">
        <v>0</v>
      </c>
      <c r="BD15" s="1193">
        <v>0</v>
      </c>
      <c r="BE15" s="1193">
        <v>0</v>
      </c>
      <c r="BF15" s="755">
        <v>0</v>
      </c>
      <c r="BG15" s="755">
        <v>0</v>
      </c>
      <c r="BH15" s="1030">
        <v>-5.4350000000000005</v>
      </c>
      <c r="BI15" s="1193">
        <v>-2.29</v>
      </c>
      <c r="BJ15" s="1183">
        <v>0</v>
      </c>
    </row>
    <row r="16" spans="1:62">
      <c r="A16" s="1172" t="s">
        <v>312</v>
      </c>
      <c r="B16" s="1172">
        <f>SUM(B5:B15)</f>
        <v>412.15299999999996</v>
      </c>
      <c r="C16" s="1172">
        <f>SUM(C5:C15)</f>
        <v>205.79999999999998</v>
      </c>
      <c r="D16" s="1172">
        <f>SUM(D5:D15)</f>
        <v>22.711000000000006</v>
      </c>
      <c r="E16" s="1172">
        <f t="shared" ref="E16:H16" si="12">SUM(E5:E15)</f>
        <v>35.466000000000015</v>
      </c>
      <c r="F16" s="1172">
        <f t="shared" si="12"/>
        <v>91.563000000000002</v>
      </c>
      <c r="G16" s="1173">
        <f t="shared" si="5"/>
        <v>174.17</v>
      </c>
      <c r="H16" s="1172">
        <f t="shared" si="12"/>
        <v>21.600999999999996</v>
      </c>
      <c r="I16" s="1177">
        <f t="shared" ref="I16" si="13">SUM(I5:I15)</f>
        <v>362.04999999999995</v>
      </c>
      <c r="J16" s="1177">
        <f t="shared" ref="J16" si="14">SUM(J5:J15)</f>
        <v>169.16899999999998</v>
      </c>
      <c r="K16" s="1173">
        <f t="shared" si="9"/>
        <v>112.72</v>
      </c>
      <c r="L16" s="1177">
        <f>SUM(L5:L15)</f>
        <v>25.75</v>
      </c>
      <c r="M16" s="1173">
        <f t="shared" si="0"/>
        <v>85.197999999999993</v>
      </c>
      <c r="N16" s="1173">
        <f>AK16</f>
        <v>8.5</v>
      </c>
      <c r="O16" s="1201">
        <f t="shared" ref="O16:BI16" si="15">SUM(O5:O15)</f>
        <v>109.3</v>
      </c>
      <c r="P16" s="1193">
        <f t="shared" si="15"/>
        <v>25.819999999999997</v>
      </c>
      <c r="Q16" s="1193">
        <f t="shared" si="15"/>
        <v>412.15299999999996</v>
      </c>
      <c r="R16" s="1193">
        <f t="shared" si="15"/>
        <v>5.774</v>
      </c>
      <c r="S16" s="1193">
        <f t="shared" si="15"/>
        <v>3.8719999999999999</v>
      </c>
      <c r="T16" s="1193">
        <f t="shared" si="15"/>
        <v>22.711000000000006</v>
      </c>
      <c r="U16" s="1193">
        <f t="shared" si="15"/>
        <v>41.599999999999994</v>
      </c>
      <c r="V16" s="1193">
        <f t="shared" si="15"/>
        <v>44.947999999999993</v>
      </c>
      <c r="W16" s="1193">
        <f t="shared" si="15"/>
        <v>5</v>
      </c>
      <c r="X16" s="1193">
        <f t="shared" si="15"/>
        <v>1.4440000000000002</v>
      </c>
      <c r="Y16" s="1193">
        <f t="shared" si="15"/>
        <v>0.2</v>
      </c>
      <c r="Z16" s="1193">
        <f t="shared" si="15"/>
        <v>45.4</v>
      </c>
      <c r="AA16" s="1193">
        <f t="shared" si="15"/>
        <v>35.5</v>
      </c>
      <c r="AB16" s="1193">
        <f t="shared" si="15"/>
        <v>124.7</v>
      </c>
      <c r="AC16" s="1193">
        <f t="shared" si="15"/>
        <v>28</v>
      </c>
      <c r="AD16" s="1193">
        <f t="shared" si="15"/>
        <v>9.100000000000022E-2</v>
      </c>
      <c r="AE16" s="1193">
        <f t="shared" si="15"/>
        <v>22.810000000000002</v>
      </c>
      <c r="AF16" s="1193">
        <f t="shared" si="15"/>
        <v>1.42</v>
      </c>
      <c r="AG16" s="1193">
        <f t="shared" si="15"/>
        <v>20.662999999999997</v>
      </c>
      <c r="AH16" s="1193">
        <f t="shared" si="15"/>
        <v>0.86999999999999988</v>
      </c>
      <c r="AI16" s="1193">
        <f t="shared" si="15"/>
        <v>6.8000000000000005E-2</v>
      </c>
      <c r="AJ16" s="1193">
        <f t="shared" si="15"/>
        <v>362.04999999999995</v>
      </c>
      <c r="AK16" s="1193">
        <f t="shared" ref="AK16:AO16" si="16">SUM(AK5:AK15)</f>
        <v>8.5</v>
      </c>
      <c r="AL16" s="1193">
        <f t="shared" si="16"/>
        <v>169.16899999999998</v>
      </c>
      <c r="AM16" s="1175">
        <f t="shared" si="16"/>
        <v>0.79700000000000004</v>
      </c>
      <c r="AN16" s="1193">
        <f t="shared" si="16"/>
        <v>8.6</v>
      </c>
      <c r="AO16" s="1193">
        <f t="shared" si="16"/>
        <v>3.2000000000000006</v>
      </c>
      <c r="AP16" s="1193">
        <f t="shared" si="15"/>
        <v>2.8000000000000003</v>
      </c>
      <c r="AQ16" s="1178">
        <f>SUM(AQ5:AQ15)</f>
        <v>28</v>
      </c>
      <c r="AR16" s="1193">
        <f>SUM(AR5:AR15)</f>
        <v>14.899999999999999</v>
      </c>
      <c r="AS16" s="1193">
        <f>SUM(AS5:AS15)</f>
        <v>3.8730000000000002</v>
      </c>
      <c r="AT16" s="1193">
        <f t="shared" ref="AT16" si="17">SUM(AT5:AT15)</f>
        <v>50.54999999999999</v>
      </c>
      <c r="AU16" s="1193">
        <f t="shared" si="15"/>
        <v>-5.6779999999999999</v>
      </c>
      <c r="AV16" s="1193">
        <f t="shared" si="15"/>
        <v>8.177999999999999</v>
      </c>
      <c r="AW16" s="1193">
        <f t="shared" si="15"/>
        <v>16.667999999999999</v>
      </c>
      <c r="AX16" s="1193">
        <f t="shared" si="15"/>
        <v>9.9</v>
      </c>
      <c r="AY16" s="1193">
        <f t="shared" si="15"/>
        <v>-25.860000000000003</v>
      </c>
      <c r="AZ16" s="1193">
        <f t="shared" si="15"/>
        <v>81.99</v>
      </c>
      <c r="BA16" s="1193">
        <v>0</v>
      </c>
      <c r="BB16" s="1193">
        <f t="shared" si="15"/>
        <v>24</v>
      </c>
      <c r="BC16" s="1193">
        <f t="shared" si="15"/>
        <v>7.25</v>
      </c>
      <c r="BD16" s="1193">
        <f t="shared" si="15"/>
        <v>49.8</v>
      </c>
      <c r="BE16" s="1193">
        <f t="shared" si="15"/>
        <v>9.02</v>
      </c>
      <c r="BF16" s="1193">
        <f t="shared" si="15"/>
        <v>6.2439999999999998</v>
      </c>
      <c r="BG16" s="1193">
        <f t="shared" si="15"/>
        <v>10.218</v>
      </c>
      <c r="BH16" s="1193">
        <f t="shared" si="15"/>
        <v>50.203999999999979</v>
      </c>
      <c r="BI16" s="1193">
        <f t="shared" si="15"/>
        <v>24.684000000000005</v>
      </c>
      <c r="BJ16" s="1185">
        <f>SUM(BJ5:BJ15)</f>
        <v>9.5399999999999991</v>
      </c>
    </row>
    <row r="17" spans="2:61">
      <c r="R17" s="1202"/>
      <c r="S17" s="1202"/>
      <c r="W17" s="1202"/>
      <c r="X17" s="1202"/>
      <c r="AE17" s="1202"/>
      <c r="AF17" s="1202"/>
      <c r="AV17" s="1202"/>
      <c r="AW17" s="1202"/>
      <c r="AX17" s="1202"/>
      <c r="AY17" s="1202"/>
      <c r="AZ17" s="1202"/>
      <c r="BA17" s="1202"/>
      <c r="BC17" s="1202"/>
      <c r="BE17" s="1202"/>
      <c r="BF17" s="1202"/>
      <c r="BG17" s="1202"/>
    </row>
    <row r="18" spans="2:61">
      <c r="R18" s="1202"/>
      <c r="S18" s="1202"/>
      <c r="W18" s="1202"/>
      <c r="X18" s="1202"/>
      <c r="AE18" s="1202"/>
      <c r="AF18" s="1202"/>
      <c r="AV18" s="1202"/>
      <c r="AW18" s="1202"/>
      <c r="AX18" s="1202"/>
      <c r="AY18" s="1202"/>
      <c r="AZ18" s="1202"/>
      <c r="BA18" s="1202"/>
      <c r="BC18" s="1202" t="s">
        <v>724</v>
      </c>
      <c r="BD18" s="1202" t="s">
        <v>724</v>
      </c>
      <c r="BE18" s="1202"/>
      <c r="BF18" s="1202" t="s">
        <v>724</v>
      </c>
      <c r="BG18" s="1202" t="s">
        <v>724</v>
      </c>
      <c r="BI18" s="1202" t="s">
        <v>724</v>
      </c>
    </row>
    <row r="19" spans="2:61">
      <c r="B19" s="917"/>
      <c r="C19" s="917"/>
      <c r="D19" s="917"/>
      <c r="E19" s="917"/>
      <c r="F19" s="917"/>
      <c r="H19" s="917"/>
      <c r="I19" s="917"/>
      <c r="J19" s="917"/>
      <c r="K19" s="917"/>
      <c r="M19" s="917"/>
      <c r="N19" s="917"/>
      <c r="R19" s="1202"/>
      <c r="S19" s="1202"/>
      <c r="W19" s="1202"/>
      <c r="X19" s="1202"/>
      <c r="AE19" s="1202"/>
      <c r="AF19" s="1202"/>
      <c r="AV19" s="1202"/>
      <c r="AW19" s="1202"/>
      <c r="AX19" s="1202"/>
      <c r="AY19" s="1202"/>
      <c r="AZ19" s="1202"/>
      <c r="BA19" s="1202"/>
      <c r="BC19" s="1202"/>
      <c r="BD19" t="s">
        <v>725</v>
      </c>
      <c r="BE19" s="1202"/>
      <c r="BF19" s="1202"/>
      <c r="BG19" s="1202"/>
    </row>
    <row r="20" spans="2:61">
      <c r="R20" s="1202"/>
      <c r="S20" s="1202"/>
      <c r="W20" s="1202"/>
      <c r="X20" s="1202"/>
      <c r="AE20" s="1202"/>
      <c r="AF20" s="1202"/>
      <c r="AV20" s="1202"/>
      <c r="AW20" s="1202"/>
      <c r="AX20" s="1202"/>
      <c r="AY20" s="1202"/>
      <c r="AZ20" s="1202"/>
      <c r="BA20" s="1202"/>
      <c r="BC20" s="1202"/>
      <c r="BE20" s="1202"/>
      <c r="BF20" s="1202"/>
      <c r="BG20" s="1202"/>
    </row>
    <row r="21" spans="2:61">
      <c r="R21" s="1202"/>
      <c r="S21" s="1202"/>
      <c r="W21" s="1202"/>
      <c r="X21" s="1202"/>
      <c r="AE21" s="1202"/>
      <c r="AF21" s="1202"/>
      <c r="AV21" s="1202"/>
      <c r="AW21" s="1202"/>
      <c r="AX21" s="1202"/>
      <c r="AY21" s="1202"/>
      <c r="AZ21" s="1202"/>
      <c r="BA21" s="1202"/>
      <c r="BC21" s="1202"/>
      <c r="BE21" s="1202"/>
      <c r="BF21" s="1202"/>
      <c r="BG21" s="1202"/>
    </row>
    <row r="22" spans="2:61">
      <c r="B22" s="917"/>
      <c r="R22" s="1202"/>
      <c r="S22" s="1202"/>
      <c r="W22" s="1202"/>
      <c r="X22" s="1202"/>
      <c r="AE22" s="1202"/>
      <c r="AF22" s="1202"/>
      <c r="AV22" s="1202"/>
      <c r="AW22" s="1202"/>
      <c r="AX22" s="1202"/>
      <c r="AY22" s="1202"/>
      <c r="AZ22" s="1202"/>
      <c r="BA22" s="1202"/>
      <c r="BC22" s="1202"/>
      <c r="BE22" s="1202"/>
      <c r="BF22" s="1202"/>
      <c r="BG22" s="1202"/>
    </row>
    <row r="23" spans="2:61">
      <c r="B23" s="917"/>
      <c r="R23" s="1202"/>
      <c r="S23" s="1202"/>
      <c r="W23" s="1202"/>
      <c r="X23" s="1202"/>
      <c r="AE23" s="1202"/>
      <c r="AF23" s="1202"/>
      <c r="AV23" s="1202"/>
      <c r="AW23" s="1202"/>
      <c r="AX23" s="1202"/>
      <c r="AY23" s="1202"/>
      <c r="AZ23" s="1202"/>
      <c r="BA23" s="1202"/>
      <c r="BC23" s="1202"/>
      <c r="BE23" s="1202"/>
      <c r="BF23" s="1202"/>
      <c r="BG23" s="1202"/>
    </row>
    <row r="24" spans="2:61">
      <c r="B24" s="917"/>
      <c r="R24" s="1202"/>
      <c r="S24" s="1202"/>
      <c r="W24" s="1202"/>
      <c r="X24" s="1202"/>
      <c r="AE24" s="1202"/>
      <c r="AF24" s="1202"/>
      <c r="AV24" s="1202"/>
      <c r="AW24" s="1202"/>
      <c r="AX24" s="1202"/>
      <c r="AY24" s="1202"/>
      <c r="AZ24" s="1202"/>
      <c r="BA24" s="1202"/>
      <c r="BC24" s="1202"/>
      <c r="BE24" s="1202"/>
      <c r="BF24" s="1202"/>
      <c r="BG24" s="1202"/>
    </row>
    <row r="25" spans="2:61">
      <c r="B25" s="917"/>
      <c r="R25" s="1202"/>
      <c r="S25" s="1202"/>
      <c r="W25" s="1202"/>
      <c r="X25" s="1202"/>
      <c r="AE25" s="1202"/>
      <c r="AF25" s="1202"/>
      <c r="AV25" s="1202"/>
      <c r="AW25" s="1202"/>
      <c r="AX25" s="1202"/>
      <c r="AY25" s="1202"/>
      <c r="AZ25" s="1202"/>
      <c r="BA25" s="1202"/>
      <c r="BC25" s="1202"/>
      <c r="BE25" s="1202"/>
      <c r="BF25" s="1202"/>
      <c r="BG25" s="1202"/>
    </row>
    <row r="26" spans="2:61">
      <c r="B26" s="917"/>
      <c r="R26" s="1202"/>
      <c r="S26" s="1202"/>
      <c r="W26" s="1202"/>
      <c r="X26" s="1202"/>
      <c r="AE26" s="1202"/>
      <c r="AF26" s="1202"/>
      <c r="AV26" s="1202"/>
      <c r="AW26" s="1202"/>
      <c r="AX26" s="1202"/>
      <c r="AY26" s="1202"/>
      <c r="AZ26" s="1202"/>
      <c r="BA26" s="1202"/>
      <c r="BC26" s="1202"/>
      <c r="BE26" s="1202"/>
      <c r="BF26" s="1202"/>
      <c r="BG26" s="1202"/>
    </row>
    <row r="27" spans="2:61">
      <c r="B27" s="917"/>
      <c r="R27" s="1202"/>
      <c r="S27" s="1202"/>
      <c r="W27" s="1202"/>
      <c r="X27" s="1202"/>
      <c r="AE27" s="1202"/>
      <c r="AF27" s="1202"/>
      <c r="AV27" s="1202"/>
      <c r="AW27" s="1202"/>
      <c r="AX27" s="1202"/>
      <c r="AY27" s="1202"/>
      <c r="AZ27" s="1202"/>
      <c r="BA27" s="1202"/>
      <c r="BC27" s="1202"/>
      <c r="BE27" s="1202"/>
      <c r="BF27" s="1202"/>
      <c r="BG27" s="1202"/>
    </row>
    <row r="28" spans="2:61">
      <c r="B28" s="917"/>
      <c r="R28" s="1202"/>
      <c r="S28" s="1202"/>
      <c r="W28" s="1202"/>
      <c r="X28" s="1202"/>
      <c r="AE28" s="1202"/>
      <c r="AF28" s="1202"/>
      <c r="AV28" s="1202"/>
      <c r="AW28" s="1202"/>
      <c r="AX28" s="1202"/>
      <c r="AY28" s="1202"/>
      <c r="AZ28" s="1202"/>
      <c r="BA28" s="1202"/>
      <c r="BC28" s="1202"/>
      <c r="BE28" s="1202"/>
      <c r="BF28" s="1202"/>
      <c r="BG28" s="1202"/>
    </row>
    <row r="29" spans="2:61">
      <c r="R29" s="1202"/>
      <c r="S29" s="1202"/>
      <c r="W29" s="1202"/>
      <c r="X29" s="1202"/>
      <c r="AE29" s="1202"/>
      <c r="AF29" s="1202"/>
      <c r="AV29" s="1202"/>
      <c r="AW29" s="1202"/>
      <c r="AX29" s="1202"/>
      <c r="AY29" s="1202"/>
      <c r="AZ29" s="1202"/>
      <c r="BA29" s="1202"/>
      <c r="BC29" s="1202"/>
      <c r="BE29" s="1202"/>
      <c r="BF29" s="1202"/>
      <c r="BG29" s="1202"/>
    </row>
    <row r="30" spans="2:61">
      <c r="R30" s="1202"/>
      <c r="S30" s="1202"/>
      <c r="W30" s="1202"/>
      <c r="X30" s="1202"/>
      <c r="AE30" s="1202"/>
      <c r="AF30" s="1202"/>
      <c r="AV30" s="1202"/>
      <c r="AW30" s="1202"/>
      <c r="AX30" s="1202"/>
      <c r="AY30" s="1202"/>
      <c r="AZ30" s="1202"/>
      <c r="BA30" s="1202"/>
      <c r="BC30" s="1202"/>
      <c r="BE30" s="1202"/>
      <c r="BF30" s="1202"/>
      <c r="BG30" s="1202"/>
    </row>
    <row r="31" spans="2:61">
      <c r="R31" s="1202"/>
      <c r="S31" s="1202"/>
      <c r="W31" s="1202"/>
      <c r="X31" s="1202"/>
      <c r="AE31" s="1202"/>
      <c r="AF31" s="1202"/>
      <c r="AV31" s="1202"/>
      <c r="AW31" s="1202"/>
      <c r="AX31" s="1202"/>
      <c r="AY31" s="1202"/>
      <c r="AZ31" s="1202"/>
      <c r="BA31" s="1202"/>
      <c r="BC31" s="1202"/>
      <c r="BE31" s="1202"/>
      <c r="BF31" s="1202"/>
      <c r="BG31" s="1202"/>
    </row>
    <row r="32" spans="2:61">
      <c r="R32" s="1202"/>
      <c r="S32" s="1202"/>
      <c r="W32" s="1202"/>
      <c r="X32" s="1202"/>
      <c r="AE32" s="1202"/>
      <c r="AF32" s="1202"/>
      <c r="AV32" s="1202"/>
      <c r="AW32" s="1202"/>
      <c r="AX32" s="1202"/>
      <c r="AY32" s="1202"/>
      <c r="AZ32" s="1202"/>
      <c r="BA32" s="1202"/>
      <c r="BC32" s="1202"/>
      <c r="BE32" s="1202"/>
      <c r="BF32" s="1202"/>
      <c r="BG32" s="1202"/>
    </row>
    <row r="33" spans="18:59">
      <c r="R33" s="1202"/>
      <c r="S33" s="1202"/>
      <c r="W33" s="1202"/>
      <c r="X33" s="1202"/>
      <c r="AE33" s="1202"/>
      <c r="AF33" s="1202"/>
      <c r="AV33" s="1202"/>
      <c r="AW33" s="1202"/>
      <c r="AX33" s="1202"/>
      <c r="AY33" s="1202"/>
      <c r="AZ33" s="1202"/>
      <c r="BA33" s="1202"/>
      <c r="BC33" s="1202"/>
      <c r="BE33" s="1202"/>
      <c r="BF33" s="1202"/>
      <c r="BG33" s="1202"/>
    </row>
    <row r="34" spans="18:59">
      <c r="R34" s="1202"/>
      <c r="S34" s="1202"/>
      <c r="W34" s="1202"/>
      <c r="X34" s="1202"/>
      <c r="AE34" s="1202"/>
      <c r="AF34" s="1202"/>
      <c r="AV34" s="1202"/>
      <c r="AW34" s="1202"/>
      <c r="AX34" s="1202"/>
      <c r="AY34" s="1202"/>
      <c r="AZ34" s="1202"/>
      <c r="BA34" s="1202"/>
      <c r="BC34" s="1202"/>
      <c r="BE34" s="1202"/>
      <c r="BF34" s="1202"/>
      <c r="BG34" s="1202"/>
    </row>
    <row r="35" spans="18:59">
      <c r="R35" s="1202"/>
      <c r="S35" s="1202"/>
      <c r="W35" s="1202"/>
      <c r="X35" s="1202"/>
      <c r="AE35" s="1202"/>
      <c r="AF35" s="1202"/>
      <c r="AV35" s="1202"/>
      <c r="AW35" s="1202"/>
      <c r="AX35" s="1202"/>
      <c r="AY35" s="1202"/>
      <c r="AZ35" s="1202"/>
      <c r="BA35" s="1202"/>
      <c r="BC35" s="1202"/>
      <c r="BE35" s="1202"/>
      <c r="BF35" s="1202"/>
      <c r="BG35" s="1202"/>
    </row>
    <row r="36" spans="18:59">
      <c r="R36" s="1202"/>
      <c r="S36" s="1202"/>
      <c r="W36" s="1202"/>
      <c r="X36" s="1202"/>
      <c r="AE36" s="1202"/>
      <c r="AF36" s="1202"/>
      <c r="AV36" s="1202"/>
      <c r="AW36" s="1202"/>
      <c r="AX36" s="1202"/>
      <c r="AY36" s="1202"/>
      <c r="AZ36" s="1202"/>
      <c r="BA36" s="1202"/>
      <c r="BC36" s="1202"/>
      <c r="BE36" s="1202"/>
      <c r="BF36" s="1202"/>
      <c r="BG36" s="1202"/>
    </row>
    <row r="37" spans="18:59">
      <c r="R37" s="1202"/>
      <c r="S37" s="1202"/>
      <c r="W37" s="1202"/>
      <c r="X37" s="1202"/>
      <c r="AE37" s="1202"/>
      <c r="AF37" s="1202"/>
      <c r="AV37" s="1202"/>
      <c r="AW37" s="1202"/>
      <c r="AX37" s="1202"/>
      <c r="AY37" s="1202"/>
      <c r="AZ37" s="1202"/>
      <c r="BA37" s="1202"/>
      <c r="BC37" s="1202"/>
      <c r="BE37" s="1202"/>
      <c r="BF37" s="1202"/>
      <c r="BG37" s="1202"/>
    </row>
    <row r="38" spans="18:59">
      <c r="R38" s="1202"/>
      <c r="S38" s="1202"/>
      <c r="W38" s="1202"/>
      <c r="X38" s="1202"/>
      <c r="AE38" s="1202"/>
      <c r="AF38" s="1202"/>
      <c r="AV38" s="1202"/>
      <c r="AW38" s="1202"/>
      <c r="AX38" s="1202"/>
      <c r="AY38" s="1202"/>
      <c r="AZ38" s="1202"/>
      <c r="BA38" s="1202"/>
      <c r="BC38" s="1202"/>
      <c r="BE38" s="1202"/>
      <c r="BF38" s="1202"/>
      <c r="BG38" s="1202"/>
    </row>
    <row r="39" spans="18:59">
      <c r="R39" s="1202"/>
      <c r="S39" s="1202"/>
      <c r="W39" s="1202"/>
      <c r="X39" s="1202"/>
      <c r="AE39" s="1202"/>
      <c r="AF39" s="1202"/>
      <c r="AV39" s="1202"/>
      <c r="AW39" s="1202"/>
      <c r="AX39" s="1202"/>
      <c r="AY39" s="1202"/>
      <c r="AZ39" s="1202"/>
      <c r="BA39" s="1202"/>
      <c r="BC39" s="1202"/>
      <c r="BE39" s="1202"/>
      <c r="BF39" s="1202"/>
      <c r="BG39" s="1202"/>
    </row>
    <row r="40" spans="18:59">
      <c r="R40" s="1202"/>
      <c r="S40" s="1202"/>
      <c r="W40" s="1202"/>
      <c r="X40" s="1202"/>
      <c r="AE40" s="1202"/>
      <c r="AF40" s="1202"/>
      <c r="AV40" s="1202"/>
      <c r="AW40" s="1202"/>
      <c r="AX40" s="1202"/>
      <c r="AY40" s="1202"/>
      <c r="AZ40" s="1202"/>
      <c r="BA40" s="1202"/>
      <c r="BC40" s="1202"/>
      <c r="BE40" s="1202"/>
      <c r="BF40" s="1202"/>
      <c r="BG40" s="1202"/>
    </row>
    <row r="41" spans="18:59">
      <c r="R41" s="1202"/>
      <c r="S41" s="1202"/>
      <c r="W41" s="1202"/>
      <c r="X41" s="1202"/>
      <c r="AE41" s="1202"/>
      <c r="AF41" s="1202"/>
      <c r="AV41" s="1202"/>
      <c r="AW41" s="1202"/>
      <c r="AX41" s="1202"/>
      <c r="AY41" s="1202"/>
      <c r="AZ41" s="1202"/>
      <c r="BA41" s="1202"/>
      <c r="BC41" s="1202"/>
      <c r="BE41" s="1202"/>
      <c r="BF41" s="1202"/>
      <c r="BG41" s="1202"/>
    </row>
    <row r="42" spans="18:59">
      <c r="R42" s="1202"/>
      <c r="S42" s="1202"/>
      <c r="W42" s="1202"/>
      <c r="X42" s="1202"/>
      <c r="AE42" s="1202"/>
      <c r="AF42" s="1202"/>
      <c r="AV42" s="1202"/>
      <c r="AW42" s="1202"/>
      <c r="AX42" s="1202"/>
      <c r="AY42" s="1202"/>
      <c r="AZ42" s="1202"/>
      <c r="BA42" s="1202"/>
      <c r="BC42" s="1202"/>
      <c r="BE42" s="1202"/>
      <c r="BF42" s="1202"/>
      <c r="BG42" s="1202"/>
    </row>
    <row r="43" spans="18:59">
      <c r="R43" s="1202"/>
      <c r="S43" s="1202"/>
      <c r="W43" s="1202"/>
      <c r="X43" s="1202"/>
      <c r="AE43" s="1202"/>
      <c r="AF43" s="1202"/>
      <c r="AV43" s="1202"/>
      <c r="AW43" s="1202"/>
      <c r="AX43" s="1202"/>
      <c r="AY43" s="1202"/>
      <c r="AZ43" s="1202"/>
      <c r="BA43" s="1202"/>
      <c r="BC43" s="1202"/>
      <c r="BE43" s="1202"/>
      <c r="BF43" s="1202"/>
      <c r="BG43" s="1202"/>
    </row>
    <row r="44" spans="18:59">
      <c r="R44" s="1202"/>
      <c r="S44" s="1202"/>
      <c r="W44" s="1202"/>
      <c r="X44" s="1202"/>
      <c r="AE44" s="1202"/>
      <c r="AF44" s="1202"/>
      <c r="AV44" s="1202"/>
      <c r="AW44" s="1202"/>
      <c r="AX44" s="1202"/>
      <c r="AY44" s="1202"/>
      <c r="AZ44" s="1202"/>
      <c r="BA44" s="1202"/>
      <c r="BC44" s="1202"/>
      <c r="BE44" s="1202"/>
      <c r="BF44" s="1202"/>
      <c r="BG44" s="1202"/>
    </row>
    <row r="45" spans="18:59">
      <c r="R45" s="1202"/>
      <c r="S45" s="1202"/>
      <c r="W45" s="1202"/>
      <c r="X45" s="1202"/>
      <c r="AE45" s="1202"/>
      <c r="AF45" s="1202"/>
      <c r="AV45" s="1202"/>
      <c r="AW45" s="1202"/>
      <c r="AX45" s="1202"/>
      <c r="AY45" s="1202"/>
      <c r="AZ45" s="1202"/>
      <c r="BA45" s="1202"/>
      <c r="BC45" s="1202"/>
      <c r="BE45" s="1202"/>
      <c r="BF45" s="1202"/>
      <c r="BG45" s="1202"/>
    </row>
    <row r="46" spans="18:59">
      <c r="R46" s="1202"/>
      <c r="S46" s="1202"/>
      <c r="W46" s="1202"/>
      <c r="X46" s="1202"/>
      <c r="AE46" s="1202"/>
      <c r="AF46" s="1202"/>
      <c r="AV46" s="1202"/>
      <c r="AW46" s="1202"/>
      <c r="AX46" s="1202"/>
      <c r="AY46" s="1202"/>
      <c r="AZ46" s="1202"/>
      <c r="BA46" s="1202"/>
      <c r="BC46" s="1202"/>
      <c r="BE46" s="1202"/>
      <c r="BF46" s="1202"/>
      <c r="BG46" s="1202"/>
    </row>
    <row r="47" spans="18:59">
      <c r="R47" s="1202"/>
      <c r="S47" s="1202"/>
      <c r="W47" s="1202"/>
      <c r="X47" s="1202"/>
      <c r="AE47" s="1202"/>
      <c r="AF47" s="1202"/>
      <c r="AV47" s="1202"/>
      <c r="AW47" s="1202"/>
      <c r="AX47" s="1202"/>
      <c r="AY47" s="1202"/>
      <c r="AZ47" s="1202"/>
      <c r="BA47" s="1202"/>
      <c r="BC47" s="1202"/>
      <c r="BE47" s="1202"/>
      <c r="BF47" s="1202"/>
      <c r="BG47" s="1202"/>
    </row>
    <row r="48" spans="18:59">
      <c r="R48" s="1202"/>
      <c r="S48" s="1202"/>
      <c r="W48" s="1202"/>
      <c r="X48" s="1202"/>
      <c r="AE48" s="1202"/>
      <c r="AF48" s="1202"/>
      <c r="AV48" s="1202"/>
      <c r="AW48" s="1202"/>
      <c r="AX48" s="1202"/>
      <c r="AY48" s="1202"/>
      <c r="AZ48" s="1202"/>
      <c r="BA48" s="1202"/>
      <c r="BC48" s="1202"/>
      <c r="BE48" s="1202"/>
      <c r="BF48" s="1202"/>
      <c r="BG48" s="1202"/>
    </row>
    <row r="49" spans="18:59">
      <c r="R49" s="1202"/>
      <c r="S49" s="1202"/>
      <c r="W49" s="1202"/>
      <c r="X49" s="1202"/>
      <c r="AE49" s="1202"/>
      <c r="AF49" s="1202"/>
      <c r="AV49" s="1202"/>
      <c r="AW49" s="1202"/>
      <c r="AX49" s="1202"/>
      <c r="AY49" s="1202"/>
      <c r="AZ49" s="1202"/>
      <c r="BA49" s="1202"/>
      <c r="BC49" s="1202"/>
      <c r="BE49" s="1202"/>
      <c r="BF49" s="1202"/>
      <c r="BG49" s="1202"/>
    </row>
    <row r="50" spans="18:59">
      <c r="R50" s="1202"/>
      <c r="S50" s="1202"/>
      <c r="W50" s="1202"/>
      <c r="X50" s="1202"/>
      <c r="AE50" s="1202"/>
      <c r="AF50" s="1202"/>
      <c r="AV50" s="1202"/>
      <c r="AW50" s="1202"/>
      <c r="AX50" s="1202"/>
      <c r="AY50" s="1202"/>
      <c r="AZ50" s="1202"/>
      <c r="BA50" s="1202"/>
      <c r="BC50" s="1202"/>
      <c r="BE50" s="1202"/>
      <c r="BF50" s="1202"/>
      <c r="BG50" s="1202"/>
    </row>
    <row r="51" spans="18:59">
      <c r="R51" s="1202"/>
      <c r="S51" s="1202"/>
      <c r="W51" s="1202"/>
      <c r="X51" s="1202"/>
      <c r="AE51" s="1202"/>
      <c r="AF51" s="1202"/>
      <c r="AV51" s="1202"/>
      <c r="AW51" s="1202"/>
      <c r="AX51" s="1202"/>
      <c r="AY51" s="1202"/>
      <c r="AZ51" s="1202"/>
      <c r="BA51" s="1202"/>
      <c r="BC51" s="1202"/>
      <c r="BE51" s="1202"/>
      <c r="BF51" s="1202"/>
      <c r="BG51" s="1202"/>
    </row>
    <row r="52" spans="18:59">
      <c r="R52" s="1202"/>
      <c r="S52" s="1202"/>
      <c r="W52" s="1202"/>
      <c r="X52" s="1202"/>
      <c r="AE52" s="1202"/>
      <c r="AF52" s="1202"/>
      <c r="AV52" s="1202"/>
      <c r="AW52" s="1202"/>
      <c r="AX52" s="1202"/>
      <c r="AY52" s="1202"/>
      <c r="AZ52" s="1202"/>
      <c r="BA52" s="1202"/>
      <c r="BC52" s="1202"/>
      <c r="BE52" s="1202"/>
      <c r="BF52" s="1202"/>
      <c r="BG52" s="1202"/>
    </row>
    <row r="53" spans="18:59">
      <c r="R53" s="1202"/>
      <c r="S53" s="1202"/>
      <c r="W53" s="1202"/>
      <c r="X53" s="1202"/>
      <c r="AE53" s="1202"/>
      <c r="AF53" s="1202"/>
      <c r="AV53" s="1202"/>
      <c r="AW53" s="1202"/>
      <c r="AX53" s="1202"/>
      <c r="AY53" s="1202"/>
      <c r="AZ53" s="1202"/>
      <c r="BA53" s="1202"/>
      <c r="BC53" s="1202"/>
      <c r="BE53" s="1202"/>
      <c r="BF53" s="1202"/>
      <c r="BG53" s="1202"/>
    </row>
    <row r="54" spans="18:59">
      <c r="R54" s="1202"/>
      <c r="S54" s="1202"/>
      <c r="W54" s="1202"/>
      <c r="X54" s="1202"/>
      <c r="AE54" s="1202"/>
      <c r="AF54" s="1202"/>
      <c r="AV54" s="1202"/>
      <c r="AW54" s="1202"/>
      <c r="AX54" s="1202"/>
      <c r="AY54" s="1202"/>
      <c r="AZ54" s="1202"/>
      <c r="BA54" s="1202"/>
      <c r="BC54" s="1202"/>
      <c r="BE54" s="1202"/>
      <c r="BF54" s="1202"/>
      <c r="BG54" s="1202"/>
    </row>
    <row r="55" spans="18:59">
      <c r="R55" s="1202"/>
      <c r="S55" s="1202"/>
      <c r="W55" s="1202"/>
      <c r="X55" s="1202"/>
      <c r="AE55" s="1202"/>
      <c r="AF55" s="1202"/>
      <c r="AV55" s="1202"/>
      <c r="AW55" s="1202"/>
      <c r="AX55" s="1202"/>
      <c r="AY55" s="1202"/>
      <c r="AZ55" s="1202"/>
      <c r="BA55" s="1202"/>
      <c r="BC55" s="1202"/>
      <c r="BE55" s="1202"/>
      <c r="BF55" s="1202"/>
      <c r="BG55" s="1202"/>
    </row>
    <row r="56" spans="18:59">
      <c r="R56" s="1202"/>
      <c r="S56" s="1202"/>
      <c r="W56" s="1202"/>
      <c r="X56" s="1202"/>
      <c r="AE56" s="1202"/>
      <c r="AF56" s="1202"/>
      <c r="AV56" s="1202"/>
      <c r="AW56" s="1202"/>
      <c r="AX56" s="1202"/>
      <c r="AY56" s="1202"/>
      <c r="AZ56" s="1202"/>
      <c r="BA56" s="1202"/>
      <c r="BC56" s="1202"/>
      <c r="BE56" s="1202"/>
      <c r="BF56" s="1202"/>
      <c r="BG56" s="1202"/>
    </row>
    <row r="57" spans="18:59">
      <c r="R57" s="1202"/>
      <c r="S57" s="1202"/>
      <c r="W57" s="1202"/>
      <c r="X57" s="1202"/>
      <c r="AE57" s="1202"/>
      <c r="AF57" s="1202"/>
      <c r="AV57" s="1202"/>
      <c r="AW57" s="1202"/>
      <c r="AX57" s="1202"/>
      <c r="AY57" s="1202"/>
      <c r="AZ57" s="1202"/>
      <c r="BA57" s="1202"/>
      <c r="BC57" s="1202"/>
      <c r="BE57" s="1202"/>
      <c r="BF57" s="1202"/>
      <c r="BG57" s="1202"/>
    </row>
    <row r="58" spans="18:59">
      <c r="R58" s="1202"/>
      <c r="S58" s="1202"/>
      <c r="W58" s="1202"/>
      <c r="X58" s="1202"/>
      <c r="AE58" s="1202"/>
      <c r="AF58" s="1202"/>
      <c r="AV58" s="1202"/>
      <c r="AW58" s="1202"/>
      <c r="AX58" s="1202"/>
      <c r="AY58" s="1202"/>
      <c r="AZ58" s="1202"/>
      <c r="BA58" s="1202"/>
      <c r="BC58" s="1202"/>
      <c r="BE58" s="1202"/>
      <c r="BF58" s="1202"/>
      <c r="BG58" s="1202"/>
    </row>
    <row r="59" spans="18:59">
      <c r="R59" s="1202"/>
      <c r="S59" s="1202"/>
      <c r="W59" s="1202"/>
      <c r="X59" s="1202"/>
      <c r="AE59" s="1202"/>
      <c r="AF59" s="1202"/>
      <c r="AV59" s="1202"/>
      <c r="AW59" s="1202"/>
      <c r="AX59" s="1202"/>
      <c r="AY59" s="1202"/>
      <c r="AZ59" s="1202"/>
      <c r="BA59" s="1202"/>
      <c r="BC59" s="1202"/>
      <c r="BE59" s="1202"/>
      <c r="BF59" s="1202"/>
      <c r="BG59" s="1202"/>
    </row>
    <row r="60" spans="18:59">
      <c r="R60" s="1202"/>
      <c r="S60" s="1202"/>
      <c r="W60" s="1202"/>
      <c r="X60" s="1202"/>
      <c r="AE60" s="1202"/>
      <c r="AF60" s="1202"/>
      <c r="AV60" s="1202"/>
      <c r="AW60" s="1202"/>
      <c r="AX60" s="1202"/>
      <c r="AY60" s="1202"/>
      <c r="AZ60" s="1202"/>
      <c r="BA60" s="1202"/>
      <c r="BC60" s="1202"/>
      <c r="BE60" s="1202"/>
      <c r="BF60" s="1202"/>
      <c r="BG60" s="1202"/>
    </row>
    <row r="61" spans="18:59">
      <c r="R61" s="1202"/>
      <c r="S61" s="1202"/>
      <c r="W61" s="1202"/>
      <c r="X61" s="1202"/>
      <c r="AE61" s="1202"/>
      <c r="AF61" s="1202"/>
      <c r="AV61" s="1202"/>
      <c r="AW61" s="1202"/>
      <c r="AX61" s="1202"/>
      <c r="AY61" s="1202"/>
      <c r="AZ61" s="1202"/>
      <c r="BA61" s="1202"/>
      <c r="BC61" s="1202"/>
      <c r="BE61" s="1202"/>
      <c r="BF61" s="1202"/>
      <c r="BG61" s="1202"/>
    </row>
    <row r="62" spans="18:59">
      <c r="R62" s="1202"/>
      <c r="S62" s="1202"/>
      <c r="W62" s="1202"/>
      <c r="X62" s="1202"/>
      <c r="AE62" s="1202"/>
      <c r="AF62" s="1202"/>
      <c r="AV62" s="1202"/>
      <c r="AW62" s="1202"/>
      <c r="AX62" s="1202"/>
      <c r="AY62" s="1202"/>
      <c r="AZ62" s="1202"/>
      <c r="BA62" s="1202"/>
      <c r="BC62" s="1202"/>
      <c r="BE62" s="1202"/>
      <c r="BF62" s="1202"/>
      <c r="BG62" s="1202"/>
    </row>
    <row r="63" spans="18:59">
      <c r="R63" s="1202"/>
      <c r="S63" s="1202"/>
      <c r="W63" s="1202"/>
      <c r="X63" s="1202"/>
      <c r="AE63" s="1202"/>
      <c r="AF63" s="1202"/>
      <c r="AV63" s="1202"/>
      <c r="AW63" s="1202"/>
      <c r="AX63" s="1202"/>
      <c r="AY63" s="1202"/>
      <c r="AZ63" s="1202"/>
      <c r="BA63" s="1202"/>
      <c r="BC63" s="1202"/>
      <c r="BE63" s="1202"/>
      <c r="BF63" s="1202"/>
      <c r="BG63" s="1202"/>
    </row>
    <row r="64" spans="18:59">
      <c r="R64" s="1202"/>
      <c r="S64" s="1202"/>
      <c r="W64" s="1202"/>
      <c r="X64" s="1202"/>
      <c r="AE64" s="1202"/>
      <c r="AF64" s="1202"/>
      <c r="AV64" s="1202"/>
      <c r="AW64" s="1202"/>
      <c r="AX64" s="1202"/>
      <c r="AY64" s="1202"/>
      <c r="AZ64" s="1202"/>
      <c r="BA64" s="1202"/>
      <c r="BC64" s="1202"/>
      <c r="BE64" s="1202"/>
      <c r="BF64" s="1202"/>
      <c r="BG64" s="1202"/>
    </row>
    <row r="65" spans="18:59">
      <c r="R65" s="1202"/>
      <c r="S65" s="1202"/>
      <c r="W65" s="1202"/>
      <c r="X65" s="1202"/>
      <c r="AE65" s="1202"/>
      <c r="AF65" s="1202"/>
      <c r="AV65" s="1202"/>
      <c r="AW65" s="1202"/>
      <c r="AX65" s="1202"/>
      <c r="AY65" s="1202"/>
      <c r="AZ65" s="1202"/>
      <c r="BA65" s="1202"/>
      <c r="BC65" s="1202"/>
      <c r="BE65" s="1202"/>
      <c r="BF65" s="1202"/>
      <c r="BG65" s="1202"/>
    </row>
    <row r="66" spans="18:59">
      <c r="R66" s="1202"/>
      <c r="S66" s="1202"/>
      <c r="W66" s="1202"/>
      <c r="X66" s="1202"/>
      <c r="AE66" s="1202"/>
      <c r="AF66" s="1202"/>
      <c r="AV66" s="1202"/>
      <c r="AW66" s="1202"/>
      <c r="AX66" s="1202"/>
      <c r="AY66" s="1202"/>
      <c r="AZ66" s="1202"/>
      <c r="BA66" s="1202"/>
      <c r="BC66" s="1202"/>
      <c r="BE66" s="1202"/>
      <c r="BF66" s="1202"/>
      <c r="BG66" s="1202"/>
    </row>
    <row r="67" spans="18:59">
      <c r="R67" s="1202"/>
      <c r="S67" s="1202"/>
      <c r="W67" s="1202"/>
      <c r="X67" s="1202"/>
      <c r="AE67" s="1202"/>
      <c r="AF67" s="1202"/>
      <c r="AV67" s="1202"/>
      <c r="AW67" s="1202"/>
      <c r="AX67" s="1202"/>
      <c r="AY67" s="1202"/>
      <c r="AZ67" s="1202"/>
      <c r="BA67" s="1202"/>
      <c r="BC67" s="1202"/>
      <c r="BE67" s="1202"/>
      <c r="BF67" s="1202"/>
      <c r="BG67" s="1202"/>
    </row>
    <row r="68" spans="18:59">
      <c r="R68" s="1202"/>
      <c r="S68" s="1202"/>
      <c r="W68" s="1202"/>
      <c r="X68" s="1202"/>
      <c r="AE68" s="1202"/>
      <c r="AF68" s="1202"/>
      <c r="AV68" s="1202"/>
      <c r="AW68" s="1202"/>
      <c r="AX68" s="1202"/>
      <c r="AY68" s="1202"/>
      <c r="AZ68" s="1202"/>
      <c r="BA68" s="1202"/>
      <c r="BC68" s="1202"/>
      <c r="BE68" s="1202"/>
      <c r="BF68" s="1202"/>
      <c r="BG68" s="1202"/>
    </row>
    <row r="69" spans="18:59">
      <c r="R69" s="1202"/>
      <c r="S69" s="1202"/>
      <c r="W69" s="1202"/>
      <c r="X69" s="1202"/>
      <c r="AE69" s="1202"/>
      <c r="AF69" s="1202"/>
      <c r="AV69" s="1202"/>
      <c r="AW69" s="1202"/>
      <c r="AX69" s="1202"/>
      <c r="AY69" s="1202"/>
      <c r="AZ69" s="1202"/>
      <c r="BA69" s="1202"/>
      <c r="BC69" s="1202"/>
      <c r="BE69" s="1202"/>
      <c r="BF69" s="1202"/>
      <c r="BG69" s="1202"/>
    </row>
    <row r="70" spans="18:59">
      <c r="R70" s="1202"/>
      <c r="S70" s="1202"/>
      <c r="W70" s="1202"/>
      <c r="X70" s="1202"/>
      <c r="AE70" s="1202"/>
      <c r="AF70" s="1202"/>
      <c r="AV70" s="1202"/>
      <c r="AW70" s="1202"/>
      <c r="AX70" s="1202"/>
      <c r="AY70" s="1202"/>
      <c r="AZ70" s="1202"/>
      <c r="BA70" s="1202"/>
      <c r="BC70" s="1202"/>
      <c r="BE70" s="1202"/>
      <c r="BF70" s="1202"/>
      <c r="BG70" s="1202"/>
    </row>
    <row r="71" spans="18:59">
      <c r="R71" s="1202"/>
      <c r="S71" s="1202"/>
      <c r="W71" s="1202"/>
      <c r="X71" s="1202"/>
      <c r="AE71" s="1202"/>
      <c r="AF71" s="1202"/>
      <c r="AV71" s="1202"/>
      <c r="AW71" s="1202"/>
      <c r="AX71" s="1202"/>
      <c r="AY71" s="1202"/>
      <c r="AZ71" s="1202"/>
      <c r="BA71" s="1202"/>
      <c r="BC71" s="1202"/>
      <c r="BE71" s="1202"/>
      <c r="BF71" s="1202"/>
      <c r="BG71" s="1202"/>
    </row>
    <row r="72" spans="18:59">
      <c r="R72" s="1202"/>
      <c r="S72" s="1202"/>
      <c r="W72" s="1202"/>
      <c r="X72" s="1202"/>
      <c r="AE72" s="1202"/>
      <c r="AF72" s="1202"/>
      <c r="AV72" s="1202"/>
      <c r="AW72" s="1202"/>
      <c r="AX72" s="1202"/>
      <c r="AY72" s="1202"/>
      <c r="AZ72" s="1202"/>
      <c r="BA72" s="1202"/>
      <c r="BC72" s="1202"/>
      <c r="BE72" s="1202"/>
      <c r="BF72" s="1202"/>
      <c r="BG72" s="1202"/>
    </row>
    <row r="73" spans="18:59">
      <c r="R73" s="1202"/>
      <c r="S73" s="1202"/>
      <c r="W73" s="1202"/>
      <c r="X73" s="1202"/>
      <c r="AE73" s="1202"/>
      <c r="AF73" s="1202"/>
      <c r="AV73" s="1202"/>
      <c r="AW73" s="1202"/>
      <c r="AX73" s="1202"/>
      <c r="AY73" s="1202"/>
      <c r="AZ73" s="1202"/>
      <c r="BA73" s="1202"/>
      <c r="BC73" s="1202"/>
      <c r="BE73" s="1202"/>
      <c r="BF73" s="1202"/>
      <c r="BG73" s="1202"/>
    </row>
    <row r="74" spans="18:59">
      <c r="R74" s="1202"/>
      <c r="S74" s="1202"/>
      <c r="W74" s="1202"/>
      <c r="X74" s="1202"/>
      <c r="AE74" s="1202"/>
      <c r="AF74" s="1202"/>
      <c r="AV74" s="1202"/>
      <c r="AW74" s="1202"/>
      <c r="AX74" s="1202"/>
      <c r="AY74" s="1202"/>
      <c r="AZ74" s="1202"/>
      <c r="BA74" s="1202"/>
      <c r="BC74" s="1202"/>
      <c r="BE74" s="1202"/>
      <c r="BF74" s="1202"/>
      <c r="BG74" s="1202"/>
    </row>
    <row r="75" spans="18:59">
      <c r="R75" s="1202"/>
      <c r="S75" s="1202"/>
      <c r="W75" s="1202"/>
      <c r="X75" s="1202"/>
      <c r="AE75" s="1202"/>
      <c r="AF75" s="1202"/>
      <c r="AV75" s="1202"/>
      <c r="AW75" s="1202"/>
      <c r="AX75" s="1202"/>
      <c r="AY75" s="1202"/>
      <c r="AZ75" s="1202"/>
      <c r="BA75" s="1202"/>
      <c r="BC75" s="1202"/>
      <c r="BE75" s="1202"/>
      <c r="BF75" s="1202"/>
      <c r="BG75" s="1202"/>
    </row>
    <row r="76" spans="18:59">
      <c r="R76" s="1202"/>
      <c r="S76" s="1202"/>
      <c r="W76" s="1202"/>
      <c r="X76" s="1202"/>
      <c r="AE76" s="1202"/>
      <c r="AF76" s="1202"/>
      <c r="AV76" s="1202"/>
      <c r="AW76" s="1202"/>
      <c r="AX76" s="1202"/>
      <c r="AY76" s="1202"/>
      <c r="AZ76" s="1202"/>
      <c r="BA76" s="1202"/>
      <c r="BC76" s="1202"/>
      <c r="BE76" s="1202"/>
      <c r="BF76" s="1202"/>
      <c r="BG76" s="1202"/>
    </row>
    <row r="77" spans="18:59">
      <c r="R77" s="1202"/>
      <c r="S77" s="1202"/>
      <c r="W77" s="1202"/>
      <c r="X77" s="1202"/>
      <c r="AE77" s="1202"/>
      <c r="AF77" s="1202"/>
      <c r="AV77" s="1202"/>
      <c r="AW77" s="1202"/>
      <c r="AX77" s="1202"/>
      <c r="AY77" s="1202"/>
      <c r="AZ77" s="1202"/>
      <c r="BA77" s="1202"/>
      <c r="BC77" s="1202"/>
      <c r="BE77" s="1202"/>
      <c r="BF77" s="1202"/>
      <c r="BG77" s="1202"/>
    </row>
    <row r="78" spans="18:59">
      <c r="R78" s="1202"/>
      <c r="S78" s="1202"/>
      <c r="W78" s="1202"/>
      <c r="X78" s="1202"/>
      <c r="AE78" s="1202"/>
      <c r="AF78" s="1202"/>
      <c r="AV78" s="1202"/>
      <c r="AW78" s="1202"/>
      <c r="AX78" s="1202"/>
      <c r="AY78" s="1202"/>
      <c r="AZ78" s="1202"/>
      <c r="BA78" s="1202"/>
      <c r="BC78" s="1202"/>
      <c r="BE78" s="1202"/>
      <c r="BF78" s="1202"/>
      <c r="BG78" s="1202"/>
    </row>
    <row r="79" spans="18:59">
      <c r="R79" s="1202"/>
      <c r="S79" s="1202"/>
      <c r="W79" s="1202"/>
      <c r="X79" s="1202"/>
      <c r="AE79" s="1202"/>
      <c r="AF79" s="1202"/>
      <c r="AV79" s="1202"/>
      <c r="AW79" s="1202"/>
      <c r="AX79" s="1202"/>
      <c r="AY79" s="1202"/>
      <c r="AZ79" s="1202"/>
      <c r="BA79" s="1202"/>
      <c r="BC79" s="1202"/>
      <c r="BE79" s="1202"/>
      <c r="BF79" s="1202"/>
      <c r="BG79" s="1202"/>
    </row>
    <row r="80" spans="18:59">
      <c r="R80" s="1202"/>
      <c r="S80" s="1202"/>
      <c r="W80" s="1202"/>
      <c r="X80" s="1202"/>
      <c r="AE80" s="1202"/>
      <c r="AF80" s="1202"/>
      <c r="AV80" s="1202"/>
      <c r="AW80" s="1202"/>
      <c r="AX80" s="1202"/>
      <c r="AY80" s="1202"/>
      <c r="AZ80" s="1202"/>
      <c r="BA80" s="1202"/>
      <c r="BC80" s="1202"/>
      <c r="BE80" s="1202"/>
      <c r="BF80" s="1202"/>
      <c r="BG80" s="1202"/>
    </row>
    <row r="81" spans="18:59">
      <c r="R81" s="1202"/>
      <c r="S81" s="1202"/>
      <c r="W81" s="1202"/>
      <c r="X81" s="1202"/>
      <c r="AE81" s="1202"/>
      <c r="AF81" s="1202"/>
      <c r="AV81" s="1202"/>
      <c r="AW81" s="1202"/>
      <c r="AX81" s="1202"/>
      <c r="AY81" s="1202"/>
      <c r="AZ81" s="1202"/>
      <c r="BA81" s="1202"/>
      <c r="BC81" s="1202"/>
      <c r="BE81" s="1202"/>
      <c r="BF81" s="1202"/>
      <c r="BG81" s="1202"/>
    </row>
    <row r="82" spans="18:59">
      <c r="R82" s="1202"/>
      <c r="S82" s="1202"/>
      <c r="W82" s="1202"/>
      <c r="X82" s="1202"/>
      <c r="AE82" s="1202"/>
      <c r="AF82" s="1202"/>
      <c r="AV82" s="1202"/>
      <c r="AW82" s="1202"/>
      <c r="AX82" s="1202"/>
      <c r="AY82" s="1202"/>
      <c r="AZ82" s="1202"/>
      <c r="BA82" s="1202"/>
      <c r="BC82" s="1202"/>
      <c r="BE82" s="1202"/>
      <c r="BF82" s="1202"/>
      <c r="BG82" s="1202"/>
    </row>
    <row r="83" spans="18:59">
      <c r="R83" s="1202"/>
      <c r="S83" s="1202"/>
      <c r="W83" s="1202"/>
      <c r="X83" s="1202"/>
      <c r="AE83" s="1202"/>
      <c r="AF83" s="1202"/>
      <c r="AV83" s="1202"/>
      <c r="AW83" s="1202"/>
      <c r="AX83" s="1202"/>
      <c r="AY83" s="1202"/>
      <c r="AZ83" s="1202"/>
      <c r="BA83" s="1202"/>
      <c r="BC83" s="1202"/>
      <c r="BE83" s="1202"/>
      <c r="BF83" s="1202"/>
      <c r="BG83" s="1202"/>
    </row>
    <row r="84" spans="18:59">
      <c r="R84" s="1202"/>
      <c r="S84" s="1202"/>
      <c r="W84" s="1202"/>
      <c r="X84" s="1202"/>
      <c r="AE84" s="1202"/>
      <c r="AF84" s="1202"/>
      <c r="AV84" s="1202"/>
      <c r="AW84" s="1202"/>
      <c r="AX84" s="1202"/>
      <c r="AY84" s="1202"/>
      <c r="AZ84" s="1202"/>
      <c r="BA84" s="1202"/>
      <c r="BC84" s="1202"/>
      <c r="BE84" s="1202"/>
      <c r="BF84" s="1202"/>
      <c r="BG84" s="1202"/>
    </row>
    <row r="85" spans="18:59">
      <c r="R85" s="1202"/>
      <c r="S85" s="1202"/>
      <c r="W85" s="1202"/>
      <c r="X85" s="1202"/>
      <c r="AE85" s="1202"/>
      <c r="AF85" s="1202"/>
      <c r="AV85" s="1202"/>
      <c r="AW85" s="1202"/>
      <c r="AX85" s="1202"/>
      <c r="AY85" s="1202"/>
      <c r="AZ85" s="1202"/>
      <c r="BA85" s="1202"/>
      <c r="BC85" s="1202"/>
      <c r="BE85" s="1202"/>
      <c r="BF85" s="1202"/>
      <c r="BG85" s="1202"/>
    </row>
    <row r="86" spans="18:59">
      <c r="R86" s="1202"/>
      <c r="S86" s="1202"/>
      <c r="W86" s="1202"/>
      <c r="X86" s="1202"/>
      <c r="AE86" s="1202"/>
      <c r="AF86" s="1202"/>
      <c r="AV86" s="1202"/>
      <c r="AW86" s="1202"/>
      <c r="AX86" s="1202"/>
      <c r="AY86" s="1202"/>
      <c r="AZ86" s="1202"/>
      <c r="BA86" s="1202"/>
      <c r="BC86" s="1202"/>
      <c r="BE86" s="1202"/>
      <c r="BF86" s="1202"/>
      <c r="BG86" s="1202"/>
    </row>
    <row r="87" spans="18:59">
      <c r="R87" s="1202"/>
      <c r="S87" s="1202"/>
      <c r="W87" s="1202"/>
      <c r="X87" s="1202"/>
      <c r="AE87" s="1202"/>
      <c r="AF87" s="1202"/>
      <c r="AV87" s="1202"/>
      <c r="AW87" s="1202"/>
      <c r="AX87" s="1202"/>
      <c r="AY87" s="1202"/>
      <c r="AZ87" s="1202"/>
      <c r="BA87" s="1202"/>
      <c r="BC87" s="1202"/>
      <c r="BE87" s="1202"/>
      <c r="BF87" s="1202"/>
      <c r="BG87" s="1202"/>
    </row>
    <row r="88" spans="18:59">
      <c r="R88" s="1202"/>
      <c r="S88" s="1202"/>
      <c r="W88" s="1202"/>
      <c r="X88" s="1202"/>
      <c r="AE88" s="1202"/>
      <c r="AF88" s="1202"/>
      <c r="AV88" s="1202"/>
      <c r="AW88" s="1202"/>
      <c r="AX88" s="1202"/>
      <c r="AY88" s="1202"/>
      <c r="AZ88" s="1202"/>
      <c r="BA88" s="1202"/>
      <c r="BC88" s="1202"/>
      <c r="BE88" s="1202"/>
      <c r="BF88" s="1202"/>
      <c r="BG88" s="1202"/>
    </row>
    <row r="89" spans="18:59">
      <c r="R89" s="1202"/>
      <c r="S89" s="1202"/>
      <c r="W89" s="1202"/>
      <c r="X89" s="1202"/>
      <c r="AE89" s="1202"/>
      <c r="AF89" s="1202"/>
      <c r="AV89" s="1202"/>
      <c r="AW89" s="1202"/>
      <c r="AX89" s="1202"/>
      <c r="AY89" s="1202"/>
      <c r="AZ89" s="1202"/>
      <c r="BA89" s="1202"/>
      <c r="BC89" s="1202"/>
      <c r="BE89" s="1202"/>
      <c r="BF89" s="1202"/>
      <c r="BG89" s="1202"/>
    </row>
    <row r="90" spans="18:59">
      <c r="R90" s="1202"/>
      <c r="S90" s="1202"/>
      <c r="W90" s="1202"/>
      <c r="X90" s="1202"/>
      <c r="AE90" s="1202"/>
      <c r="AF90" s="1202"/>
      <c r="AV90" s="1202"/>
      <c r="AW90" s="1202"/>
      <c r="AX90" s="1202"/>
      <c r="AY90" s="1202"/>
      <c r="AZ90" s="1202"/>
      <c r="BA90" s="1202"/>
      <c r="BC90" s="1202"/>
      <c r="BE90" s="1202"/>
      <c r="BF90" s="1202"/>
      <c r="BG90" s="1202"/>
    </row>
    <row r="91" spans="18:59">
      <c r="R91" s="1202"/>
      <c r="S91" s="1202"/>
      <c r="W91" s="1202"/>
      <c r="X91" s="1202"/>
      <c r="AE91" s="1202"/>
      <c r="AF91" s="1202"/>
      <c r="AV91" s="1202"/>
      <c r="AW91" s="1202"/>
      <c r="AX91" s="1202"/>
      <c r="AY91" s="1202"/>
      <c r="AZ91" s="1202"/>
      <c r="BA91" s="1202"/>
      <c r="BC91" s="1202"/>
      <c r="BE91" s="1202"/>
      <c r="BF91" s="1202"/>
      <c r="BG91" s="1202"/>
    </row>
    <row r="92" spans="18:59">
      <c r="R92" s="1202"/>
      <c r="S92" s="1202"/>
      <c r="W92" s="1202"/>
      <c r="X92" s="1202"/>
      <c r="AE92" s="1202"/>
      <c r="AF92" s="1202"/>
      <c r="AV92" s="1202"/>
      <c r="AW92" s="1202"/>
      <c r="AX92" s="1202"/>
      <c r="AY92" s="1202"/>
      <c r="AZ92" s="1202"/>
      <c r="BA92" s="1202"/>
      <c r="BC92" s="1202"/>
      <c r="BE92" s="1202"/>
      <c r="BF92" s="1202"/>
      <c r="BG92" s="1202"/>
    </row>
    <row r="93" spans="18:59">
      <c r="R93" s="1202"/>
      <c r="S93" s="1202"/>
      <c r="W93" s="1202"/>
      <c r="X93" s="1202"/>
      <c r="AE93" s="1202"/>
      <c r="AF93" s="1202"/>
      <c r="AV93" s="1202"/>
      <c r="AW93" s="1202"/>
      <c r="AX93" s="1202"/>
      <c r="AY93" s="1202"/>
      <c r="AZ93" s="1202"/>
      <c r="BA93" s="1202"/>
      <c r="BC93" s="1202"/>
      <c r="BE93" s="1202"/>
      <c r="BF93" s="1202"/>
      <c r="BG93" s="1202"/>
    </row>
    <row r="94" spans="18:59">
      <c r="R94" s="1202"/>
      <c r="S94" s="1202"/>
      <c r="W94" s="1202"/>
      <c r="X94" s="1202"/>
      <c r="AE94" s="1202"/>
      <c r="AF94" s="1202"/>
      <c r="AV94" s="1202"/>
      <c r="AW94" s="1202"/>
      <c r="AX94" s="1202"/>
      <c r="AY94" s="1202"/>
      <c r="AZ94" s="1202"/>
      <c r="BA94" s="1202"/>
      <c r="BC94" s="1202"/>
      <c r="BE94" s="1202"/>
      <c r="BF94" s="1202"/>
      <c r="BG94" s="1202"/>
    </row>
    <row r="95" spans="18:59">
      <c r="R95" s="1202"/>
      <c r="S95" s="1202"/>
      <c r="W95" s="1202"/>
      <c r="X95" s="1202"/>
      <c r="AE95" s="1202"/>
      <c r="AF95" s="1202"/>
      <c r="AV95" s="1202"/>
      <c r="AW95" s="1202"/>
      <c r="AX95" s="1202"/>
      <c r="AY95" s="1202"/>
      <c r="AZ95" s="1202"/>
      <c r="BA95" s="1202"/>
      <c r="BC95" s="1202"/>
      <c r="BE95" s="1202"/>
      <c r="BF95" s="1202"/>
      <c r="BG95" s="1202"/>
    </row>
    <row r="96" spans="18:59">
      <c r="R96" s="1202"/>
      <c r="S96" s="1202"/>
      <c r="W96" s="1202"/>
      <c r="X96" s="1202"/>
      <c r="AE96" s="1202"/>
      <c r="AF96" s="1202"/>
      <c r="AV96" s="1202"/>
      <c r="AW96" s="1202"/>
      <c r="AX96" s="1202"/>
      <c r="AY96" s="1202"/>
      <c r="AZ96" s="1202"/>
      <c r="BA96" s="1202"/>
      <c r="BC96" s="1202"/>
      <c r="BE96" s="1202"/>
      <c r="BF96" s="1202"/>
      <c r="BG96" s="1202"/>
    </row>
    <row r="97" spans="18:59">
      <c r="R97" s="1202"/>
      <c r="S97" s="1202"/>
      <c r="W97" s="1202"/>
      <c r="X97" s="1202"/>
      <c r="AE97" s="1202"/>
      <c r="AF97" s="1202"/>
      <c r="AV97" s="1202"/>
      <c r="AW97" s="1202"/>
      <c r="AX97" s="1202"/>
      <c r="AY97" s="1202"/>
      <c r="AZ97" s="1202"/>
      <c r="BA97" s="1202"/>
      <c r="BC97" s="1202"/>
      <c r="BE97" s="1202"/>
      <c r="BF97" s="1202"/>
      <c r="BG97" s="1202"/>
    </row>
    <row r="98" spans="18:59">
      <c r="R98" s="1202"/>
      <c r="S98" s="1202"/>
      <c r="W98" s="1202"/>
      <c r="X98" s="1202"/>
      <c r="AE98" s="1202"/>
      <c r="AF98" s="1202"/>
      <c r="AV98" s="1202"/>
      <c r="AW98" s="1202"/>
      <c r="AX98" s="1202"/>
      <c r="AY98" s="1202"/>
      <c r="AZ98" s="1202"/>
      <c r="BA98" s="1202"/>
      <c r="BC98" s="1202"/>
      <c r="BE98" s="1202"/>
      <c r="BF98" s="1202"/>
      <c r="BG98" s="1202"/>
    </row>
    <row r="99" spans="18:59">
      <c r="R99" s="1202"/>
      <c r="S99" s="1202"/>
      <c r="W99" s="1202"/>
      <c r="X99" s="1202"/>
      <c r="AE99" s="1202"/>
      <c r="AF99" s="1202"/>
      <c r="AV99" s="1202"/>
      <c r="AW99" s="1202"/>
      <c r="AX99" s="1202"/>
      <c r="AY99" s="1202"/>
      <c r="AZ99" s="1202"/>
      <c r="BA99" s="1202"/>
      <c r="BC99" s="1202"/>
      <c r="BE99" s="1202"/>
      <c r="BF99" s="1202"/>
      <c r="BG99" s="1202"/>
    </row>
    <row r="100" spans="18:59">
      <c r="R100" s="1202"/>
      <c r="S100" s="1202"/>
      <c r="W100" s="1202"/>
      <c r="X100" s="1202"/>
      <c r="AE100" s="1202"/>
      <c r="AF100" s="1202"/>
      <c r="AV100" s="1202"/>
      <c r="AW100" s="1202"/>
      <c r="AX100" s="1202"/>
      <c r="AY100" s="1202"/>
      <c r="AZ100" s="1202"/>
      <c r="BA100" s="1202"/>
      <c r="BC100" s="1202"/>
      <c r="BE100" s="1202"/>
      <c r="BF100" s="1202"/>
      <c r="BG100" s="1202"/>
    </row>
    <row r="101" spans="18:59">
      <c r="R101" s="1202"/>
      <c r="S101" s="1202"/>
      <c r="W101" s="1202"/>
      <c r="X101" s="1202"/>
      <c r="AE101" s="1202"/>
      <c r="AF101" s="1202"/>
      <c r="AV101" s="1202"/>
      <c r="AW101" s="1202"/>
      <c r="AX101" s="1202"/>
      <c r="AY101" s="1202"/>
      <c r="AZ101" s="1202"/>
      <c r="BA101" s="1202"/>
      <c r="BC101" s="1202"/>
      <c r="BE101" s="1202"/>
      <c r="BF101" s="1202"/>
      <c r="BG101" s="1202"/>
    </row>
    <row r="102" spans="18:59">
      <c r="R102" s="1202"/>
      <c r="S102" s="1202"/>
      <c r="W102" s="1202"/>
      <c r="X102" s="1202"/>
      <c r="AE102" s="1202"/>
      <c r="AF102" s="1202"/>
      <c r="AV102" s="1202"/>
      <c r="AW102" s="1202"/>
      <c r="AX102" s="1202"/>
      <c r="AY102" s="1202"/>
      <c r="AZ102" s="1202"/>
      <c r="BA102" s="1202"/>
      <c r="BC102" s="1202"/>
      <c r="BE102" s="1202"/>
      <c r="BF102" s="1202"/>
      <c r="BG102" s="1202"/>
    </row>
    <row r="103" spans="18:59">
      <c r="R103" s="1202"/>
      <c r="S103" s="1202"/>
      <c r="W103" s="1202"/>
      <c r="X103" s="1202"/>
      <c r="AE103" s="1202"/>
      <c r="AF103" s="1202"/>
      <c r="AV103" s="1202"/>
      <c r="AW103" s="1202"/>
      <c r="AX103" s="1202"/>
      <c r="AY103" s="1202"/>
      <c r="AZ103" s="1202"/>
      <c r="BA103" s="1202"/>
      <c r="BC103" s="1202"/>
      <c r="BE103" s="1202"/>
      <c r="BF103" s="1202"/>
      <c r="BG103" s="1202"/>
    </row>
    <row r="104" spans="18:59">
      <c r="R104" s="1202"/>
      <c r="S104" s="1202"/>
      <c r="W104" s="1202"/>
      <c r="X104" s="1202"/>
      <c r="AE104" s="1202"/>
      <c r="AF104" s="1202"/>
      <c r="AV104" s="1202"/>
      <c r="AW104" s="1202"/>
      <c r="AX104" s="1202"/>
      <c r="AY104" s="1202"/>
      <c r="AZ104" s="1202"/>
      <c r="BA104" s="1202"/>
      <c r="BC104" s="1202"/>
      <c r="BE104" s="1202"/>
      <c r="BF104" s="1202"/>
      <c r="BG104" s="1202"/>
    </row>
    <row r="105" spans="18:59">
      <c r="R105" s="1202"/>
      <c r="S105" s="1202"/>
      <c r="W105" s="1202"/>
      <c r="X105" s="1202"/>
      <c r="AE105" s="1202"/>
      <c r="AF105" s="1202"/>
      <c r="AV105" s="1202"/>
      <c r="AW105" s="1202"/>
      <c r="AX105" s="1202"/>
      <c r="AY105" s="1202"/>
      <c r="AZ105" s="1202"/>
      <c r="BA105" s="1202"/>
      <c r="BC105" s="1202"/>
      <c r="BE105" s="1202"/>
      <c r="BF105" s="1202"/>
      <c r="BG105" s="1202"/>
    </row>
    <row r="106" spans="18:59">
      <c r="R106" s="1202"/>
      <c r="S106" s="1202"/>
      <c r="W106" s="1202"/>
      <c r="X106" s="1202"/>
      <c r="AE106" s="1202"/>
      <c r="AF106" s="1202"/>
      <c r="AV106" s="1202"/>
      <c r="AW106" s="1202"/>
      <c r="AX106" s="1202"/>
      <c r="AY106" s="1202"/>
      <c r="AZ106" s="1202"/>
      <c r="BA106" s="1202"/>
      <c r="BC106" s="1202"/>
      <c r="BE106" s="1202"/>
      <c r="BF106" s="1202"/>
      <c r="BG106" s="1202"/>
    </row>
    <row r="107" spans="18:59">
      <c r="R107" s="1202"/>
      <c r="S107" s="1202"/>
      <c r="W107" s="1202"/>
      <c r="X107" s="1202"/>
      <c r="AE107" s="1202"/>
      <c r="AF107" s="1202"/>
      <c r="AV107" s="1202"/>
      <c r="AW107" s="1202"/>
      <c r="AX107" s="1202"/>
      <c r="AY107" s="1202"/>
      <c r="AZ107" s="1202"/>
      <c r="BA107" s="1202"/>
      <c r="BC107" s="1202"/>
      <c r="BE107" s="1202"/>
      <c r="BF107" s="1202"/>
      <c r="BG107" s="1202"/>
    </row>
    <row r="108" spans="18:59">
      <c r="R108" s="1202"/>
      <c r="S108" s="1202"/>
      <c r="W108" s="1202"/>
      <c r="X108" s="1202"/>
      <c r="AE108" s="1202"/>
      <c r="AF108" s="1202"/>
      <c r="AV108" s="1202"/>
      <c r="AW108" s="1202"/>
      <c r="AX108" s="1202"/>
      <c r="AY108" s="1202"/>
      <c r="AZ108" s="1202"/>
      <c r="BA108" s="1202"/>
      <c r="BC108" s="1202"/>
      <c r="BE108" s="1202"/>
      <c r="BF108" s="1202"/>
      <c r="BG108" s="1202"/>
    </row>
    <row r="109" spans="18:59">
      <c r="R109" s="1202"/>
      <c r="S109" s="1202"/>
      <c r="W109" s="1202"/>
      <c r="X109" s="1202"/>
      <c r="AE109" s="1202"/>
      <c r="AF109" s="1202"/>
      <c r="AV109" s="1202"/>
      <c r="AW109" s="1202"/>
      <c r="AX109" s="1202"/>
      <c r="AY109" s="1202"/>
      <c r="AZ109" s="1202"/>
      <c r="BA109" s="1202"/>
      <c r="BC109" s="1202"/>
      <c r="BE109" s="1202"/>
      <c r="BF109" s="1202"/>
      <c r="BG109" s="1202"/>
    </row>
    <row r="110" spans="18:59">
      <c r="R110" s="1202"/>
      <c r="S110" s="1202"/>
      <c r="W110" s="1202"/>
      <c r="X110" s="1202"/>
      <c r="AE110" s="1202"/>
      <c r="AF110" s="1202"/>
      <c r="AV110" s="1202"/>
      <c r="AW110" s="1202"/>
      <c r="AX110" s="1202"/>
      <c r="AY110" s="1202"/>
      <c r="AZ110" s="1202"/>
      <c r="BA110" s="1202"/>
      <c r="BC110" s="1202"/>
      <c r="BE110" s="1202"/>
      <c r="BF110" s="1202"/>
      <c r="BG110" s="1202"/>
    </row>
    <row r="111" spans="18:59">
      <c r="R111" s="1202"/>
      <c r="S111" s="1202"/>
      <c r="W111" s="1202"/>
      <c r="X111" s="1202"/>
      <c r="AE111" s="1202"/>
      <c r="AF111" s="1202"/>
      <c r="AV111" s="1202"/>
      <c r="AW111" s="1202"/>
      <c r="AX111" s="1202"/>
      <c r="AY111" s="1202"/>
      <c r="AZ111" s="1202"/>
      <c r="BA111" s="1202"/>
      <c r="BC111" s="1202"/>
      <c r="BE111" s="1202"/>
      <c r="BF111" s="1202"/>
      <c r="BG111" s="1202"/>
    </row>
    <row r="112" spans="18:59">
      <c r="R112" s="1202"/>
      <c r="S112" s="1202"/>
      <c r="W112" s="1202"/>
      <c r="X112" s="1202"/>
      <c r="AE112" s="1202"/>
      <c r="AF112" s="1202"/>
      <c r="AV112" s="1202"/>
      <c r="AW112" s="1202"/>
      <c r="AX112" s="1202"/>
      <c r="AY112" s="1202"/>
      <c r="AZ112" s="1202"/>
      <c r="BA112" s="1202"/>
      <c r="BC112" s="1202"/>
      <c r="BE112" s="1202"/>
      <c r="BF112" s="1202"/>
      <c r="BG112" s="1202"/>
    </row>
    <row r="113" spans="18:59">
      <c r="R113" s="1202"/>
      <c r="S113" s="1202"/>
      <c r="W113" s="1202"/>
      <c r="X113" s="1202"/>
      <c r="AE113" s="1202"/>
      <c r="AF113" s="1202"/>
      <c r="AV113" s="1202"/>
      <c r="AW113" s="1202"/>
      <c r="AX113" s="1202"/>
      <c r="AY113" s="1202"/>
      <c r="AZ113" s="1202"/>
      <c r="BA113" s="1202"/>
      <c r="BC113" s="1202"/>
      <c r="BE113" s="1202"/>
      <c r="BF113" s="1202"/>
      <c r="BG113" s="1202"/>
    </row>
    <row r="114" spans="18:59">
      <c r="R114" s="1202"/>
      <c r="S114" s="1202"/>
      <c r="W114" s="1202"/>
      <c r="X114" s="1202"/>
      <c r="AE114" s="1202"/>
      <c r="AF114" s="1202"/>
      <c r="AV114" s="1202"/>
      <c r="AW114" s="1202"/>
      <c r="AX114" s="1202"/>
      <c r="AY114" s="1202"/>
      <c r="AZ114" s="1202"/>
      <c r="BA114" s="1202"/>
      <c r="BC114" s="1202"/>
      <c r="BE114" s="1202"/>
      <c r="BF114" s="1202"/>
      <c r="BG114" s="1202"/>
    </row>
    <row r="115" spans="18:59">
      <c r="R115" s="1202"/>
      <c r="S115" s="1202"/>
      <c r="W115" s="1202"/>
      <c r="X115" s="1202"/>
      <c r="AE115" s="1202"/>
      <c r="AF115" s="1202"/>
      <c r="AV115" s="1202"/>
      <c r="AW115" s="1202"/>
      <c r="AX115" s="1202"/>
      <c r="AY115" s="1202"/>
      <c r="AZ115" s="1202"/>
      <c r="BA115" s="1202"/>
      <c r="BC115" s="1202"/>
      <c r="BE115" s="1202"/>
      <c r="BF115" s="1202"/>
      <c r="BG115" s="1202"/>
    </row>
    <row r="116" spans="18:59">
      <c r="R116" s="1202"/>
      <c r="S116" s="1202"/>
      <c r="W116" s="1202"/>
      <c r="X116" s="1202"/>
      <c r="AE116" s="1202"/>
      <c r="AF116" s="1202"/>
      <c r="AV116" s="1202"/>
      <c r="AW116" s="1202"/>
      <c r="AX116" s="1202"/>
      <c r="AY116" s="1202"/>
      <c r="AZ116" s="1202"/>
      <c r="BA116" s="1202"/>
      <c r="BC116" s="1202"/>
      <c r="BE116" s="1202"/>
      <c r="BF116" s="1202"/>
      <c r="BG116" s="1202"/>
    </row>
    <row r="117" spans="18:59">
      <c r="R117" s="1202"/>
      <c r="S117" s="1202"/>
      <c r="W117" s="1202"/>
      <c r="X117" s="1202"/>
      <c r="AE117" s="1202"/>
      <c r="AF117" s="1202"/>
      <c r="AV117" s="1202"/>
      <c r="AW117" s="1202"/>
      <c r="AX117" s="1202"/>
      <c r="AY117" s="1202"/>
      <c r="AZ117" s="1202"/>
      <c r="BA117" s="1202"/>
      <c r="BC117" s="1202"/>
      <c r="BE117" s="1202"/>
      <c r="BF117" s="1202"/>
      <c r="BG117" s="1202"/>
    </row>
    <row r="118" spans="18:59">
      <c r="R118" s="1202"/>
      <c r="S118" s="1202"/>
      <c r="W118" s="1202"/>
      <c r="X118" s="1202"/>
      <c r="AE118" s="1202"/>
      <c r="AF118" s="1202"/>
      <c r="AV118" s="1202"/>
      <c r="AW118" s="1202"/>
      <c r="AX118" s="1202"/>
      <c r="AY118" s="1202"/>
      <c r="AZ118" s="1202"/>
      <c r="BA118" s="1202"/>
      <c r="BC118" s="1202"/>
      <c r="BE118" s="1202"/>
      <c r="BF118" s="1202"/>
      <c r="BG118" s="1202"/>
    </row>
    <row r="119" spans="18:59">
      <c r="R119" s="1202"/>
      <c r="S119" s="1202"/>
      <c r="W119" s="1202"/>
      <c r="X119" s="1202"/>
      <c r="AE119" s="1202"/>
      <c r="AF119" s="1202"/>
      <c r="AV119" s="1202"/>
      <c r="AW119" s="1202"/>
      <c r="AX119" s="1202"/>
      <c r="AY119" s="1202"/>
      <c r="AZ119" s="1202"/>
      <c r="BA119" s="1202"/>
      <c r="BC119" s="1202"/>
      <c r="BE119" s="1202"/>
      <c r="BF119" s="1202"/>
      <c r="BG119" s="1202"/>
    </row>
    <row r="120" spans="18:59">
      <c r="R120" s="1202"/>
      <c r="S120" s="1202"/>
      <c r="W120" s="1202"/>
      <c r="X120" s="1202"/>
      <c r="AE120" s="1202"/>
      <c r="AF120" s="1202"/>
      <c r="AV120" s="1202"/>
      <c r="AW120" s="1202"/>
      <c r="AX120" s="1202"/>
      <c r="AY120" s="1202"/>
      <c r="AZ120" s="1202"/>
      <c r="BA120" s="1202"/>
      <c r="BC120" s="1202"/>
      <c r="BE120" s="1202"/>
      <c r="BF120" s="1202"/>
      <c r="BG120" s="1202"/>
    </row>
    <row r="121" spans="18:59">
      <c r="R121" s="1202"/>
      <c r="S121" s="1202"/>
      <c r="W121" s="1202"/>
      <c r="X121" s="1202"/>
      <c r="AE121" s="1202"/>
      <c r="AF121" s="1202"/>
      <c r="AV121" s="1202"/>
      <c r="AW121" s="1202"/>
      <c r="AX121" s="1202"/>
      <c r="AY121" s="1202"/>
      <c r="AZ121" s="1202"/>
      <c r="BA121" s="1202"/>
      <c r="BC121" s="1202"/>
      <c r="BE121" s="1202"/>
      <c r="BF121" s="1202"/>
      <c r="BG121" s="1202"/>
    </row>
    <row r="122" spans="18:59">
      <c r="R122" s="1202"/>
      <c r="S122" s="1202"/>
      <c r="W122" s="1202"/>
      <c r="X122" s="1202"/>
      <c r="AE122" s="1202"/>
      <c r="AF122" s="1202"/>
      <c r="AV122" s="1202"/>
      <c r="AW122" s="1202"/>
      <c r="AX122" s="1202"/>
      <c r="AY122" s="1202"/>
      <c r="AZ122" s="1202"/>
      <c r="BA122" s="1202"/>
      <c r="BC122" s="1202"/>
      <c r="BE122" s="1202"/>
      <c r="BF122" s="1202"/>
      <c r="BG122" s="1202"/>
    </row>
    <row r="123" spans="18:59">
      <c r="R123" s="1202"/>
      <c r="S123" s="1202"/>
      <c r="W123" s="1202"/>
      <c r="X123" s="1202"/>
      <c r="AE123" s="1202"/>
      <c r="AF123" s="1202"/>
      <c r="AV123" s="1202"/>
      <c r="AW123" s="1202"/>
      <c r="AX123" s="1202"/>
      <c r="AY123" s="1202"/>
      <c r="AZ123" s="1202"/>
      <c r="BA123" s="1202"/>
      <c r="BC123" s="1202"/>
      <c r="BE123" s="1202"/>
      <c r="BF123" s="1202"/>
      <c r="BG123" s="1202"/>
    </row>
    <row r="124" spans="18:59">
      <c r="R124" s="1202"/>
      <c r="S124" s="1202"/>
      <c r="W124" s="1202"/>
      <c r="X124" s="1202"/>
      <c r="AE124" s="1202"/>
      <c r="AF124" s="1202"/>
      <c r="AV124" s="1202"/>
      <c r="AW124" s="1202"/>
      <c r="AX124" s="1202"/>
      <c r="AY124" s="1202"/>
      <c r="AZ124" s="1202"/>
      <c r="BA124" s="1202"/>
      <c r="BC124" s="1202"/>
      <c r="BE124" s="1202"/>
      <c r="BF124" s="1202"/>
      <c r="BG124" s="1202"/>
    </row>
    <row r="125" spans="18:59">
      <c r="R125" s="1202"/>
      <c r="S125" s="1202"/>
      <c r="W125" s="1202"/>
      <c r="X125" s="1202"/>
      <c r="AE125" s="1202"/>
      <c r="AF125" s="1202"/>
      <c r="AV125" s="1202"/>
      <c r="AW125" s="1202"/>
      <c r="AX125" s="1202"/>
      <c r="AY125" s="1202"/>
      <c r="AZ125" s="1202"/>
      <c r="BA125" s="1202"/>
      <c r="BC125" s="1202"/>
      <c r="BE125" s="1202"/>
      <c r="BF125" s="1202"/>
      <c r="BG125" s="1202"/>
    </row>
    <row r="126" spans="18:59">
      <c r="R126" s="1202"/>
      <c r="S126" s="1202"/>
      <c r="W126" s="1202"/>
      <c r="X126" s="1202"/>
      <c r="AE126" s="1202"/>
      <c r="AF126" s="1202"/>
      <c r="AV126" s="1202"/>
      <c r="AW126" s="1202"/>
      <c r="AX126" s="1202"/>
      <c r="AY126" s="1202"/>
      <c r="AZ126" s="1202"/>
      <c r="BA126" s="1202"/>
      <c r="BC126" s="1202"/>
      <c r="BE126" s="1202"/>
      <c r="BF126" s="1202"/>
      <c r="BG126" s="1202"/>
    </row>
    <row r="127" spans="18:59">
      <c r="R127" s="1202"/>
      <c r="S127" s="1202"/>
      <c r="W127" s="1202"/>
      <c r="X127" s="1202"/>
      <c r="AE127" s="1202"/>
      <c r="AF127" s="1202"/>
      <c r="AV127" s="1202"/>
      <c r="AW127" s="1202"/>
      <c r="AX127" s="1202"/>
      <c r="AY127" s="1202"/>
      <c r="AZ127" s="1202"/>
      <c r="BA127" s="1202"/>
      <c r="BC127" s="1202"/>
      <c r="BE127" s="1202"/>
      <c r="BF127" s="1202"/>
      <c r="BG127" s="1202"/>
    </row>
    <row r="128" spans="18:59">
      <c r="R128" s="1202"/>
      <c r="S128" s="1202"/>
      <c r="W128" s="1202"/>
      <c r="X128" s="1202"/>
      <c r="AE128" s="1202"/>
      <c r="AF128" s="1202"/>
      <c r="AV128" s="1202"/>
      <c r="AW128" s="1202"/>
      <c r="AX128" s="1202"/>
      <c r="AY128" s="1202"/>
      <c r="AZ128" s="1202"/>
      <c r="BA128" s="1202"/>
      <c r="BC128" s="1202"/>
      <c r="BE128" s="1202"/>
      <c r="BF128" s="1202"/>
      <c r="BG128" s="1202"/>
    </row>
    <row r="129" spans="18:59">
      <c r="R129" s="1202"/>
      <c r="S129" s="1202"/>
      <c r="W129" s="1202"/>
      <c r="X129" s="1202"/>
      <c r="AE129" s="1202"/>
      <c r="AF129" s="1202"/>
      <c r="AV129" s="1202"/>
      <c r="AW129" s="1202"/>
      <c r="AX129" s="1202"/>
      <c r="AY129" s="1202"/>
      <c r="AZ129" s="1202"/>
      <c r="BA129" s="1202"/>
      <c r="BC129" s="1202"/>
      <c r="BE129" s="1202"/>
      <c r="BF129" s="1202"/>
      <c r="BG129" s="1202"/>
    </row>
    <row r="130" spans="18:59">
      <c r="R130" s="1202"/>
      <c r="S130" s="1202"/>
      <c r="W130" s="1202"/>
      <c r="X130" s="1202"/>
      <c r="AE130" s="1202"/>
      <c r="AF130" s="1202"/>
      <c r="AV130" s="1202"/>
      <c r="AW130" s="1202"/>
      <c r="AX130" s="1202"/>
      <c r="AY130" s="1202"/>
      <c r="AZ130" s="1202"/>
      <c r="BA130" s="1202"/>
      <c r="BC130" s="1202"/>
      <c r="BE130" s="1202"/>
      <c r="BF130" s="1202"/>
      <c r="BG130" s="1202"/>
    </row>
    <row r="131" spans="18:59">
      <c r="R131" s="1202"/>
      <c r="S131" s="1202"/>
      <c r="W131" s="1202"/>
      <c r="X131" s="1202"/>
      <c r="AE131" s="1202"/>
      <c r="AF131" s="1202"/>
      <c r="AV131" s="1202"/>
      <c r="AW131" s="1202"/>
      <c r="AX131" s="1202"/>
      <c r="AY131" s="1202"/>
      <c r="AZ131" s="1202"/>
      <c r="BA131" s="1202"/>
      <c r="BC131" s="1202"/>
      <c r="BE131" s="1202"/>
      <c r="BF131" s="1202"/>
      <c r="BG131" s="1202"/>
    </row>
    <row r="132" spans="18:59">
      <c r="R132" s="1202"/>
      <c r="S132" s="1202"/>
      <c r="W132" s="1202"/>
      <c r="X132" s="1202"/>
      <c r="AE132" s="1202"/>
      <c r="AF132" s="1202"/>
      <c r="AV132" s="1202"/>
      <c r="AW132" s="1202"/>
      <c r="AX132" s="1202"/>
      <c r="AY132" s="1202"/>
      <c r="AZ132" s="1202"/>
      <c r="BA132" s="1202"/>
      <c r="BC132" s="1202"/>
      <c r="BE132" s="1202"/>
      <c r="BF132" s="1202"/>
      <c r="BG132" s="1202"/>
    </row>
    <row r="133" spans="18:59">
      <c r="R133" s="1202"/>
      <c r="S133" s="1202"/>
      <c r="W133" s="1202"/>
      <c r="X133" s="1202"/>
      <c r="AE133" s="1202"/>
      <c r="AF133" s="1202"/>
      <c r="AV133" s="1202"/>
      <c r="AW133" s="1202"/>
      <c r="AX133" s="1202"/>
      <c r="AY133" s="1202"/>
      <c r="AZ133" s="1202"/>
      <c r="BA133" s="1202"/>
      <c r="BC133" s="1202"/>
      <c r="BE133" s="1202"/>
      <c r="BF133" s="1202"/>
      <c r="BG133" s="1202"/>
    </row>
    <row r="134" spans="18:59">
      <c r="R134" s="1202"/>
      <c r="S134" s="1202"/>
      <c r="W134" s="1202"/>
      <c r="X134" s="1202"/>
      <c r="AE134" s="1202"/>
      <c r="AF134" s="1202"/>
      <c r="AV134" s="1202"/>
      <c r="AW134" s="1202"/>
      <c r="AX134" s="1202"/>
      <c r="AY134" s="1202"/>
      <c r="AZ134" s="1202"/>
      <c r="BA134" s="1202"/>
      <c r="BC134" s="1202"/>
      <c r="BE134" s="1202"/>
      <c r="BF134" s="1202"/>
      <c r="BG134" s="1202"/>
    </row>
    <row r="135" spans="18:59">
      <c r="R135" s="1202"/>
      <c r="S135" s="1202"/>
      <c r="W135" s="1202"/>
      <c r="X135" s="1202"/>
      <c r="AE135" s="1202"/>
      <c r="AF135" s="1202"/>
      <c r="AV135" s="1202"/>
      <c r="AW135" s="1202"/>
      <c r="AX135" s="1202"/>
      <c r="AY135" s="1202"/>
      <c r="AZ135" s="1202"/>
      <c r="BA135" s="1202"/>
      <c r="BC135" s="1202"/>
      <c r="BE135" s="1202"/>
      <c r="BF135" s="1202"/>
      <c r="BG135" s="1202"/>
    </row>
    <row r="136" spans="18:59">
      <c r="R136" s="1202"/>
      <c r="S136" s="1202"/>
      <c r="W136" s="1202"/>
      <c r="X136" s="1202"/>
      <c r="AE136" s="1202"/>
      <c r="AF136" s="1202"/>
      <c r="AV136" s="1202"/>
      <c r="AW136" s="1202"/>
      <c r="AX136" s="1202"/>
      <c r="AY136" s="1202"/>
      <c r="AZ136" s="1202"/>
      <c r="BA136" s="1202"/>
      <c r="BC136" s="1202"/>
      <c r="BE136" s="1202"/>
      <c r="BF136" s="1202"/>
      <c r="BG136" s="1202"/>
    </row>
    <row r="137" spans="18:59">
      <c r="R137" s="1202"/>
      <c r="S137" s="1202"/>
      <c r="W137" s="1202"/>
      <c r="X137" s="1202"/>
      <c r="AE137" s="1202"/>
      <c r="AF137" s="1202"/>
      <c r="AV137" s="1202"/>
      <c r="AW137" s="1202"/>
      <c r="AX137" s="1202"/>
      <c r="AY137" s="1202"/>
      <c r="AZ137" s="1202"/>
      <c r="BA137" s="1202"/>
      <c r="BC137" s="1202"/>
      <c r="BE137" s="1202"/>
      <c r="BF137" s="1202"/>
      <c r="BG137" s="1202"/>
    </row>
    <row r="138" spans="18:59">
      <c r="R138" s="1202"/>
      <c r="S138" s="1202"/>
      <c r="W138" s="1202"/>
      <c r="X138" s="1202"/>
      <c r="AE138" s="1202"/>
      <c r="AF138" s="1202"/>
      <c r="AV138" s="1202"/>
      <c r="AW138" s="1202"/>
      <c r="AX138" s="1202"/>
      <c r="AY138" s="1202"/>
      <c r="AZ138" s="1202"/>
      <c r="BA138" s="1202"/>
      <c r="BC138" s="1202"/>
      <c r="BE138" s="1202"/>
      <c r="BF138" s="1202"/>
      <c r="BG138" s="1202"/>
    </row>
    <row r="139" spans="18:59">
      <c r="R139" s="1202"/>
      <c r="S139" s="1202"/>
      <c r="W139" s="1202"/>
      <c r="X139" s="1202"/>
      <c r="AE139" s="1202"/>
      <c r="AF139" s="1202"/>
      <c r="AV139" s="1202"/>
      <c r="AW139" s="1202"/>
      <c r="AX139" s="1202"/>
      <c r="AY139" s="1202"/>
      <c r="AZ139" s="1202"/>
      <c r="BA139" s="1202"/>
      <c r="BC139" s="1202"/>
      <c r="BE139" s="1202"/>
      <c r="BF139" s="1202"/>
      <c r="BG139" s="1202"/>
    </row>
    <row r="140" spans="18:59">
      <c r="R140" s="1202"/>
      <c r="S140" s="1202"/>
      <c r="W140" s="1202"/>
      <c r="X140" s="1202"/>
      <c r="AE140" s="1202"/>
      <c r="AF140" s="1202"/>
      <c r="AV140" s="1202"/>
      <c r="AW140" s="1202"/>
      <c r="AX140" s="1202"/>
      <c r="AY140" s="1202"/>
      <c r="AZ140" s="1202"/>
      <c r="BA140" s="1202"/>
      <c r="BC140" s="1202"/>
      <c r="BE140" s="1202"/>
      <c r="BF140" s="1202"/>
      <c r="BG140" s="1202"/>
    </row>
    <row r="141" spans="18:59">
      <c r="R141" s="1202"/>
      <c r="S141" s="1202"/>
      <c r="W141" s="1202"/>
      <c r="X141" s="1202"/>
      <c r="AE141" s="1202"/>
      <c r="AF141" s="1202"/>
      <c r="AV141" s="1202"/>
      <c r="AW141" s="1202"/>
      <c r="AX141" s="1202"/>
      <c r="AY141" s="1202"/>
      <c r="AZ141" s="1202"/>
      <c r="BA141" s="1202"/>
      <c r="BC141" s="1202"/>
      <c r="BE141" s="1202"/>
      <c r="BF141" s="1202"/>
      <c r="BG141" s="1202"/>
    </row>
    <row r="142" spans="18:59">
      <c r="R142" s="1202"/>
      <c r="S142" s="1202"/>
      <c r="W142" s="1202"/>
      <c r="X142" s="1202"/>
      <c r="AE142" s="1202"/>
      <c r="AF142" s="1202"/>
      <c r="AV142" s="1202"/>
      <c r="AW142" s="1202"/>
      <c r="AX142" s="1202"/>
      <c r="AY142" s="1202"/>
      <c r="AZ142" s="1202"/>
      <c r="BA142" s="1202"/>
      <c r="BC142" s="1202"/>
      <c r="BE142" s="1202"/>
      <c r="BF142" s="1202"/>
      <c r="BG142" s="1202"/>
    </row>
    <row r="143" spans="18:59">
      <c r="R143" s="1202"/>
      <c r="S143" s="1202"/>
      <c r="W143" s="1202"/>
      <c r="X143" s="1202"/>
      <c r="AE143" s="1202"/>
      <c r="AF143" s="1202"/>
      <c r="AV143" s="1202"/>
      <c r="AW143" s="1202"/>
      <c r="AX143" s="1202"/>
      <c r="AY143" s="1202"/>
      <c r="AZ143" s="1202"/>
      <c r="BA143" s="1202"/>
      <c r="BC143" s="1202"/>
      <c r="BE143" s="1202"/>
      <c r="BF143" s="1202"/>
      <c r="BG143" s="1202"/>
    </row>
    <row r="144" spans="18:59">
      <c r="R144" s="1202"/>
      <c r="S144" s="1202"/>
      <c r="W144" s="1202"/>
      <c r="X144" s="1202"/>
      <c r="AE144" s="1202"/>
      <c r="AF144" s="1202"/>
      <c r="AV144" s="1202"/>
      <c r="AW144" s="1202"/>
      <c r="AX144" s="1202"/>
      <c r="AY144" s="1202"/>
      <c r="AZ144" s="1202"/>
      <c r="BA144" s="1202"/>
      <c r="BC144" s="1202"/>
      <c r="BE144" s="1202"/>
      <c r="BF144" s="1202"/>
      <c r="BG144" s="1202"/>
    </row>
    <row r="145" spans="18:59">
      <c r="R145" s="1202"/>
      <c r="S145" s="1202"/>
      <c r="W145" s="1202"/>
      <c r="X145" s="1202"/>
      <c r="AE145" s="1202"/>
      <c r="AF145" s="1202"/>
      <c r="AV145" s="1202"/>
      <c r="AW145" s="1202"/>
      <c r="AX145" s="1202"/>
      <c r="AY145" s="1202"/>
      <c r="AZ145" s="1202"/>
      <c r="BA145" s="1202"/>
      <c r="BC145" s="1202"/>
      <c r="BE145" s="1202"/>
      <c r="BF145" s="1202"/>
      <c r="BG145" s="1202"/>
    </row>
    <row r="146" spans="18:59">
      <c r="R146" s="1202"/>
      <c r="S146" s="1202"/>
      <c r="W146" s="1202"/>
      <c r="X146" s="1202"/>
      <c r="AE146" s="1202"/>
      <c r="AF146" s="1202"/>
      <c r="AV146" s="1202"/>
      <c r="AW146" s="1202"/>
      <c r="AX146" s="1202"/>
      <c r="AY146" s="1202"/>
      <c r="AZ146" s="1202"/>
      <c r="BA146" s="1202"/>
      <c r="BC146" s="1202"/>
      <c r="BE146" s="1202"/>
      <c r="BF146" s="1202"/>
      <c r="BG146" s="1202"/>
    </row>
    <row r="147" spans="18:59">
      <c r="R147" s="1202"/>
      <c r="S147" s="1202"/>
      <c r="W147" s="1202"/>
      <c r="X147" s="1202"/>
      <c r="AE147" s="1202"/>
      <c r="AF147" s="1202"/>
      <c r="AV147" s="1202"/>
      <c r="AW147" s="1202"/>
      <c r="AX147" s="1202"/>
      <c r="AY147" s="1202"/>
      <c r="AZ147" s="1202"/>
      <c r="BA147" s="1202"/>
      <c r="BC147" s="1202"/>
      <c r="BE147" s="1202"/>
      <c r="BF147" s="1202"/>
      <c r="BG147" s="1202"/>
    </row>
    <row r="148" spans="18:59">
      <c r="R148" s="1202"/>
      <c r="S148" s="1202"/>
      <c r="W148" s="1202"/>
      <c r="X148" s="1202"/>
      <c r="AE148" s="1202"/>
      <c r="AF148" s="1202"/>
      <c r="AV148" s="1202"/>
      <c r="AW148" s="1202"/>
      <c r="AX148" s="1202"/>
      <c r="AY148" s="1202"/>
      <c r="AZ148" s="1202"/>
      <c r="BA148" s="1202"/>
      <c r="BC148" s="1202"/>
      <c r="BE148" s="1202"/>
      <c r="BF148" s="1202"/>
      <c r="BG148" s="1202"/>
    </row>
    <row r="149" spans="18:59">
      <c r="R149" s="1202"/>
      <c r="S149" s="1202"/>
      <c r="W149" s="1202"/>
      <c r="X149" s="1202"/>
      <c r="AE149" s="1202"/>
      <c r="AF149" s="1202"/>
      <c r="AV149" s="1202"/>
      <c r="AW149" s="1202"/>
      <c r="AX149" s="1202"/>
      <c r="AY149" s="1202"/>
      <c r="AZ149" s="1202"/>
      <c r="BA149" s="1202"/>
      <c r="BC149" s="1202"/>
      <c r="BE149" s="1202"/>
      <c r="BF149" s="1202"/>
      <c r="BG149" s="1202"/>
    </row>
    <row r="150" spans="18:59">
      <c r="R150" s="1202"/>
      <c r="S150" s="1202"/>
      <c r="W150" s="1202"/>
      <c r="X150" s="1202"/>
      <c r="AE150" s="1202"/>
      <c r="AF150" s="1202"/>
      <c r="AV150" s="1202"/>
      <c r="AW150" s="1202"/>
      <c r="AX150" s="1202"/>
      <c r="AY150" s="1202"/>
      <c r="AZ150" s="1202"/>
      <c r="BA150" s="1202"/>
      <c r="BC150" s="1202"/>
      <c r="BE150" s="1202"/>
      <c r="BF150" s="1202"/>
      <c r="BG150" s="1202"/>
    </row>
    <row r="151" spans="18:59">
      <c r="R151" s="1202"/>
      <c r="S151" s="1202"/>
      <c r="W151" s="1202"/>
      <c r="X151" s="1202"/>
      <c r="AE151" s="1202"/>
      <c r="AF151" s="1202"/>
      <c r="AV151" s="1202"/>
      <c r="AW151" s="1202"/>
      <c r="AX151" s="1202"/>
      <c r="AY151" s="1202"/>
      <c r="AZ151" s="1202"/>
      <c r="BA151" s="1202"/>
      <c r="BC151" s="1202"/>
      <c r="BE151" s="1202"/>
      <c r="BF151" s="1202"/>
      <c r="BG151" s="1202"/>
    </row>
    <row r="152" spans="18:59">
      <c r="R152" s="1202"/>
      <c r="S152" s="1202"/>
      <c r="W152" s="1202"/>
      <c r="X152" s="1202"/>
      <c r="AE152" s="1202"/>
      <c r="AF152" s="1202"/>
      <c r="AV152" s="1202"/>
      <c r="AW152" s="1202"/>
      <c r="AX152" s="1202"/>
      <c r="AY152" s="1202"/>
      <c r="AZ152" s="1202"/>
      <c r="BA152" s="1202"/>
      <c r="BC152" s="1202"/>
      <c r="BE152" s="1202"/>
      <c r="BF152" s="1202"/>
      <c r="BG152" s="1202"/>
    </row>
    <row r="153" spans="18:59">
      <c r="R153" s="1202"/>
      <c r="S153" s="1202"/>
      <c r="W153" s="1202"/>
      <c r="X153" s="1202"/>
      <c r="AE153" s="1202"/>
      <c r="AF153" s="1202"/>
      <c r="AV153" s="1202"/>
      <c r="AW153" s="1202"/>
      <c r="AX153" s="1202"/>
      <c r="AY153" s="1202"/>
      <c r="AZ153" s="1202"/>
      <c r="BA153" s="1202"/>
      <c r="BC153" s="1202"/>
      <c r="BE153" s="1202"/>
      <c r="BF153" s="1202"/>
      <c r="BG153" s="1202"/>
    </row>
    <row r="154" spans="18:59">
      <c r="R154" s="1202"/>
      <c r="S154" s="1202"/>
      <c r="W154" s="1202"/>
      <c r="X154" s="1202"/>
      <c r="AE154" s="1202"/>
      <c r="AF154" s="1202"/>
      <c r="AV154" s="1202"/>
      <c r="AW154" s="1202"/>
      <c r="AX154" s="1202"/>
      <c r="AY154" s="1202"/>
      <c r="AZ154" s="1202"/>
      <c r="BA154" s="1202"/>
      <c r="BC154" s="1202"/>
      <c r="BE154" s="1202"/>
      <c r="BF154" s="1202"/>
      <c r="BG154" s="1202"/>
    </row>
    <row r="155" spans="18:59">
      <c r="R155" s="1202"/>
      <c r="S155" s="1202"/>
      <c r="W155" s="1202"/>
      <c r="X155" s="1202"/>
      <c r="AE155" s="1202"/>
      <c r="AF155" s="1202"/>
      <c r="AV155" s="1202"/>
      <c r="AW155" s="1202"/>
      <c r="AX155" s="1202"/>
      <c r="AY155" s="1202"/>
      <c r="AZ155" s="1202"/>
      <c r="BA155" s="1202"/>
      <c r="BC155" s="1202"/>
      <c r="BE155" s="1202"/>
      <c r="BF155" s="1202"/>
      <c r="BG155" s="1202"/>
    </row>
    <row r="156" spans="18:59">
      <c r="R156" s="1202"/>
      <c r="S156" s="1202"/>
      <c r="W156" s="1202"/>
      <c r="X156" s="1202"/>
      <c r="AE156" s="1202"/>
      <c r="AF156" s="1202"/>
      <c r="AV156" s="1202"/>
      <c r="AW156" s="1202"/>
      <c r="AX156" s="1202"/>
      <c r="AY156" s="1202"/>
      <c r="AZ156" s="1202"/>
      <c r="BA156" s="1202"/>
      <c r="BC156" s="1202"/>
      <c r="BE156" s="1202"/>
      <c r="BF156" s="1202"/>
      <c r="BG156" s="1202"/>
    </row>
    <row r="157" spans="18:59">
      <c r="R157" s="1202"/>
      <c r="S157" s="1202"/>
      <c r="W157" s="1202"/>
      <c r="X157" s="1202"/>
      <c r="AE157" s="1202"/>
      <c r="AF157" s="1202"/>
      <c r="AV157" s="1202"/>
      <c r="AW157" s="1202"/>
      <c r="AX157" s="1202"/>
      <c r="AY157" s="1202"/>
      <c r="AZ157" s="1202"/>
      <c r="BA157" s="1202"/>
      <c r="BC157" s="1202"/>
      <c r="BE157" s="1202"/>
      <c r="BF157" s="1202"/>
      <c r="BG157" s="1202"/>
    </row>
    <row r="158" spans="18:59">
      <c r="R158" s="1202"/>
      <c r="S158" s="1202"/>
      <c r="W158" s="1202"/>
      <c r="X158" s="1202"/>
      <c r="AE158" s="1202"/>
      <c r="AF158" s="1202"/>
      <c r="AV158" s="1202"/>
      <c r="AW158" s="1202"/>
      <c r="AX158" s="1202"/>
      <c r="AY158" s="1202"/>
      <c r="AZ158" s="1202"/>
      <c r="BA158" s="1202"/>
      <c r="BC158" s="1202"/>
      <c r="BE158" s="1202"/>
      <c r="BF158" s="1202"/>
      <c r="BG158" s="1202"/>
    </row>
    <row r="159" spans="18:59">
      <c r="R159" s="1202"/>
      <c r="S159" s="1202"/>
      <c r="W159" s="1202"/>
      <c r="X159" s="1202"/>
      <c r="AE159" s="1202"/>
      <c r="AF159" s="1202"/>
      <c r="AV159" s="1202"/>
      <c r="AW159" s="1202"/>
      <c r="AX159" s="1202"/>
      <c r="AY159" s="1202"/>
      <c r="AZ159" s="1202"/>
      <c r="BA159" s="1202"/>
      <c r="BC159" s="1202"/>
      <c r="BE159" s="1202"/>
      <c r="BF159" s="1202"/>
      <c r="BG159" s="1202"/>
    </row>
    <row r="160" spans="18:59">
      <c r="R160" s="1202"/>
      <c r="S160" s="1202"/>
      <c r="W160" s="1202"/>
      <c r="X160" s="1202"/>
      <c r="AE160" s="1202"/>
      <c r="AF160" s="1202"/>
      <c r="AV160" s="1202"/>
      <c r="AW160" s="1202"/>
      <c r="AX160" s="1202"/>
      <c r="AY160" s="1202"/>
      <c r="AZ160" s="1202"/>
      <c r="BA160" s="1202"/>
      <c r="BC160" s="1202"/>
      <c r="BE160" s="1202"/>
      <c r="BF160" s="1202"/>
      <c r="BG160" s="1202"/>
    </row>
    <row r="161" spans="18:59">
      <c r="R161" s="1202"/>
      <c r="S161" s="1202"/>
      <c r="W161" s="1202"/>
      <c r="X161" s="1202"/>
      <c r="AE161" s="1202"/>
      <c r="AF161" s="1202"/>
      <c r="AV161" s="1202"/>
      <c r="AW161" s="1202"/>
      <c r="AX161" s="1202"/>
      <c r="AY161" s="1202"/>
      <c r="AZ161" s="1202"/>
      <c r="BA161" s="1202"/>
      <c r="BC161" s="1202"/>
      <c r="BE161" s="1202"/>
      <c r="BF161" s="1202"/>
      <c r="BG161" s="1202"/>
    </row>
    <row r="162" spans="18:59">
      <c r="R162" s="1202"/>
      <c r="S162" s="1202"/>
      <c r="W162" s="1202"/>
      <c r="X162" s="1202"/>
      <c r="AE162" s="1202"/>
      <c r="AF162" s="1202"/>
      <c r="AV162" s="1202"/>
      <c r="AW162" s="1202"/>
      <c r="AX162" s="1202"/>
      <c r="AY162" s="1202"/>
      <c r="AZ162" s="1202"/>
      <c r="BA162" s="1202"/>
      <c r="BC162" s="1202"/>
      <c r="BE162" s="1202"/>
      <c r="BF162" s="1202"/>
      <c r="BG162" s="1202"/>
    </row>
    <row r="163" spans="18:59">
      <c r="R163" s="1202"/>
      <c r="S163" s="1202"/>
      <c r="W163" s="1202"/>
      <c r="X163" s="1202"/>
      <c r="AE163" s="1202"/>
      <c r="AF163" s="1202"/>
      <c r="AV163" s="1202"/>
      <c r="AW163" s="1202"/>
      <c r="AX163" s="1202"/>
      <c r="AY163" s="1202"/>
      <c r="AZ163" s="1202"/>
      <c r="BA163" s="1202"/>
      <c r="BC163" s="1202"/>
      <c r="BE163" s="1202"/>
      <c r="BF163" s="1202"/>
      <c r="BG163" s="1202"/>
    </row>
    <row r="164" spans="18:59">
      <c r="R164" s="1202"/>
      <c r="S164" s="1202"/>
      <c r="W164" s="1202"/>
      <c r="X164" s="1202"/>
      <c r="AE164" s="1202"/>
      <c r="AF164" s="1202"/>
      <c r="AV164" s="1202"/>
      <c r="AW164" s="1202"/>
      <c r="AX164" s="1202"/>
      <c r="AY164" s="1202"/>
      <c r="AZ164" s="1202"/>
      <c r="BA164" s="1202"/>
      <c r="BC164" s="1202"/>
      <c r="BE164" s="1202"/>
      <c r="BF164" s="1202"/>
      <c r="BG164" s="1202"/>
    </row>
    <row r="165" spans="18:59">
      <c r="R165" s="1202"/>
      <c r="S165" s="1202"/>
      <c r="W165" s="1202"/>
      <c r="X165" s="1202"/>
      <c r="AE165" s="1202"/>
      <c r="AF165" s="1202"/>
      <c r="AV165" s="1202"/>
      <c r="AW165" s="1202"/>
      <c r="AX165" s="1202"/>
      <c r="AY165" s="1202"/>
      <c r="AZ165" s="1202"/>
      <c r="BA165" s="1202"/>
      <c r="BC165" s="1202"/>
      <c r="BE165" s="1202"/>
      <c r="BF165" s="1202"/>
      <c r="BG165" s="1202"/>
    </row>
    <row r="166" spans="18:59">
      <c r="R166" s="1202"/>
      <c r="S166" s="1202"/>
      <c r="W166" s="1202"/>
      <c r="X166" s="1202"/>
      <c r="AE166" s="1202"/>
      <c r="AF166" s="1202"/>
      <c r="AV166" s="1202"/>
      <c r="AW166" s="1202"/>
      <c r="AX166" s="1202"/>
      <c r="AY166" s="1202"/>
      <c r="AZ166" s="1202"/>
      <c r="BA166" s="1202"/>
      <c r="BC166" s="1202"/>
      <c r="BE166" s="1202"/>
      <c r="BF166" s="1202"/>
      <c r="BG166" s="1202"/>
    </row>
    <row r="167" spans="18:59">
      <c r="R167" s="1202"/>
      <c r="S167" s="1202"/>
      <c r="W167" s="1202"/>
      <c r="X167" s="1202"/>
      <c r="AE167" s="1202"/>
      <c r="AF167" s="1202"/>
      <c r="AV167" s="1202"/>
      <c r="AW167" s="1202"/>
      <c r="AX167" s="1202"/>
      <c r="AY167" s="1202"/>
      <c r="AZ167" s="1202"/>
      <c r="BA167" s="1202"/>
      <c r="BC167" s="1202"/>
      <c r="BE167" s="1202"/>
      <c r="BF167" s="1202"/>
      <c r="BG167" s="1202"/>
    </row>
    <row r="168" spans="18:59">
      <c r="R168" s="1202"/>
      <c r="S168" s="1202"/>
      <c r="W168" s="1202"/>
      <c r="X168" s="1202"/>
      <c r="AE168" s="1202"/>
      <c r="AF168" s="1202"/>
      <c r="AV168" s="1202"/>
      <c r="AW168" s="1202"/>
      <c r="AX168" s="1202"/>
      <c r="AY168" s="1202"/>
      <c r="AZ168" s="1202"/>
      <c r="BA168" s="1202"/>
      <c r="BC168" s="1202"/>
      <c r="BE168" s="1202"/>
      <c r="BF168" s="1202"/>
      <c r="BG168" s="1202"/>
    </row>
    <row r="169" spans="18:59">
      <c r="R169" s="1202"/>
      <c r="S169" s="1202"/>
      <c r="W169" s="1202"/>
      <c r="X169" s="1202"/>
      <c r="AE169" s="1202"/>
      <c r="AF169" s="1202"/>
      <c r="AV169" s="1202"/>
      <c r="AW169" s="1202"/>
      <c r="AX169" s="1202"/>
      <c r="AY169" s="1202"/>
      <c r="AZ169" s="1202"/>
      <c r="BA169" s="1202"/>
      <c r="BC169" s="1202"/>
      <c r="BE169" s="1202"/>
      <c r="BF169" s="1202"/>
      <c r="BG169" s="1202"/>
    </row>
    <row r="170" spans="18:59">
      <c r="R170" s="1202"/>
      <c r="S170" s="1202"/>
      <c r="W170" s="1202"/>
      <c r="X170" s="1202"/>
      <c r="AE170" s="1202"/>
      <c r="AF170" s="1202"/>
      <c r="AV170" s="1202"/>
      <c r="AW170" s="1202"/>
      <c r="AX170" s="1202"/>
      <c r="AY170" s="1202"/>
      <c r="AZ170" s="1202"/>
      <c r="BA170" s="1202"/>
      <c r="BC170" s="1202"/>
      <c r="BE170" s="1202"/>
      <c r="BF170" s="1202"/>
      <c r="BG170" s="1202"/>
    </row>
    <row r="171" spans="18:59">
      <c r="R171" s="1202"/>
      <c r="S171" s="1202"/>
      <c r="W171" s="1202"/>
      <c r="X171" s="1202"/>
      <c r="AE171" s="1202"/>
      <c r="AF171" s="1202"/>
      <c r="AV171" s="1202"/>
      <c r="AW171" s="1202"/>
      <c r="AX171" s="1202"/>
      <c r="AY171" s="1202"/>
      <c r="AZ171" s="1202"/>
      <c r="BA171" s="1202"/>
      <c r="BC171" s="1202"/>
      <c r="BE171" s="1202"/>
      <c r="BF171" s="1202"/>
      <c r="BG171" s="1202"/>
    </row>
    <row r="172" spans="18:59">
      <c r="R172" s="1202"/>
      <c r="S172" s="1202"/>
      <c r="W172" s="1202"/>
      <c r="X172" s="1202"/>
      <c r="AE172" s="1202"/>
      <c r="AF172" s="1202"/>
      <c r="AV172" s="1202"/>
      <c r="AW172" s="1202"/>
      <c r="AX172" s="1202"/>
      <c r="AY172" s="1202"/>
      <c r="AZ172" s="1202"/>
      <c r="BA172" s="1202"/>
      <c r="BC172" s="1202"/>
      <c r="BE172" s="1202"/>
      <c r="BF172" s="1202"/>
      <c r="BG172" s="1202"/>
    </row>
    <row r="173" spans="18:59">
      <c r="R173" s="1202"/>
      <c r="S173" s="1202"/>
      <c r="W173" s="1202"/>
      <c r="X173" s="1202"/>
      <c r="AE173" s="1202"/>
      <c r="AF173" s="1202"/>
      <c r="AV173" s="1202"/>
      <c r="AW173" s="1202"/>
      <c r="AX173" s="1202"/>
      <c r="AY173" s="1202"/>
      <c r="AZ173" s="1202"/>
      <c r="BA173" s="1202"/>
      <c r="BC173" s="1202"/>
      <c r="BE173" s="1202"/>
      <c r="BF173" s="1202"/>
      <c r="BG173" s="1202"/>
    </row>
    <row r="174" spans="18:59">
      <c r="R174" s="1202"/>
      <c r="S174" s="1202"/>
      <c r="W174" s="1202"/>
      <c r="X174" s="1202"/>
      <c r="AE174" s="1202"/>
      <c r="AF174" s="1202"/>
      <c r="AV174" s="1202"/>
      <c r="AW174" s="1202"/>
      <c r="AX174" s="1202"/>
      <c r="AY174" s="1202"/>
      <c r="AZ174" s="1202"/>
      <c r="BA174" s="1202"/>
      <c r="BC174" s="1202"/>
      <c r="BE174" s="1202"/>
      <c r="BF174" s="1202"/>
      <c r="BG174" s="1202"/>
    </row>
    <row r="175" spans="18:59">
      <c r="R175" s="1202"/>
      <c r="S175" s="1202"/>
      <c r="W175" s="1202"/>
      <c r="X175" s="1202"/>
      <c r="AE175" s="1202"/>
      <c r="AF175" s="1202"/>
      <c r="AV175" s="1202"/>
      <c r="AW175" s="1202"/>
      <c r="AX175" s="1202"/>
      <c r="AY175" s="1202"/>
      <c r="AZ175" s="1202"/>
      <c r="BA175" s="1202"/>
      <c r="BC175" s="1202"/>
      <c r="BE175" s="1202"/>
      <c r="BF175" s="1202"/>
      <c r="BG175" s="1202"/>
    </row>
    <row r="176" spans="18:59">
      <c r="R176" s="1202"/>
      <c r="S176" s="1202"/>
      <c r="W176" s="1202"/>
      <c r="X176" s="1202"/>
      <c r="AE176" s="1202"/>
      <c r="AF176" s="1202"/>
      <c r="AV176" s="1202"/>
      <c r="AW176" s="1202"/>
      <c r="AX176" s="1202"/>
      <c r="AY176" s="1202"/>
      <c r="AZ176" s="1202"/>
      <c r="BA176" s="1202"/>
      <c r="BC176" s="1202"/>
      <c r="BE176" s="1202"/>
      <c r="BF176" s="1202"/>
      <c r="BG176" s="1202"/>
    </row>
    <row r="177" spans="18:59">
      <c r="R177" s="1202"/>
      <c r="S177" s="1202"/>
      <c r="W177" s="1202"/>
      <c r="X177" s="1202"/>
      <c r="AE177" s="1202"/>
      <c r="AF177" s="1202"/>
      <c r="AV177" s="1202"/>
      <c r="AW177" s="1202"/>
      <c r="AX177" s="1202"/>
      <c r="AY177" s="1202"/>
      <c r="AZ177" s="1202"/>
      <c r="BA177" s="1202"/>
      <c r="BC177" s="1202"/>
      <c r="BE177" s="1202"/>
      <c r="BF177" s="1202"/>
      <c r="BG177" s="1202"/>
    </row>
    <row r="178" spans="18:59">
      <c r="R178" s="1202"/>
      <c r="S178" s="1202"/>
      <c r="W178" s="1202"/>
      <c r="X178" s="1202"/>
      <c r="AE178" s="1202"/>
      <c r="AF178" s="1202"/>
      <c r="AV178" s="1202"/>
      <c r="AW178" s="1202"/>
      <c r="AX178" s="1202"/>
      <c r="AY178" s="1202"/>
      <c r="AZ178" s="1202"/>
      <c r="BA178" s="1202"/>
      <c r="BC178" s="1202"/>
      <c r="BE178" s="1202"/>
      <c r="BF178" s="1202"/>
      <c r="BG178" s="1202"/>
    </row>
    <row r="179" spans="18:59">
      <c r="R179" s="1202"/>
      <c r="S179" s="1202"/>
      <c r="W179" s="1202"/>
      <c r="X179" s="1202"/>
      <c r="AE179" s="1202"/>
      <c r="AF179" s="1202"/>
      <c r="AV179" s="1202"/>
      <c r="AW179" s="1202"/>
      <c r="AX179" s="1202"/>
      <c r="AY179" s="1202"/>
      <c r="AZ179" s="1202"/>
      <c r="BA179" s="1202"/>
      <c r="BC179" s="1202"/>
      <c r="BE179" s="1202"/>
      <c r="BF179" s="1202"/>
      <c r="BG179" s="1202"/>
    </row>
    <row r="180" spans="18:59">
      <c r="R180" s="1202"/>
      <c r="S180" s="1202"/>
      <c r="W180" s="1202"/>
      <c r="X180" s="1202"/>
      <c r="AE180" s="1202"/>
      <c r="AF180" s="1202"/>
      <c r="AV180" s="1202"/>
      <c r="AW180" s="1202"/>
      <c r="AX180" s="1202"/>
      <c r="AY180" s="1202"/>
      <c r="AZ180" s="1202"/>
      <c r="BA180" s="1202"/>
      <c r="BC180" s="1202"/>
      <c r="BE180" s="1202"/>
      <c r="BF180" s="1202"/>
      <c r="BG180" s="1202"/>
    </row>
    <row r="181" spans="18:59">
      <c r="R181" s="1202"/>
      <c r="S181" s="1202"/>
      <c r="W181" s="1202"/>
      <c r="X181" s="1202"/>
      <c r="AE181" s="1202"/>
      <c r="AF181" s="1202"/>
      <c r="AV181" s="1202"/>
      <c r="AW181" s="1202"/>
      <c r="AX181" s="1202"/>
      <c r="AY181" s="1202"/>
      <c r="AZ181" s="1202"/>
      <c r="BA181" s="1202"/>
      <c r="BC181" s="1202"/>
      <c r="BE181" s="1202"/>
      <c r="BF181" s="1202"/>
      <c r="BG181" s="1202"/>
    </row>
    <row r="182" spans="18:59">
      <c r="R182" s="1202"/>
      <c r="S182" s="1202"/>
      <c r="W182" s="1202"/>
      <c r="X182" s="1202"/>
      <c r="AE182" s="1202"/>
      <c r="AF182" s="1202"/>
      <c r="AV182" s="1202"/>
      <c r="AW182" s="1202"/>
      <c r="AX182" s="1202"/>
      <c r="AY182" s="1202"/>
      <c r="AZ182" s="1202"/>
      <c r="BA182" s="1202"/>
      <c r="BC182" s="1202"/>
      <c r="BE182" s="1202"/>
      <c r="BF182" s="1202"/>
      <c r="BG182" s="1202"/>
    </row>
    <row r="183" spans="18:59">
      <c r="R183" s="1202"/>
      <c r="S183" s="1202"/>
      <c r="W183" s="1202"/>
      <c r="X183" s="1202"/>
      <c r="AE183" s="1202"/>
      <c r="AF183" s="1202"/>
      <c r="AV183" s="1202"/>
      <c r="AW183" s="1202"/>
      <c r="AX183" s="1202"/>
      <c r="AY183" s="1202"/>
      <c r="AZ183" s="1202"/>
      <c r="BA183" s="1202"/>
      <c r="BC183" s="1202"/>
      <c r="BE183" s="1202"/>
      <c r="BF183" s="1202"/>
      <c r="BG183" s="1202"/>
    </row>
    <row r="184" spans="18:59">
      <c r="R184" s="1202"/>
      <c r="S184" s="1202"/>
      <c r="W184" s="1202"/>
      <c r="X184" s="1202"/>
      <c r="AE184" s="1202"/>
      <c r="AF184" s="1202"/>
      <c r="AV184" s="1202"/>
      <c r="AW184" s="1202"/>
      <c r="AX184" s="1202"/>
      <c r="AY184" s="1202"/>
      <c r="AZ184" s="1202"/>
      <c r="BA184" s="1202"/>
      <c r="BC184" s="1202"/>
      <c r="BE184" s="1202"/>
      <c r="BF184" s="1202"/>
      <c r="BG184" s="1202"/>
    </row>
    <row r="185" spans="18:59">
      <c r="R185" s="1202"/>
      <c r="S185" s="1202"/>
      <c r="W185" s="1202"/>
      <c r="X185" s="1202"/>
      <c r="AE185" s="1202"/>
      <c r="AF185" s="1202"/>
      <c r="AV185" s="1202"/>
      <c r="AW185" s="1202"/>
      <c r="AX185" s="1202"/>
      <c r="AY185" s="1202"/>
      <c r="AZ185" s="1202"/>
      <c r="BA185" s="1202"/>
      <c r="BC185" s="1202"/>
      <c r="BE185" s="1202"/>
      <c r="BF185" s="1202"/>
      <c r="BG185" s="1202"/>
    </row>
    <row r="186" spans="18:59">
      <c r="R186" s="1202"/>
      <c r="S186" s="1202"/>
      <c r="W186" s="1202"/>
      <c r="X186" s="1202"/>
      <c r="AE186" s="1202"/>
      <c r="AF186" s="1202"/>
      <c r="AV186" s="1202"/>
      <c r="AW186" s="1202"/>
      <c r="AX186" s="1202"/>
      <c r="AY186" s="1202"/>
      <c r="AZ186" s="1202"/>
      <c r="BA186" s="1202"/>
      <c r="BC186" s="1202"/>
      <c r="BE186" s="1202"/>
      <c r="BF186" s="1202"/>
      <c r="BG186" s="1202"/>
    </row>
    <row r="187" spans="18:59">
      <c r="R187" s="1202"/>
      <c r="S187" s="1202"/>
      <c r="W187" s="1202"/>
      <c r="X187" s="1202"/>
      <c r="AE187" s="1202"/>
      <c r="AF187" s="1202"/>
      <c r="AV187" s="1202"/>
      <c r="AW187" s="1202"/>
      <c r="AX187" s="1202"/>
      <c r="AY187" s="1202"/>
      <c r="AZ187" s="1202"/>
      <c r="BA187" s="1202"/>
      <c r="BC187" s="1202"/>
      <c r="BE187" s="1202"/>
      <c r="BF187" s="1202"/>
      <c r="BG187" s="1202"/>
    </row>
    <row r="188" spans="18:59">
      <c r="R188" s="1202"/>
      <c r="S188" s="1202"/>
      <c r="W188" s="1202"/>
      <c r="X188" s="1202"/>
      <c r="AE188" s="1202"/>
      <c r="AF188" s="1202"/>
      <c r="AV188" s="1202"/>
      <c r="AW188" s="1202"/>
      <c r="AX188" s="1202"/>
      <c r="AY188" s="1202"/>
      <c r="AZ188" s="1202"/>
      <c r="BA188" s="1202"/>
      <c r="BC188" s="1202"/>
      <c r="BE188" s="1202"/>
      <c r="BF188" s="1202"/>
      <c r="BG188" s="1202"/>
    </row>
    <row r="189" spans="18:59">
      <c r="R189" s="1202"/>
      <c r="S189" s="1202"/>
      <c r="W189" s="1202"/>
      <c r="X189" s="1202"/>
      <c r="AE189" s="1202"/>
      <c r="AF189" s="1202"/>
      <c r="AV189" s="1202"/>
      <c r="AW189" s="1202"/>
      <c r="AX189" s="1202"/>
      <c r="AY189" s="1202"/>
      <c r="AZ189" s="1202"/>
      <c r="BA189" s="1202"/>
      <c r="BC189" s="1202"/>
      <c r="BE189" s="1202"/>
      <c r="BF189" s="1202"/>
      <c r="BG189" s="1202"/>
    </row>
    <row r="190" spans="18:59">
      <c r="R190" s="1202"/>
      <c r="S190" s="1202"/>
      <c r="W190" s="1202"/>
      <c r="X190" s="1202"/>
      <c r="AE190" s="1202"/>
      <c r="AF190" s="1202"/>
      <c r="AV190" s="1202"/>
      <c r="AW190" s="1202"/>
      <c r="AX190" s="1202"/>
      <c r="AY190" s="1202"/>
      <c r="AZ190" s="1202"/>
      <c r="BA190" s="1202"/>
      <c r="BC190" s="1202"/>
      <c r="BE190" s="1202"/>
      <c r="BF190" s="1202"/>
      <c r="BG190" s="1202"/>
    </row>
    <row r="191" spans="18:59">
      <c r="R191" s="1202"/>
      <c r="S191" s="1202"/>
      <c r="W191" s="1202"/>
      <c r="X191" s="1202"/>
      <c r="AE191" s="1202"/>
      <c r="AF191" s="1202"/>
      <c r="AV191" s="1202"/>
      <c r="AW191" s="1202"/>
      <c r="AX191" s="1202"/>
      <c r="AY191" s="1202"/>
      <c r="AZ191" s="1202"/>
      <c r="BA191" s="1202"/>
      <c r="BC191" s="1202"/>
      <c r="BE191" s="1202"/>
      <c r="BF191" s="1202"/>
      <c r="BG191" s="1202"/>
    </row>
    <row r="192" spans="18:59">
      <c r="R192" s="1202"/>
      <c r="S192" s="1202"/>
      <c r="W192" s="1202"/>
      <c r="X192" s="1202"/>
      <c r="AE192" s="1202"/>
      <c r="AF192" s="1202"/>
      <c r="AV192" s="1202"/>
      <c r="AW192" s="1202"/>
      <c r="AX192" s="1202"/>
      <c r="AY192" s="1202"/>
      <c r="AZ192" s="1202"/>
      <c r="BA192" s="1202"/>
      <c r="BC192" s="1202"/>
      <c r="BE192" s="1202"/>
      <c r="BF192" s="1202"/>
      <c r="BG192" s="1202"/>
    </row>
    <row r="193" spans="18:59">
      <c r="R193" s="1202"/>
      <c r="S193" s="1202"/>
      <c r="W193" s="1202"/>
      <c r="X193" s="1202"/>
      <c r="AE193" s="1202"/>
      <c r="AF193" s="1202"/>
      <c r="AV193" s="1202"/>
      <c r="AW193" s="1202"/>
      <c r="AX193" s="1202"/>
      <c r="AY193" s="1202"/>
      <c r="AZ193" s="1202"/>
      <c r="BA193" s="1202"/>
      <c r="BC193" s="1202"/>
      <c r="BE193" s="1202"/>
      <c r="BF193" s="1202"/>
      <c r="BG193" s="1202"/>
    </row>
    <row r="194" spans="18:59">
      <c r="R194" s="1202"/>
      <c r="S194" s="1202"/>
      <c r="W194" s="1202"/>
      <c r="X194" s="1202"/>
      <c r="AE194" s="1202"/>
      <c r="AF194" s="1202"/>
      <c r="AV194" s="1202"/>
      <c r="AW194" s="1202"/>
      <c r="AX194" s="1202"/>
      <c r="AY194" s="1202"/>
      <c r="AZ194" s="1202"/>
      <c r="BA194" s="1202"/>
      <c r="BC194" s="1202"/>
      <c r="BE194" s="1202"/>
      <c r="BF194" s="1202"/>
      <c r="BG194" s="1202"/>
    </row>
    <row r="195" spans="18:59">
      <c r="R195" s="1202"/>
      <c r="S195" s="1202"/>
      <c r="W195" s="1202"/>
      <c r="X195" s="1202"/>
      <c r="AE195" s="1202"/>
      <c r="AF195" s="1202"/>
      <c r="AV195" s="1202"/>
      <c r="AW195" s="1202"/>
      <c r="AX195" s="1202"/>
      <c r="AY195" s="1202"/>
      <c r="AZ195" s="1202"/>
      <c r="BA195" s="1202"/>
      <c r="BC195" s="1202"/>
      <c r="BE195" s="1202"/>
      <c r="BF195" s="1202"/>
      <c r="BG195" s="1202"/>
    </row>
    <row r="196" spans="18:59">
      <c r="R196" s="1202"/>
      <c r="S196" s="1202"/>
      <c r="W196" s="1202"/>
      <c r="X196" s="1202"/>
      <c r="AE196" s="1202"/>
      <c r="AF196" s="1202"/>
      <c r="AV196" s="1202"/>
      <c r="AW196" s="1202"/>
      <c r="AX196" s="1202"/>
      <c r="AY196" s="1202"/>
      <c r="AZ196" s="1202"/>
      <c r="BA196" s="1202"/>
      <c r="BC196" s="1202"/>
      <c r="BE196" s="1202"/>
      <c r="BF196" s="1202"/>
      <c r="BG196" s="1202"/>
    </row>
    <row r="197" spans="18:59">
      <c r="R197" s="1202"/>
      <c r="S197" s="1202"/>
      <c r="W197" s="1202"/>
      <c r="X197" s="1202"/>
      <c r="AE197" s="1202"/>
      <c r="AF197" s="1202"/>
      <c r="AV197" s="1202"/>
      <c r="AW197" s="1202"/>
      <c r="AX197" s="1202"/>
      <c r="AY197" s="1202"/>
      <c r="AZ197" s="1202"/>
      <c r="BA197" s="1202"/>
      <c r="BC197" s="1202"/>
      <c r="BE197" s="1202"/>
      <c r="BF197" s="1202"/>
      <c r="BG197" s="1202"/>
    </row>
    <row r="198" spans="18:59">
      <c r="R198" s="1202"/>
      <c r="S198" s="1202"/>
      <c r="W198" s="1202"/>
      <c r="X198" s="1202"/>
      <c r="AE198" s="1202"/>
      <c r="AF198" s="1202"/>
      <c r="AV198" s="1202"/>
      <c r="AW198" s="1202"/>
      <c r="AX198" s="1202"/>
      <c r="AY198" s="1202"/>
      <c r="AZ198" s="1202"/>
      <c r="BA198" s="1202"/>
      <c r="BC198" s="1202"/>
      <c r="BE198" s="1202"/>
      <c r="BF198" s="1202"/>
      <c r="BG198" s="1202"/>
    </row>
    <row r="199" spans="18:59">
      <c r="R199" s="1202"/>
      <c r="S199" s="1202"/>
      <c r="W199" s="1202"/>
      <c r="X199" s="1202"/>
      <c r="AE199" s="1202"/>
      <c r="AF199" s="1202"/>
      <c r="AV199" s="1202"/>
      <c r="AW199" s="1202"/>
      <c r="AX199" s="1202"/>
      <c r="AY199" s="1202"/>
      <c r="AZ199" s="1202"/>
      <c r="BA199" s="1202"/>
      <c r="BC199" s="1202"/>
      <c r="BE199" s="1202"/>
      <c r="BF199" s="1202"/>
      <c r="BG199" s="1202"/>
    </row>
    <row r="200" spans="18:59">
      <c r="R200" s="1202"/>
      <c r="S200" s="1202"/>
      <c r="W200" s="1202"/>
      <c r="X200" s="1202"/>
      <c r="AE200" s="1202"/>
      <c r="AF200" s="1202"/>
      <c r="AV200" s="1202"/>
      <c r="AW200" s="1202"/>
      <c r="AX200" s="1202"/>
      <c r="AY200" s="1202"/>
      <c r="AZ200" s="1202"/>
      <c r="BA200" s="1202"/>
      <c r="BC200" s="1202"/>
      <c r="BE200" s="1202"/>
      <c r="BF200" s="1202"/>
      <c r="BG200" s="1202"/>
    </row>
    <row r="201" spans="18:59">
      <c r="R201" s="1202"/>
      <c r="S201" s="1202"/>
      <c r="W201" s="1202"/>
      <c r="X201" s="1202"/>
      <c r="AE201" s="1202"/>
      <c r="AF201" s="1202"/>
      <c r="AV201" s="1202"/>
      <c r="AW201" s="1202"/>
      <c r="AX201" s="1202"/>
      <c r="AY201" s="1202"/>
      <c r="AZ201" s="1202"/>
      <c r="BA201" s="1202"/>
      <c r="BC201" s="1202"/>
      <c r="BE201" s="1202"/>
      <c r="BF201" s="1202"/>
      <c r="BG201" s="1202"/>
    </row>
    <row r="202" spans="18:59">
      <c r="R202" s="1202"/>
      <c r="S202" s="1202"/>
      <c r="W202" s="1202"/>
      <c r="X202" s="1202"/>
      <c r="AE202" s="1202"/>
      <c r="AF202" s="1202"/>
      <c r="AV202" s="1202"/>
      <c r="AW202" s="1202"/>
      <c r="AX202" s="1202"/>
      <c r="AY202" s="1202"/>
      <c r="AZ202" s="1202"/>
      <c r="BA202" s="1202"/>
      <c r="BC202" s="1202"/>
      <c r="BE202" s="1202"/>
      <c r="BF202" s="1202"/>
      <c r="BG202" s="1202"/>
    </row>
    <row r="203" spans="18:59">
      <c r="R203" s="1202"/>
      <c r="S203" s="1202"/>
      <c r="W203" s="1202"/>
      <c r="X203" s="1202"/>
      <c r="AE203" s="1202"/>
      <c r="AF203" s="1202"/>
      <c r="AV203" s="1202"/>
      <c r="AW203" s="1202"/>
      <c r="AX203" s="1202"/>
      <c r="AY203" s="1202"/>
      <c r="AZ203" s="1202"/>
      <c r="BA203" s="1202"/>
      <c r="BC203" s="1202"/>
      <c r="BE203" s="1202"/>
      <c r="BF203" s="1202"/>
      <c r="BG203" s="1202"/>
    </row>
    <row r="204" spans="18:59">
      <c r="R204" s="1202"/>
      <c r="S204" s="1202"/>
      <c r="W204" s="1202"/>
      <c r="X204" s="1202"/>
      <c r="AE204" s="1202"/>
      <c r="AF204" s="1202"/>
      <c r="AV204" s="1202"/>
      <c r="AW204" s="1202"/>
      <c r="AX204" s="1202"/>
      <c r="AY204" s="1202"/>
      <c r="AZ204" s="1202"/>
      <c r="BA204" s="1202"/>
      <c r="BC204" s="1202"/>
      <c r="BE204" s="1202"/>
      <c r="BF204" s="1202"/>
      <c r="BG204" s="1202"/>
    </row>
    <row r="205" spans="18:59">
      <c r="R205" s="1202"/>
      <c r="S205" s="1202"/>
      <c r="W205" s="1202"/>
      <c r="X205" s="1202"/>
      <c r="AE205" s="1202"/>
      <c r="AF205" s="1202"/>
      <c r="AV205" s="1202"/>
      <c r="AW205" s="1202"/>
      <c r="AX205" s="1202"/>
      <c r="AY205" s="1202"/>
      <c r="AZ205" s="1202"/>
      <c r="BA205" s="1202"/>
      <c r="BC205" s="1202"/>
      <c r="BE205" s="1202"/>
      <c r="BF205" s="1202"/>
      <c r="BG205" s="1202"/>
    </row>
    <row r="206" spans="18:59">
      <c r="R206" s="1202"/>
      <c r="S206" s="1202"/>
      <c r="W206" s="1202"/>
      <c r="X206" s="1202"/>
      <c r="AE206" s="1202"/>
      <c r="AF206" s="1202"/>
      <c r="AV206" s="1202"/>
      <c r="AW206" s="1202"/>
      <c r="AX206" s="1202"/>
      <c r="AY206" s="1202"/>
      <c r="AZ206" s="1202"/>
      <c r="BA206" s="1202"/>
      <c r="BC206" s="1202"/>
      <c r="BE206" s="1202"/>
      <c r="BF206" s="1202"/>
      <c r="BG206" s="1202"/>
    </row>
    <row r="207" spans="18:59">
      <c r="R207" s="1202"/>
      <c r="S207" s="1202"/>
      <c r="W207" s="1202"/>
      <c r="X207" s="1202"/>
      <c r="AE207" s="1202"/>
      <c r="AF207" s="1202"/>
      <c r="AV207" s="1202"/>
      <c r="AW207" s="1202"/>
      <c r="AX207" s="1202"/>
      <c r="AY207" s="1202"/>
      <c r="AZ207" s="1202"/>
      <c r="BA207" s="1202"/>
      <c r="BC207" s="1202"/>
      <c r="BE207" s="1202"/>
      <c r="BF207" s="1202"/>
      <c r="BG207" s="1202"/>
    </row>
    <row r="208" spans="18:59">
      <c r="R208" s="1202"/>
      <c r="S208" s="1202"/>
      <c r="W208" s="1202"/>
      <c r="X208" s="1202"/>
      <c r="AE208" s="1202"/>
      <c r="AF208" s="1202"/>
      <c r="AV208" s="1202"/>
      <c r="AW208" s="1202"/>
      <c r="AX208" s="1202"/>
      <c r="AY208" s="1202"/>
      <c r="AZ208" s="1202"/>
      <c r="BA208" s="1202"/>
      <c r="BC208" s="1202"/>
      <c r="BE208" s="1202"/>
      <c r="BF208" s="1202"/>
      <c r="BG208" s="1202"/>
    </row>
    <row r="209" spans="18:59">
      <c r="R209" s="1202"/>
      <c r="S209" s="1202"/>
      <c r="W209" s="1202"/>
      <c r="X209" s="1202"/>
      <c r="AE209" s="1202"/>
      <c r="AF209" s="1202"/>
      <c r="AV209" s="1202"/>
      <c r="AW209" s="1202"/>
      <c r="AX209" s="1202"/>
      <c r="AY209" s="1202"/>
      <c r="AZ209" s="1202"/>
      <c r="BA209" s="1202"/>
      <c r="BC209" s="1202"/>
      <c r="BE209" s="1202"/>
      <c r="BF209" s="1202"/>
      <c r="BG209" s="1202"/>
    </row>
    <row r="210" spans="18:59">
      <c r="R210" s="1202"/>
      <c r="S210" s="1202"/>
      <c r="W210" s="1202"/>
      <c r="X210" s="1202"/>
      <c r="AE210" s="1202"/>
      <c r="AF210" s="1202"/>
      <c r="AV210" s="1202"/>
      <c r="AW210" s="1202"/>
      <c r="AX210" s="1202"/>
      <c r="AY210" s="1202"/>
      <c r="AZ210" s="1202"/>
      <c r="BA210" s="1202"/>
      <c r="BC210" s="1202"/>
      <c r="BE210" s="1202"/>
      <c r="BF210" s="1202"/>
      <c r="BG210" s="1202"/>
    </row>
    <row r="211" spans="18:59">
      <c r="R211" s="1202"/>
      <c r="S211" s="1202"/>
      <c r="W211" s="1202"/>
      <c r="X211" s="1202"/>
      <c r="AE211" s="1202"/>
      <c r="AF211" s="1202"/>
      <c r="AV211" s="1202"/>
      <c r="AW211" s="1202"/>
      <c r="AX211" s="1202"/>
      <c r="AY211" s="1202"/>
      <c r="AZ211" s="1202"/>
      <c r="BA211" s="1202"/>
      <c r="BC211" s="1202"/>
      <c r="BE211" s="1202"/>
      <c r="BF211" s="1202"/>
      <c r="BG211" s="1202"/>
    </row>
    <row r="212" spans="18:59">
      <c r="R212" s="1202"/>
      <c r="S212" s="1202"/>
      <c r="W212" s="1202"/>
      <c r="X212" s="1202"/>
      <c r="AE212" s="1202"/>
      <c r="AF212" s="1202"/>
      <c r="AV212" s="1202"/>
      <c r="AW212" s="1202"/>
      <c r="AX212" s="1202"/>
      <c r="AY212" s="1202"/>
      <c r="AZ212" s="1202"/>
      <c r="BA212" s="1202"/>
      <c r="BC212" s="1202"/>
      <c r="BE212" s="1202"/>
      <c r="BF212" s="1202"/>
      <c r="BG212" s="1202"/>
    </row>
    <row r="213" spans="18:59">
      <c r="R213" s="1202"/>
      <c r="S213" s="1202"/>
      <c r="W213" s="1202"/>
      <c r="X213" s="1202"/>
      <c r="AE213" s="1202"/>
      <c r="AF213" s="1202"/>
      <c r="AV213" s="1202"/>
      <c r="AW213" s="1202"/>
      <c r="AX213" s="1202"/>
      <c r="AY213" s="1202"/>
      <c r="AZ213" s="1202"/>
      <c r="BA213" s="1202"/>
      <c r="BC213" s="1202"/>
      <c r="BE213" s="1202"/>
      <c r="BF213" s="1202"/>
      <c r="BG213" s="1202"/>
    </row>
    <row r="214" spans="18:59">
      <c r="R214" s="1202"/>
      <c r="S214" s="1202"/>
      <c r="W214" s="1202"/>
      <c r="X214" s="1202"/>
      <c r="AE214" s="1202"/>
      <c r="AF214" s="1202"/>
      <c r="AV214" s="1202"/>
      <c r="AW214" s="1202"/>
      <c r="AX214" s="1202"/>
      <c r="AY214" s="1202"/>
      <c r="AZ214" s="1202"/>
      <c r="BA214" s="1202"/>
      <c r="BC214" s="1202"/>
      <c r="BE214" s="1202"/>
      <c r="BF214" s="1202"/>
      <c r="BG214" s="1202"/>
    </row>
    <row r="215" spans="18:59">
      <c r="R215" s="1202"/>
      <c r="S215" s="1202"/>
      <c r="W215" s="1202"/>
      <c r="X215" s="1202"/>
      <c r="AE215" s="1202"/>
      <c r="AF215" s="1202"/>
      <c r="AV215" s="1202"/>
      <c r="AW215" s="1202"/>
      <c r="AX215" s="1202"/>
      <c r="AY215" s="1202"/>
      <c r="AZ215" s="1202"/>
      <c r="BA215" s="1202"/>
      <c r="BC215" s="1202"/>
      <c r="BE215" s="1202"/>
      <c r="BF215" s="1202"/>
      <c r="BG215" s="1202"/>
    </row>
    <row r="216" spans="18:59">
      <c r="R216" s="1202"/>
      <c r="S216" s="1202"/>
      <c r="W216" s="1202"/>
      <c r="X216" s="1202"/>
      <c r="AE216" s="1202"/>
      <c r="AF216" s="1202"/>
      <c r="AV216" s="1202"/>
      <c r="AW216" s="1202"/>
      <c r="AX216" s="1202"/>
      <c r="AY216" s="1202"/>
      <c r="AZ216" s="1202"/>
      <c r="BA216" s="1202"/>
      <c r="BC216" s="1202"/>
      <c r="BE216" s="1202"/>
      <c r="BF216" s="1202"/>
      <c r="BG216" s="1202"/>
    </row>
    <row r="217" spans="18:59">
      <c r="R217" s="1202"/>
      <c r="S217" s="1202"/>
      <c r="W217" s="1202"/>
      <c r="X217" s="1202"/>
      <c r="AE217" s="1202"/>
      <c r="AF217" s="1202"/>
      <c r="AV217" s="1202"/>
      <c r="AW217" s="1202"/>
      <c r="AX217" s="1202"/>
      <c r="AY217" s="1202"/>
      <c r="AZ217" s="1202"/>
      <c r="BA217" s="1202"/>
      <c r="BC217" s="1202"/>
      <c r="BE217" s="1202"/>
      <c r="BF217" s="1202"/>
      <c r="BG217" s="1202"/>
    </row>
    <row r="218" spans="18:59">
      <c r="R218" s="1202"/>
      <c r="S218" s="1202"/>
      <c r="W218" s="1202"/>
      <c r="X218" s="1202"/>
      <c r="AE218" s="1202"/>
      <c r="AF218" s="1202"/>
      <c r="AV218" s="1202"/>
      <c r="AW218" s="1202"/>
      <c r="AX218" s="1202"/>
      <c r="AY218" s="1202"/>
      <c r="AZ218" s="1202"/>
      <c r="BA218" s="1202"/>
      <c r="BC218" s="1202"/>
      <c r="BE218" s="1202"/>
      <c r="BF218" s="1202"/>
      <c r="BG218" s="1202"/>
    </row>
    <row r="219" spans="18:59">
      <c r="R219" s="1202"/>
      <c r="S219" s="1202"/>
      <c r="W219" s="1202"/>
      <c r="X219" s="1202"/>
      <c r="AE219" s="1202"/>
      <c r="AF219" s="1202"/>
      <c r="AV219" s="1202"/>
      <c r="AW219" s="1202"/>
      <c r="AX219" s="1202"/>
      <c r="AY219" s="1202"/>
      <c r="AZ219" s="1202"/>
      <c r="BA219" s="1202"/>
      <c r="BC219" s="1202"/>
      <c r="BE219" s="1202"/>
      <c r="BF219" s="1202"/>
      <c r="BG219" s="1202"/>
    </row>
    <row r="220" spans="18:59">
      <c r="R220" s="1202"/>
      <c r="S220" s="1202"/>
      <c r="W220" s="1202"/>
      <c r="X220" s="1202"/>
      <c r="AE220" s="1202"/>
      <c r="AF220" s="1202"/>
      <c r="AV220" s="1202"/>
      <c r="AW220" s="1202"/>
      <c r="AX220" s="1202"/>
      <c r="AY220" s="1202"/>
      <c r="AZ220" s="1202"/>
      <c r="BA220" s="1202"/>
      <c r="BC220" s="1202"/>
      <c r="BE220" s="1202"/>
      <c r="BF220" s="1202"/>
      <c r="BG220" s="1202"/>
    </row>
    <row r="221" spans="18:59">
      <c r="R221" s="1202"/>
      <c r="S221" s="1202"/>
      <c r="W221" s="1202"/>
      <c r="X221" s="1202"/>
      <c r="AE221" s="1202"/>
      <c r="AF221" s="1202"/>
      <c r="AV221" s="1202"/>
      <c r="AW221" s="1202"/>
      <c r="AX221" s="1202"/>
      <c r="AY221" s="1202"/>
      <c r="AZ221" s="1202"/>
      <c r="BA221" s="1202"/>
      <c r="BC221" s="1202"/>
      <c r="BE221" s="1202"/>
      <c r="BF221" s="1202"/>
      <c r="BG221" s="1202"/>
    </row>
    <row r="222" spans="18:59">
      <c r="R222" s="1202"/>
      <c r="S222" s="1202"/>
      <c r="W222" s="1202"/>
      <c r="X222" s="1202"/>
      <c r="AE222" s="1202"/>
      <c r="AF222" s="1202"/>
      <c r="AV222" s="1202"/>
      <c r="AW222" s="1202"/>
      <c r="AX222" s="1202"/>
      <c r="AY222" s="1202"/>
      <c r="AZ222" s="1202"/>
      <c r="BA222" s="1202"/>
      <c r="BC222" s="1202"/>
      <c r="BE222" s="1202"/>
      <c r="BF222" s="1202"/>
      <c r="BG222" s="1202"/>
    </row>
    <row r="223" spans="18:59">
      <c r="R223" s="1202"/>
      <c r="S223" s="1202"/>
      <c r="W223" s="1202"/>
      <c r="X223" s="1202"/>
      <c r="AE223" s="1202"/>
      <c r="AF223" s="1202"/>
      <c r="AV223" s="1202"/>
      <c r="AW223" s="1202"/>
      <c r="AX223" s="1202"/>
      <c r="AY223" s="1202"/>
      <c r="AZ223" s="1202"/>
      <c r="BA223" s="1202"/>
      <c r="BC223" s="1202"/>
      <c r="BE223" s="1202"/>
      <c r="BF223" s="1202"/>
      <c r="BG223" s="1202"/>
    </row>
    <row r="224" spans="18:59">
      <c r="R224" s="1202"/>
      <c r="S224" s="1202"/>
      <c r="W224" s="1202"/>
      <c r="X224" s="1202"/>
      <c r="AE224" s="1202"/>
      <c r="AF224" s="1202"/>
      <c r="AV224" s="1202"/>
      <c r="AW224" s="1202"/>
      <c r="AX224" s="1202"/>
      <c r="AY224" s="1202"/>
      <c r="AZ224" s="1202"/>
      <c r="BA224" s="1202"/>
      <c r="BC224" s="1202"/>
      <c r="BE224" s="1202"/>
      <c r="BF224" s="1202"/>
      <c r="BG224" s="1202"/>
    </row>
    <row r="225" spans="18:59">
      <c r="R225" s="1202"/>
      <c r="S225" s="1202"/>
      <c r="W225" s="1202"/>
      <c r="X225" s="1202"/>
      <c r="AE225" s="1202"/>
      <c r="AF225" s="1202"/>
      <c r="AV225" s="1202"/>
      <c r="AW225" s="1202"/>
      <c r="AX225" s="1202"/>
      <c r="AY225" s="1202"/>
      <c r="AZ225" s="1202"/>
      <c r="BA225" s="1202"/>
      <c r="BC225" s="1202"/>
      <c r="BE225" s="1202"/>
      <c r="BF225" s="1202"/>
      <c r="BG225" s="1202"/>
    </row>
    <row r="226" spans="18:59">
      <c r="R226" s="1202"/>
      <c r="S226" s="1202"/>
      <c r="W226" s="1202"/>
      <c r="X226" s="1202"/>
      <c r="AE226" s="1202"/>
      <c r="AF226" s="1202"/>
      <c r="AV226" s="1202"/>
      <c r="AW226" s="1202"/>
      <c r="AX226" s="1202"/>
      <c r="AY226" s="1202"/>
      <c r="AZ226" s="1202"/>
      <c r="BA226" s="1202"/>
      <c r="BC226" s="1202"/>
      <c r="BE226" s="1202"/>
      <c r="BF226" s="1202"/>
      <c r="BG226" s="1202"/>
    </row>
    <row r="227" spans="18:59">
      <c r="R227" s="1202"/>
      <c r="S227" s="1202"/>
      <c r="W227" s="1202"/>
      <c r="X227" s="1202"/>
      <c r="AE227" s="1202"/>
      <c r="AF227" s="1202"/>
      <c r="AV227" s="1202"/>
      <c r="AW227" s="1202"/>
      <c r="AX227" s="1202"/>
      <c r="AY227" s="1202"/>
      <c r="AZ227" s="1202"/>
      <c r="BA227" s="1202"/>
      <c r="BC227" s="1202"/>
      <c r="BE227" s="1202"/>
      <c r="BF227" s="1202"/>
      <c r="BG227" s="1202"/>
    </row>
    <row r="228" spans="18:59">
      <c r="R228" s="1202"/>
      <c r="S228" s="1202"/>
      <c r="W228" s="1202"/>
      <c r="X228" s="1202"/>
      <c r="AE228" s="1202"/>
      <c r="AF228" s="1202"/>
      <c r="AV228" s="1202"/>
      <c r="AW228" s="1202"/>
      <c r="AX228" s="1202"/>
      <c r="AY228" s="1202"/>
      <c r="AZ228" s="1202"/>
      <c r="BA228" s="1202"/>
      <c r="BC228" s="1202"/>
      <c r="BE228" s="1202"/>
      <c r="BF228" s="1202"/>
      <c r="BG228" s="1202"/>
    </row>
    <row r="229" spans="18:59">
      <c r="R229" s="1202"/>
      <c r="S229" s="1202"/>
      <c r="W229" s="1202"/>
      <c r="X229" s="1202"/>
      <c r="AE229" s="1202"/>
      <c r="AF229" s="1202"/>
      <c r="AV229" s="1202"/>
      <c r="AW229" s="1202"/>
      <c r="AX229" s="1202"/>
      <c r="AY229" s="1202"/>
      <c r="AZ229" s="1202"/>
      <c r="BA229" s="1202"/>
      <c r="BC229" s="1202"/>
      <c r="BE229" s="1202"/>
      <c r="BF229" s="1202"/>
      <c r="BG229" s="1202"/>
    </row>
    <row r="230" spans="18:59">
      <c r="R230" s="1202"/>
      <c r="S230" s="1202"/>
      <c r="W230" s="1202"/>
      <c r="X230" s="1202"/>
      <c r="AE230" s="1202"/>
      <c r="AF230" s="1202"/>
      <c r="AV230" s="1202"/>
      <c r="AW230" s="1202"/>
      <c r="AX230" s="1202"/>
      <c r="AY230" s="1202"/>
      <c r="AZ230" s="1202"/>
      <c r="BA230" s="1202"/>
      <c r="BC230" s="1202"/>
      <c r="BE230" s="1202"/>
      <c r="BF230" s="1202"/>
      <c r="BG230" s="1202"/>
    </row>
    <row r="231" spans="18:59">
      <c r="R231" s="1202"/>
      <c r="S231" s="1202"/>
      <c r="W231" s="1202"/>
      <c r="X231" s="1202"/>
      <c r="AE231" s="1202"/>
      <c r="AF231" s="1202"/>
      <c r="AV231" s="1202"/>
      <c r="AW231" s="1202"/>
      <c r="AX231" s="1202"/>
      <c r="AY231" s="1202"/>
      <c r="AZ231" s="1202"/>
      <c r="BA231" s="1202"/>
      <c r="BC231" s="1202"/>
      <c r="BE231" s="1202"/>
      <c r="BF231" s="1202"/>
      <c r="BG231" s="1202"/>
    </row>
    <row r="232" spans="18:59">
      <c r="R232" s="1202"/>
      <c r="S232" s="1202"/>
      <c r="W232" s="1202"/>
      <c r="X232" s="1202"/>
      <c r="AE232" s="1202"/>
      <c r="AF232" s="1202"/>
      <c r="AV232" s="1202"/>
      <c r="AW232" s="1202"/>
      <c r="AX232" s="1202"/>
      <c r="AY232" s="1202"/>
      <c r="AZ232" s="1202"/>
      <c r="BA232" s="1202"/>
      <c r="BC232" s="1202"/>
      <c r="BE232" s="1202"/>
      <c r="BF232" s="1202"/>
      <c r="BG232" s="1202"/>
    </row>
    <row r="233" spans="18:59">
      <c r="R233" s="1202"/>
      <c r="S233" s="1202"/>
      <c r="W233" s="1202"/>
      <c r="X233" s="1202"/>
      <c r="AE233" s="1202"/>
      <c r="AF233" s="1202"/>
      <c r="AV233" s="1202"/>
      <c r="AW233" s="1202"/>
      <c r="AX233" s="1202"/>
      <c r="AY233" s="1202"/>
      <c r="AZ233" s="1202"/>
      <c r="BA233" s="1202"/>
      <c r="BC233" s="1202"/>
      <c r="BE233" s="1202"/>
      <c r="BF233" s="1202"/>
      <c r="BG233" s="1202"/>
    </row>
    <row r="234" spans="18:59">
      <c r="R234" s="1202"/>
      <c r="S234" s="1202"/>
      <c r="W234" s="1202"/>
      <c r="X234" s="1202"/>
      <c r="AE234" s="1202"/>
      <c r="AF234" s="1202"/>
      <c r="AV234" s="1202"/>
      <c r="AW234" s="1202"/>
      <c r="AX234" s="1202"/>
      <c r="AY234" s="1202"/>
      <c r="AZ234" s="1202"/>
      <c r="BA234" s="1202"/>
      <c r="BC234" s="1202"/>
      <c r="BE234" s="1202"/>
      <c r="BF234" s="1202"/>
      <c r="BG234" s="1202"/>
    </row>
    <row r="235" spans="18:59">
      <c r="R235" s="1202"/>
      <c r="S235" s="1202"/>
      <c r="W235" s="1202"/>
      <c r="X235" s="1202"/>
      <c r="AE235" s="1202"/>
      <c r="AF235" s="1202"/>
      <c r="AV235" s="1202"/>
      <c r="AW235" s="1202"/>
      <c r="AX235" s="1202"/>
      <c r="AY235" s="1202"/>
      <c r="AZ235" s="1202"/>
      <c r="BA235" s="1202"/>
      <c r="BC235" s="1202"/>
      <c r="BE235" s="1202"/>
      <c r="BF235" s="1202"/>
      <c r="BG235" s="1202"/>
    </row>
    <row r="236" spans="18:59">
      <c r="R236" s="1202"/>
      <c r="S236" s="1202"/>
      <c r="W236" s="1202"/>
      <c r="X236" s="1202"/>
      <c r="AE236" s="1202"/>
      <c r="AF236" s="1202"/>
      <c r="AV236" s="1202"/>
      <c r="AW236" s="1202"/>
      <c r="AX236" s="1202"/>
      <c r="AY236" s="1202"/>
      <c r="AZ236" s="1202"/>
      <c r="BA236" s="1202"/>
      <c r="BC236" s="1202"/>
      <c r="BE236" s="1202"/>
      <c r="BF236" s="1202"/>
      <c r="BG236" s="1202"/>
    </row>
    <row r="237" spans="18:59">
      <c r="R237" s="1202"/>
      <c r="S237" s="1202"/>
      <c r="W237" s="1202"/>
      <c r="X237" s="1202"/>
      <c r="AE237" s="1202"/>
      <c r="AF237" s="1202"/>
      <c r="AV237" s="1202"/>
      <c r="AW237" s="1202"/>
      <c r="AX237" s="1202"/>
      <c r="AY237" s="1202"/>
      <c r="AZ237" s="1202"/>
      <c r="BA237" s="1202"/>
      <c r="BC237" s="1202"/>
      <c r="BE237" s="1202"/>
      <c r="BF237" s="1202"/>
      <c r="BG237" s="1202"/>
    </row>
    <row r="238" spans="18:59">
      <c r="R238" s="1202"/>
      <c r="S238" s="1202"/>
      <c r="W238" s="1202"/>
      <c r="X238" s="1202"/>
      <c r="AE238" s="1202"/>
      <c r="AF238" s="1202"/>
      <c r="AV238" s="1202"/>
      <c r="AW238" s="1202"/>
      <c r="AX238" s="1202"/>
      <c r="AY238" s="1202"/>
      <c r="AZ238" s="1202"/>
      <c r="BA238" s="1202"/>
      <c r="BC238" s="1202"/>
      <c r="BE238" s="1202"/>
      <c r="BF238" s="1202"/>
      <c r="BG238" s="1202"/>
    </row>
    <row r="239" spans="18:59">
      <c r="R239" s="1202"/>
      <c r="S239" s="1202"/>
      <c r="W239" s="1202"/>
      <c r="X239" s="1202"/>
      <c r="AE239" s="1202"/>
      <c r="AF239" s="1202"/>
      <c r="AV239" s="1202"/>
      <c r="AW239" s="1202"/>
      <c r="AX239" s="1202"/>
      <c r="AY239" s="1202"/>
      <c r="AZ239" s="1202"/>
      <c r="BA239" s="1202"/>
      <c r="BC239" s="1202"/>
      <c r="BE239" s="1202"/>
      <c r="BF239" s="1202"/>
      <c r="BG239" s="1202"/>
    </row>
    <row r="240" spans="18:59">
      <c r="R240" s="1202"/>
      <c r="S240" s="1202"/>
      <c r="W240" s="1202"/>
      <c r="X240" s="1202"/>
      <c r="AE240" s="1202"/>
      <c r="AF240" s="1202"/>
      <c r="AV240" s="1202"/>
      <c r="AW240" s="1202"/>
      <c r="AX240" s="1202"/>
      <c r="AY240" s="1202"/>
      <c r="AZ240" s="1202"/>
      <c r="BA240" s="1202"/>
      <c r="BC240" s="1202"/>
      <c r="BE240" s="1202"/>
      <c r="BF240" s="1202"/>
      <c r="BG240" s="1202"/>
    </row>
    <row r="241" spans="18:59">
      <c r="R241" s="1202"/>
      <c r="S241" s="1202"/>
      <c r="W241" s="1202"/>
      <c r="X241" s="1202"/>
      <c r="AE241" s="1202"/>
      <c r="AF241" s="1202"/>
      <c r="AV241" s="1202"/>
      <c r="AW241" s="1202"/>
      <c r="AX241" s="1202"/>
      <c r="AY241" s="1202"/>
      <c r="AZ241" s="1202"/>
      <c r="BA241" s="1202"/>
      <c r="BC241" s="1202"/>
      <c r="BE241" s="1202"/>
      <c r="BF241" s="1202"/>
      <c r="BG241" s="1202"/>
    </row>
    <row r="242" spans="18:59">
      <c r="R242" s="1202"/>
      <c r="S242" s="1202"/>
      <c r="W242" s="1202"/>
      <c r="X242" s="1202"/>
      <c r="AE242" s="1202"/>
      <c r="AF242" s="1202"/>
      <c r="AV242" s="1202"/>
      <c r="AW242" s="1202"/>
      <c r="AX242" s="1202"/>
      <c r="AY242" s="1202"/>
      <c r="AZ242" s="1202"/>
      <c r="BA242" s="1202"/>
      <c r="BC242" s="1202"/>
      <c r="BE242" s="1202"/>
      <c r="BF242" s="1202"/>
      <c r="BG242" s="1202"/>
    </row>
    <row r="243" spans="18:59">
      <c r="R243" s="1202"/>
      <c r="S243" s="1202"/>
      <c r="W243" s="1202"/>
      <c r="X243" s="1202"/>
      <c r="AE243" s="1202"/>
      <c r="AF243" s="1202"/>
      <c r="AV243" s="1202"/>
      <c r="AW243" s="1202"/>
      <c r="AX243" s="1202"/>
      <c r="AY243" s="1202"/>
      <c r="AZ243" s="1202"/>
      <c r="BA243" s="1202"/>
      <c r="BC243" s="1202"/>
      <c r="BE243" s="1202"/>
      <c r="BF243" s="1202"/>
      <c r="BG243" s="1202"/>
    </row>
    <row r="244" spans="18:59">
      <c r="R244" s="1202"/>
      <c r="S244" s="1202"/>
      <c r="W244" s="1202"/>
      <c r="X244" s="1202"/>
      <c r="AE244" s="1202"/>
      <c r="AF244" s="1202"/>
      <c r="AV244" s="1202"/>
      <c r="AW244" s="1202"/>
      <c r="AX244" s="1202"/>
      <c r="AY244" s="1202"/>
      <c r="AZ244" s="1202"/>
      <c r="BA244" s="1202"/>
      <c r="BC244" s="1202"/>
      <c r="BE244" s="1202"/>
      <c r="BF244" s="1202"/>
      <c r="BG244" s="1202"/>
    </row>
    <row r="245" spans="18:59">
      <c r="R245" s="1202"/>
      <c r="S245" s="1202"/>
      <c r="W245" s="1202"/>
      <c r="X245" s="1202"/>
      <c r="AE245" s="1202"/>
      <c r="AF245" s="1202"/>
      <c r="AV245" s="1202"/>
      <c r="AW245" s="1202"/>
      <c r="AX245" s="1202"/>
      <c r="AY245" s="1202"/>
      <c r="AZ245" s="1202"/>
      <c r="BA245" s="1202"/>
      <c r="BC245" s="1202"/>
      <c r="BE245" s="1202"/>
      <c r="BF245" s="1202"/>
      <c r="BG245" s="1202"/>
    </row>
    <row r="246" spans="18:59">
      <c r="R246" s="1202"/>
      <c r="S246" s="1202"/>
      <c r="W246" s="1202"/>
      <c r="X246" s="1202"/>
      <c r="AE246" s="1202"/>
      <c r="AF246" s="1202"/>
      <c r="AV246" s="1202"/>
      <c r="AW246" s="1202"/>
      <c r="AX246" s="1202"/>
      <c r="AY246" s="1202"/>
      <c r="AZ246" s="1202"/>
      <c r="BA246" s="1202"/>
      <c r="BC246" s="1202"/>
      <c r="BE246" s="1202"/>
      <c r="BF246" s="1202"/>
      <c r="BG246" s="1202"/>
    </row>
    <row r="247" spans="18:59">
      <c r="R247" s="1202"/>
      <c r="S247" s="1202"/>
      <c r="W247" s="1202"/>
      <c r="X247" s="1202"/>
      <c r="AE247" s="1202"/>
      <c r="AF247" s="1202"/>
      <c r="AV247" s="1202"/>
      <c r="AW247" s="1202"/>
      <c r="AX247" s="1202"/>
      <c r="AY247" s="1202"/>
      <c r="AZ247" s="1202"/>
      <c r="BA247" s="1202"/>
      <c r="BC247" s="1202"/>
      <c r="BE247" s="1202"/>
      <c r="BF247" s="1202"/>
      <c r="BG247" s="1202"/>
    </row>
    <row r="248" spans="18:59">
      <c r="R248" s="1202"/>
      <c r="S248" s="1202"/>
      <c r="W248" s="1202"/>
      <c r="X248" s="1202"/>
      <c r="AE248" s="1202"/>
      <c r="AF248" s="1202"/>
      <c r="AV248" s="1202"/>
      <c r="AW248" s="1202"/>
      <c r="AX248" s="1202"/>
      <c r="AY248" s="1202"/>
      <c r="AZ248" s="1202"/>
      <c r="BA248" s="1202"/>
      <c r="BC248" s="1202"/>
      <c r="BE248" s="1202"/>
      <c r="BF248" s="1202"/>
      <c r="BG248" s="1202"/>
    </row>
    <row r="249" spans="18:59">
      <c r="R249" s="1202"/>
      <c r="S249" s="1202"/>
      <c r="W249" s="1202"/>
      <c r="X249" s="1202"/>
      <c r="AE249" s="1202"/>
      <c r="AF249" s="1202"/>
      <c r="AV249" s="1202"/>
      <c r="AW249" s="1202"/>
      <c r="AX249" s="1202"/>
      <c r="AY249" s="1202"/>
      <c r="AZ249" s="1202"/>
      <c r="BA249" s="1202"/>
      <c r="BC249" s="1202"/>
      <c r="BE249" s="1202"/>
      <c r="BF249" s="1202"/>
      <c r="BG249" s="1202"/>
    </row>
    <row r="250" spans="18:59">
      <c r="R250" s="1202"/>
      <c r="S250" s="1202"/>
      <c r="W250" s="1202"/>
      <c r="X250" s="1202"/>
      <c r="AE250" s="1202"/>
      <c r="AF250" s="1202"/>
      <c r="AV250" s="1202"/>
      <c r="AW250" s="1202"/>
      <c r="AX250" s="1202"/>
      <c r="AY250" s="1202"/>
      <c r="AZ250" s="1202"/>
      <c r="BA250" s="1202"/>
      <c r="BC250" s="1202"/>
      <c r="BE250" s="1202"/>
      <c r="BF250" s="1202"/>
      <c r="BG250" s="1202"/>
    </row>
    <row r="251" spans="18:59">
      <c r="R251" s="1202"/>
      <c r="S251" s="1202"/>
      <c r="W251" s="1202"/>
      <c r="X251" s="1202"/>
      <c r="AE251" s="1202"/>
      <c r="AF251" s="1202"/>
      <c r="AV251" s="1202"/>
      <c r="AW251" s="1202"/>
      <c r="AX251" s="1202"/>
      <c r="AY251" s="1202"/>
      <c r="AZ251" s="1202"/>
      <c r="BA251" s="1202"/>
      <c r="BC251" s="1202"/>
      <c r="BE251" s="1202"/>
      <c r="BF251" s="1202"/>
      <c r="BG251" s="1202"/>
    </row>
    <row r="252" spans="18:59">
      <c r="R252" s="1202"/>
      <c r="S252" s="1202"/>
      <c r="W252" s="1202"/>
      <c r="X252" s="1202"/>
      <c r="AE252" s="1202"/>
      <c r="AF252" s="1202"/>
      <c r="AV252" s="1202"/>
      <c r="AW252" s="1202"/>
      <c r="AX252" s="1202"/>
      <c r="AY252" s="1202"/>
      <c r="AZ252" s="1202"/>
      <c r="BA252" s="1202"/>
      <c r="BC252" s="1202"/>
      <c r="BE252" s="1202"/>
      <c r="BF252" s="1202"/>
      <c r="BG252" s="1202"/>
    </row>
    <row r="253" spans="18:59">
      <c r="R253" s="1202"/>
      <c r="S253" s="1202"/>
      <c r="W253" s="1202"/>
      <c r="X253" s="1202"/>
      <c r="AE253" s="1202"/>
      <c r="AF253" s="1202"/>
      <c r="AV253" s="1202"/>
      <c r="AW253" s="1202"/>
      <c r="AX253" s="1202"/>
      <c r="AY253" s="1202"/>
      <c r="AZ253" s="1202"/>
      <c r="BA253" s="1202"/>
      <c r="BC253" s="1202"/>
      <c r="BE253" s="1202"/>
      <c r="BF253" s="1202"/>
      <c r="BG253" s="1202"/>
    </row>
    <row r="254" spans="18:59">
      <c r="R254" s="1202"/>
      <c r="S254" s="1202"/>
      <c r="W254" s="1202"/>
      <c r="X254" s="1202"/>
      <c r="AE254" s="1202"/>
      <c r="AF254" s="1202"/>
      <c r="AV254" s="1202"/>
      <c r="AW254" s="1202"/>
      <c r="AX254" s="1202"/>
      <c r="AY254" s="1202"/>
      <c r="AZ254" s="1202"/>
      <c r="BA254" s="1202"/>
      <c r="BC254" s="1202"/>
      <c r="BE254" s="1202"/>
      <c r="BF254" s="1202"/>
      <c r="BG254" s="1202"/>
    </row>
    <row r="255" spans="18:59">
      <c r="R255" s="1202"/>
      <c r="S255" s="1202"/>
      <c r="W255" s="1202"/>
      <c r="X255" s="1202"/>
      <c r="AE255" s="1202"/>
      <c r="AF255" s="1202"/>
      <c r="AV255" s="1202"/>
      <c r="AW255" s="1202"/>
      <c r="AX255" s="1202"/>
      <c r="AY255" s="1202"/>
      <c r="AZ255" s="1202"/>
      <c r="BA255" s="1202"/>
      <c r="BC255" s="1202"/>
      <c r="BE255" s="1202"/>
      <c r="BF255" s="1202"/>
      <c r="BG255" s="1202"/>
    </row>
    <row r="256" spans="18:59">
      <c r="R256" s="1202"/>
      <c r="S256" s="1202"/>
      <c r="W256" s="1202"/>
      <c r="X256" s="1202"/>
      <c r="AE256" s="1202"/>
      <c r="AF256" s="1202"/>
      <c r="AV256" s="1202"/>
      <c r="AW256" s="1202"/>
      <c r="AX256" s="1202"/>
      <c r="AY256" s="1202"/>
      <c r="AZ256" s="1202"/>
      <c r="BA256" s="1202"/>
      <c r="BC256" s="1202"/>
      <c r="BE256" s="1202"/>
      <c r="BF256" s="1202"/>
      <c r="BG256" s="1202"/>
    </row>
    <row r="257" spans="18:59">
      <c r="R257" s="1202"/>
      <c r="S257" s="1202"/>
      <c r="W257" s="1202"/>
      <c r="X257" s="1202"/>
      <c r="AE257" s="1202"/>
      <c r="AF257" s="1202"/>
      <c r="AV257" s="1202"/>
      <c r="AW257" s="1202"/>
      <c r="AX257" s="1202"/>
      <c r="AY257" s="1202"/>
      <c r="AZ257" s="1202"/>
      <c r="BA257" s="1202"/>
      <c r="BC257" s="1202"/>
      <c r="BE257" s="1202"/>
      <c r="BF257" s="1202"/>
      <c r="BG257" s="1202"/>
    </row>
    <row r="258" spans="18:59">
      <c r="R258" s="1202"/>
      <c r="S258" s="1202"/>
      <c r="W258" s="1202"/>
      <c r="X258" s="1202"/>
      <c r="AE258" s="1202"/>
      <c r="AF258" s="1202"/>
      <c r="AV258" s="1202"/>
      <c r="AW258" s="1202"/>
      <c r="AX258" s="1202"/>
      <c r="AY258" s="1202"/>
      <c r="AZ258" s="1202"/>
      <c r="BA258" s="1202"/>
      <c r="BC258" s="1202"/>
      <c r="BE258" s="1202"/>
      <c r="BF258" s="1202"/>
      <c r="BG258" s="1202"/>
    </row>
    <row r="259" spans="18:59">
      <c r="R259" s="1202"/>
      <c r="S259" s="1202"/>
      <c r="W259" s="1202"/>
      <c r="X259" s="1202"/>
      <c r="AE259" s="1202"/>
      <c r="AF259" s="1202"/>
      <c r="AV259" s="1202"/>
      <c r="AW259" s="1202"/>
      <c r="AX259" s="1202"/>
      <c r="AY259" s="1202"/>
      <c r="AZ259" s="1202"/>
      <c r="BA259" s="1202"/>
      <c r="BC259" s="1202"/>
      <c r="BE259" s="1202"/>
      <c r="BF259" s="1202"/>
      <c r="BG259" s="1202"/>
    </row>
    <row r="260" spans="18:59">
      <c r="R260" s="1202"/>
      <c r="S260" s="1202"/>
      <c r="W260" s="1202"/>
      <c r="X260" s="1202"/>
      <c r="AE260" s="1202"/>
      <c r="AF260" s="1202"/>
      <c r="AV260" s="1202"/>
      <c r="AW260" s="1202"/>
      <c r="AX260" s="1202"/>
      <c r="AY260" s="1202"/>
      <c r="AZ260" s="1202"/>
      <c r="BA260" s="1202"/>
      <c r="BC260" s="1202"/>
      <c r="BE260" s="1202"/>
      <c r="BF260" s="1202"/>
      <c r="BG260" s="1202"/>
    </row>
    <row r="261" spans="18:59">
      <c r="R261" s="1202"/>
      <c r="S261" s="1202"/>
      <c r="W261" s="1202"/>
      <c r="X261" s="1202"/>
      <c r="AE261" s="1202"/>
      <c r="AF261" s="1202"/>
      <c r="AV261" s="1202"/>
      <c r="AW261" s="1202"/>
      <c r="AX261" s="1202"/>
      <c r="AY261" s="1202"/>
      <c r="AZ261" s="1202"/>
      <c r="BA261" s="1202"/>
      <c r="BC261" s="1202"/>
      <c r="BE261" s="1202"/>
      <c r="BF261" s="1202"/>
      <c r="BG261" s="1202"/>
    </row>
    <row r="262" spans="18:59">
      <c r="R262" s="1202"/>
      <c r="S262" s="1202"/>
      <c r="W262" s="1202"/>
      <c r="X262" s="1202"/>
      <c r="AE262" s="1202"/>
      <c r="AF262" s="1202"/>
      <c r="AV262" s="1202"/>
      <c r="AW262" s="1202"/>
      <c r="AX262" s="1202"/>
      <c r="AY262" s="1202"/>
      <c r="AZ262" s="1202"/>
      <c r="BA262" s="1202"/>
      <c r="BC262" s="1202"/>
      <c r="BE262" s="1202"/>
      <c r="BF262" s="1202"/>
      <c r="BG262" s="1202"/>
    </row>
    <row r="263" spans="18:59">
      <c r="R263" s="1202"/>
      <c r="S263" s="1202"/>
      <c r="W263" s="1202"/>
      <c r="X263" s="1202"/>
      <c r="AE263" s="1202"/>
      <c r="AF263" s="1202"/>
      <c r="AV263" s="1202"/>
      <c r="AW263" s="1202"/>
      <c r="AX263" s="1202"/>
      <c r="AY263" s="1202"/>
      <c r="AZ263" s="1202"/>
      <c r="BA263" s="1202"/>
      <c r="BC263" s="1202"/>
      <c r="BE263" s="1202"/>
      <c r="BF263" s="1202"/>
      <c r="BG263" s="1202"/>
    </row>
    <row r="264" spans="18:59">
      <c r="R264" s="1202"/>
      <c r="S264" s="1202"/>
      <c r="W264" s="1202"/>
      <c r="X264" s="1202"/>
      <c r="AE264" s="1202"/>
      <c r="AF264" s="1202"/>
      <c r="AV264" s="1202"/>
      <c r="AW264" s="1202"/>
      <c r="AX264" s="1202"/>
      <c r="AY264" s="1202"/>
      <c r="AZ264" s="1202"/>
      <c r="BA264" s="1202"/>
      <c r="BC264" s="1202"/>
      <c r="BE264" s="1202"/>
      <c r="BF264" s="1202"/>
      <c r="BG264" s="1202"/>
    </row>
    <row r="265" spans="18:59">
      <c r="R265" s="1202"/>
      <c r="S265" s="1202"/>
      <c r="W265" s="1202"/>
      <c r="X265" s="1202"/>
      <c r="AE265" s="1202"/>
      <c r="AF265" s="1202"/>
      <c r="AV265" s="1202"/>
      <c r="AW265" s="1202"/>
      <c r="AX265" s="1202"/>
      <c r="AY265" s="1202"/>
      <c r="AZ265" s="1202"/>
      <c r="BA265" s="1202"/>
      <c r="BC265" s="1202"/>
      <c r="BE265" s="1202"/>
      <c r="BF265" s="1202"/>
      <c r="BG265" s="1202"/>
    </row>
    <row r="266" spans="18:59">
      <c r="R266" s="1202"/>
      <c r="S266" s="1202"/>
      <c r="W266" s="1202"/>
      <c r="X266" s="1202"/>
      <c r="AE266" s="1202"/>
      <c r="AF266" s="1202"/>
      <c r="AV266" s="1202"/>
      <c r="AW266" s="1202"/>
      <c r="AX266" s="1202"/>
      <c r="AY266" s="1202"/>
      <c r="AZ266" s="1202"/>
      <c r="BA266" s="1202"/>
      <c r="BC266" s="1202"/>
      <c r="BE266" s="1202"/>
      <c r="BF266" s="1202"/>
      <c r="BG266" s="1202"/>
    </row>
    <row r="267" spans="18:59">
      <c r="R267" s="1202"/>
      <c r="S267" s="1202"/>
      <c r="W267" s="1202"/>
      <c r="X267" s="1202"/>
      <c r="AE267" s="1202"/>
      <c r="AF267" s="1202"/>
      <c r="AV267" s="1202"/>
      <c r="AW267" s="1202"/>
      <c r="AX267" s="1202"/>
      <c r="AY267" s="1202"/>
      <c r="AZ267" s="1202"/>
      <c r="BA267" s="1202"/>
      <c r="BC267" s="1202"/>
      <c r="BE267" s="1202"/>
      <c r="BF267" s="1202"/>
      <c r="BG267" s="1202"/>
    </row>
    <row r="268" spans="18:59">
      <c r="R268" s="1202"/>
      <c r="S268" s="1202"/>
      <c r="W268" s="1202"/>
      <c r="X268" s="1202"/>
      <c r="AE268" s="1202"/>
      <c r="AF268" s="1202"/>
      <c r="AV268" s="1202"/>
      <c r="AW268" s="1202"/>
      <c r="AX268" s="1202"/>
      <c r="AY268" s="1202"/>
      <c r="AZ268" s="1202"/>
      <c r="BA268" s="1202"/>
      <c r="BC268" s="1202"/>
      <c r="BE268" s="1202"/>
      <c r="BF268" s="1202"/>
      <c r="BG268" s="1202"/>
    </row>
    <row r="269" spans="18:59">
      <c r="R269" s="1202"/>
      <c r="S269" s="1202"/>
      <c r="W269" s="1202"/>
      <c r="X269" s="1202"/>
      <c r="AE269" s="1202"/>
      <c r="AF269" s="1202"/>
      <c r="AV269" s="1202"/>
      <c r="AW269" s="1202"/>
      <c r="AX269" s="1202"/>
      <c r="AY269" s="1202"/>
      <c r="AZ269" s="1202"/>
      <c r="BA269" s="1202"/>
      <c r="BC269" s="1202"/>
      <c r="BE269" s="1202"/>
      <c r="BF269" s="1202"/>
      <c r="BG269" s="1202"/>
    </row>
    <row r="270" spans="18:59">
      <c r="R270" s="1202"/>
      <c r="S270" s="1202"/>
      <c r="W270" s="1202"/>
      <c r="X270" s="1202"/>
      <c r="AE270" s="1202"/>
      <c r="AF270" s="1202"/>
      <c r="AV270" s="1202"/>
      <c r="AW270" s="1202"/>
      <c r="AX270" s="1202"/>
      <c r="AY270" s="1202"/>
      <c r="AZ270" s="1202"/>
      <c r="BA270" s="1202"/>
      <c r="BC270" s="1202"/>
      <c r="BE270" s="1202"/>
      <c r="BF270" s="1202"/>
      <c r="BG270" s="1202"/>
    </row>
    <row r="271" spans="18:59">
      <c r="R271" s="1202"/>
      <c r="S271" s="1202"/>
      <c r="W271" s="1202"/>
      <c r="X271" s="1202"/>
      <c r="AE271" s="1202"/>
      <c r="AF271" s="1202"/>
      <c r="AV271" s="1202"/>
      <c r="AW271" s="1202"/>
      <c r="AX271" s="1202"/>
      <c r="AY271" s="1202"/>
      <c r="AZ271" s="1202"/>
      <c r="BA271" s="1202"/>
      <c r="BC271" s="1202"/>
      <c r="BE271" s="1202"/>
      <c r="BF271" s="1202"/>
      <c r="BG271" s="1202"/>
    </row>
    <row r="272" spans="18:59">
      <c r="R272" s="1202"/>
      <c r="S272" s="1202"/>
      <c r="W272" s="1202"/>
      <c r="X272" s="1202"/>
      <c r="AE272" s="1202"/>
      <c r="AF272" s="1202"/>
      <c r="AV272" s="1202"/>
      <c r="AW272" s="1202"/>
      <c r="AX272" s="1202"/>
      <c r="AY272" s="1202"/>
      <c r="AZ272" s="1202"/>
      <c r="BA272" s="1202"/>
      <c r="BC272" s="1202"/>
      <c r="BE272" s="1202"/>
      <c r="BF272" s="1202"/>
      <c r="BG272" s="1202"/>
    </row>
    <row r="273" spans="18:59">
      <c r="R273" s="1202"/>
      <c r="S273" s="1202"/>
      <c r="W273" s="1202"/>
      <c r="X273" s="1202"/>
      <c r="AE273" s="1202"/>
      <c r="AF273" s="1202"/>
      <c r="AV273" s="1202"/>
      <c r="AW273" s="1202"/>
      <c r="AX273" s="1202"/>
      <c r="AY273" s="1202"/>
      <c r="AZ273" s="1202"/>
      <c r="BA273" s="1202"/>
      <c r="BC273" s="1202"/>
      <c r="BE273" s="1202"/>
      <c r="BF273" s="1202"/>
      <c r="BG273" s="1202"/>
    </row>
    <row r="274" spans="18:59">
      <c r="R274" s="1202"/>
      <c r="S274" s="1202"/>
      <c r="W274" s="1202"/>
      <c r="X274" s="1202"/>
      <c r="AE274" s="1202"/>
      <c r="AF274" s="1202"/>
      <c r="AV274" s="1202"/>
      <c r="AW274" s="1202"/>
      <c r="AX274" s="1202"/>
      <c r="AY274" s="1202"/>
      <c r="AZ274" s="1202"/>
      <c r="BA274" s="1202"/>
      <c r="BC274" s="1202"/>
      <c r="BE274" s="1202"/>
      <c r="BF274" s="1202"/>
      <c r="BG274" s="1202"/>
    </row>
    <row r="275" spans="18:59">
      <c r="R275" s="1202"/>
      <c r="S275" s="1202"/>
      <c r="W275" s="1202"/>
      <c r="X275" s="1202"/>
      <c r="AE275" s="1202"/>
      <c r="AF275" s="1202"/>
      <c r="AV275" s="1202"/>
      <c r="AW275" s="1202"/>
      <c r="AX275" s="1202"/>
      <c r="AY275" s="1202"/>
      <c r="AZ275" s="1202"/>
      <c r="BA275" s="1202"/>
      <c r="BC275" s="1202"/>
      <c r="BE275" s="1202"/>
      <c r="BF275" s="1202"/>
      <c r="BG275" s="1202"/>
    </row>
    <row r="276" spans="18:59">
      <c r="R276" s="1202"/>
      <c r="S276" s="1202"/>
      <c r="W276" s="1202"/>
      <c r="X276" s="1202"/>
      <c r="AE276" s="1202"/>
      <c r="AF276" s="1202"/>
      <c r="AV276" s="1202"/>
      <c r="AW276" s="1202"/>
      <c r="AX276" s="1202"/>
      <c r="AY276" s="1202"/>
      <c r="AZ276" s="1202"/>
      <c r="BA276" s="1202"/>
      <c r="BC276" s="1202"/>
      <c r="BE276" s="1202"/>
      <c r="BF276" s="1202"/>
      <c r="BG276" s="1202"/>
    </row>
    <row r="277" spans="18:59">
      <c r="R277" s="1202"/>
      <c r="S277" s="1202"/>
      <c r="W277" s="1202"/>
      <c r="X277" s="1202"/>
      <c r="AE277" s="1202"/>
      <c r="AF277" s="1202"/>
      <c r="AV277" s="1202"/>
      <c r="AW277" s="1202"/>
      <c r="AX277" s="1202"/>
      <c r="AY277" s="1202"/>
      <c r="AZ277" s="1202"/>
      <c r="BA277" s="1202"/>
      <c r="BC277" s="1202"/>
      <c r="BE277" s="1202"/>
      <c r="BF277" s="1202"/>
      <c r="BG277" s="1202"/>
    </row>
    <row r="278" spans="18:59">
      <c r="R278" s="1202"/>
      <c r="S278" s="1202"/>
      <c r="W278" s="1202"/>
      <c r="X278" s="1202"/>
      <c r="AE278" s="1202"/>
      <c r="AF278" s="1202"/>
      <c r="AV278" s="1202"/>
      <c r="AW278" s="1202"/>
      <c r="AX278" s="1202"/>
      <c r="AY278" s="1202"/>
      <c r="AZ278" s="1202"/>
      <c r="BA278" s="1202"/>
      <c r="BC278" s="1202"/>
      <c r="BE278" s="1202"/>
      <c r="BF278" s="1202"/>
      <c r="BG278" s="1202"/>
    </row>
    <row r="279" spans="18:59">
      <c r="R279" s="1202"/>
      <c r="S279" s="1202"/>
      <c r="W279" s="1202"/>
      <c r="X279" s="1202"/>
      <c r="AE279" s="1202"/>
      <c r="AF279" s="1202"/>
      <c r="AV279" s="1202"/>
      <c r="AW279" s="1202"/>
      <c r="AX279" s="1202"/>
      <c r="AY279" s="1202"/>
      <c r="AZ279" s="1202"/>
      <c r="BA279" s="1202"/>
      <c r="BC279" s="1202"/>
      <c r="BE279" s="1202"/>
      <c r="BF279" s="1202"/>
      <c r="BG279" s="1202"/>
    </row>
    <row r="280" spans="18:59">
      <c r="R280" s="1202"/>
      <c r="S280" s="1202"/>
      <c r="W280" s="1202"/>
      <c r="X280" s="1202"/>
      <c r="AE280" s="1202"/>
      <c r="AF280" s="1202"/>
      <c r="AV280" s="1202"/>
      <c r="AW280" s="1202"/>
      <c r="AX280" s="1202"/>
      <c r="AY280" s="1202"/>
      <c r="AZ280" s="1202"/>
      <c r="BA280" s="1202"/>
      <c r="BC280" s="1202"/>
      <c r="BE280" s="1202"/>
      <c r="BF280" s="1202"/>
      <c r="BG280" s="1202"/>
    </row>
    <row r="281" spans="18:59">
      <c r="R281" s="1202"/>
      <c r="S281" s="1202"/>
      <c r="W281" s="1202"/>
      <c r="X281" s="1202"/>
      <c r="AE281" s="1202"/>
      <c r="AF281" s="1202"/>
      <c r="AV281" s="1202"/>
      <c r="AW281" s="1202"/>
      <c r="AX281" s="1202"/>
      <c r="AY281" s="1202"/>
      <c r="AZ281" s="1202"/>
      <c r="BA281" s="1202"/>
      <c r="BC281" s="1202"/>
      <c r="BE281" s="1202"/>
      <c r="BF281" s="1202"/>
      <c r="BG281" s="1202"/>
    </row>
    <row r="282" spans="18:59">
      <c r="R282" s="1202"/>
      <c r="S282" s="1202"/>
      <c r="W282" s="1202"/>
      <c r="X282" s="1202"/>
      <c r="AE282" s="1202"/>
      <c r="AF282" s="1202"/>
      <c r="AV282" s="1202"/>
      <c r="AW282" s="1202"/>
      <c r="AX282" s="1202"/>
      <c r="AY282" s="1202"/>
      <c r="AZ282" s="1202"/>
      <c r="BA282" s="1202"/>
      <c r="BC282" s="1202"/>
      <c r="BE282" s="1202"/>
      <c r="BF282" s="1202"/>
      <c r="BG282" s="1202"/>
    </row>
    <row r="283" spans="18:59">
      <c r="R283" s="1202"/>
      <c r="S283" s="1202"/>
      <c r="W283" s="1202"/>
      <c r="X283" s="1202"/>
      <c r="AE283" s="1202"/>
      <c r="AF283" s="1202"/>
      <c r="AV283" s="1202"/>
      <c r="AW283" s="1202"/>
      <c r="AX283" s="1202"/>
      <c r="AY283" s="1202"/>
      <c r="AZ283" s="1202"/>
      <c r="BA283" s="1202"/>
      <c r="BC283" s="1202"/>
      <c r="BE283" s="1202"/>
      <c r="BF283" s="1202"/>
      <c r="BG283" s="1202"/>
    </row>
    <row r="284" spans="18:59">
      <c r="R284" s="1202"/>
      <c r="S284" s="1202"/>
      <c r="W284" s="1202"/>
      <c r="X284" s="1202"/>
      <c r="AE284" s="1202"/>
      <c r="AF284" s="1202"/>
      <c r="AV284" s="1202"/>
      <c r="AW284" s="1202"/>
      <c r="AX284" s="1202"/>
      <c r="AY284" s="1202"/>
      <c r="AZ284" s="1202"/>
      <c r="BA284" s="1202"/>
      <c r="BC284" s="1202"/>
      <c r="BE284" s="1202"/>
      <c r="BF284" s="1202"/>
      <c r="BG284" s="1202"/>
    </row>
    <row r="285" spans="18:59">
      <c r="R285" s="1202"/>
      <c r="S285" s="1202"/>
      <c r="W285" s="1202"/>
      <c r="X285" s="1202"/>
      <c r="AE285" s="1202"/>
      <c r="AF285" s="1202"/>
      <c r="AV285" s="1202"/>
      <c r="AW285" s="1202"/>
      <c r="AX285" s="1202"/>
      <c r="AY285" s="1202"/>
      <c r="AZ285" s="1202"/>
      <c r="BA285" s="1202"/>
      <c r="BC285" s="1202"/>
      <c r="BE285" s="1202"/>
      <c r="BF285" s="1202"/>
      <c r="BG285" s="1202"/>
    </row>
    <row r="286" spans="18:59">
      <c r="R286" s="1202"/>
      <c r="S286" s="1202"/>
      <c r="W286" s="1202"/>
      <c r="X286" s="1202"/>
      <c r="AE286" s="1202"/>
      <c r="AF286" s="1202"/>
      <c r="AV286" s="1202"/>
      <c r="AW286" s="1202"/>
      <c r="AX286" s="1202"/>
      <c r="AY286" s="1202"/>
      <c r="AZ286" s="1202"/>
      <c r="BA286" s="1202"/>
      <c r="BC286" s="1202"/>
      <c r="BE286" s="1202"/>
      <c r="BF286" s="1202"/>
      <c r="BG286" s="1202"/>
    </row>
    <row r="287" spans="18:59">
      <c r="R287" s="1202"/>
      <c r="S287" s="1202"/>
      <c r="W287" s="1202"/>
      <c r="X287" s="1202"/>
      <c r="AE287" s="1202"/>
      <c r="AF287" s="1202"/>
      <c r="AV287" s="1202"/>
      <c r="AW287" s="1202"/>
      <c r="AX287" s="1202"/>
      <c r="AY287" s="1202"/>
      <c r="AZ287" s="1202"/>
      <c r="BA287" s="1202"/>
      <c r="BC287" s="1202"/>
      <c r="BE287" s="1202"/>
      <c r="BF287" s="1202"/>
      <c r="BG287" s="1202"/>
    </row>
    <row r="288" spans="18:59">
      <c r="R288" s="1202"/>
      <c r="S288" s="1202"/>
      <c r="W288" s="1202"/>
      <c r="X288" s="1202"/>
      <c r="AE288" s="1202"/>
      <c r="AF288" s="1202"/>
      <c r="AV288" s="1202"/>
      <c r="AW288" s="1202"/>
      <c r="AX288" s="1202"/>
      <c r="AY288" s="1202"/>
      <c r="AZ288" s="1202"/>
      <c r="BA288" s="1202"/>
      <c r="BC288" s="1202"/>
      <c r="BE288" s="1202"/>
      <c r="BF288" s="1202"/>
      <c r="BG288" s="1202"/>
    </row>
    <row r="289" spans="18:59">
      <c r="R289" s="1202"/>
      <c r="S289" s="1202"/>
      <c r="W289" s="1202"/>
      <c r="X289" s="1202"/>
      <c r="AE289" s="1202"/>
      <c r="AF289" s="1202"/>
      <c r="AV289" s="1202"/>
      <c r="AW289" s="1202"/>
      <c r="AX289" s="1202"/>
      <c r="AY289" s="1202"/>
      <c r="AZ289" s="1202"/>
      <c r="BA289" s="1202"/>
      <c r="BC289" s="1202"/>
      <c r="BE289" s="1202"/>
      <c r="BF289" s="1202"/>
      <c r="BG289" s="1202"/>
    </row>
    <row r="290" spans="18:59">
      <c r="R290" s="1202"/>
      <c r="S290" s="1202"/>
      <c r="W290" s="1202"/>
      <c r="X290" s="1202"/>
      <c r="AE290" s="1202"/>
      <c r="AF290" s="1202"/>
      <c r="AV290" s="1202"/>
      <c r="AW290" s="1202"/>
      <c r="AX290" s="1202"/>
      <c r="AY290" s="1202"/>
      <c r="AZ290" s="1202"/>
      <c r="BA290" s="1202"/>
      <c r="BC290" s="1202"/>
      <c r="BE290" s="1202"/>
      <c r="BF290" s="1202"/>
      <c r="BG290" s="1202"/>
    </row>
    <row r="291" spans="18:59">
      <c r="R291" s="1202"/>
      <c r="S291" s="1202"/>
      <c r="W291" s="1202"/>
      <c r="X291" s="1202"/>
      <c r="AE291" s="1202"/>
      <c r="AF291" s="1202"/>
      <c r="AV291" s="1202"/>
      <c r="AW291" s="1202"/>
      <c r="AX291" s="1202"/>
      <c r="AY291" s="1202"/>
      <c r="AZ291" s="1202"/>
      <c r="BA291" s="1202"/>
      <c r="BC291" s="1202"/>
      <c r="BE291" s="1202"/>
      <c r="BF291" s="1202"/>
      <c r="BG291" s="1202"/>
    </row>
    <row r="292" spans="18:59">
      <c r="R292" s="1202"/>
      <c r="S292" s="1202"/>
      <c r="W292" s="1202"/>
      <c r="X292" s="1202"/>
      <c r="AE292" s="1202"/>
      <c r="AF292" s="1202"/>
      <c r="AV292" s="1202"/>
      <c r="AW292" s="1202"/>
      <c r="AX292" s="1202"/>
      <c r="AY292" s="1202"/>
      <c r="AZ292" s="1202"/>
      <c r="BA292" s="1202"/>
      <c r="BC292" s="1202"/>
      <c r="BE292" s="1202"/>
      <c r="BF292" s="1202"/>
      <c r="BG292" s="1202"/>
    </row>
    <row r="293" spans="18:59">
      <c r="R293" s="1202"/>
      <c r="S293" s="1202"/>
      <c r="W293" s="1202"/>
      <c r="X293" s="1202"/>
      <c r="AE293" s="1202"/>
      <c r="AF293" s="1202"/>
      <c r="AV293" s="1202"/>
      <c r="AW293" s="1202"/>
      <c r="AX293" s="1202"/>
      <c r="AY293" s="1202"/>
      <c r="AZ293" s="1202"/>
      <c r="BA293" s="1202"/>
      <c r="BC293" s="1202"/>
      <c r="BE293" s="1202"/>
      <c r="BF293" s="1202"/>
      <c r="BG293" s="1202"/>
    </row>
    <row r="294" spans="18:59">
      <c r="R294" s="1202"/>
      <c r="S294" s="1202"/>
      <c r="W294" s="1202"/>
      <c r="X294" s="1202"/>
      <c r="AE294" s="1202"/>
      <c r="AF294" s="1202"/>
      <c r="AV294" s="1202"/>
      <c r="AW294" s="1202"/>
      <c r="AX294" s="1202"/>
      <c r="AY294" s="1202"/>
      <c r="AZ294" s="1202"/>
      <c r="BA294" s="1202"/>
      <c r="BC294" s="1202"/>
      <c r="BE294" s="1202"/>
      <c r="BF294" s="1202"/>
      <c r="BG294" s="1202"/>
    </row>
    <row r="295" spans="18:59">
      <c r="R295" s="1202"/>
      <c r="S295" s="1202"/>
      <c r="W295" s="1202"/>
      <c r="X295" s="1202"/>
      <c r="AE295" s="1202"/>
      <c r="AF295" s="1202"/>
      <c r="AV295" s="1202"/>
      <c r="AW295" s="1202"/>
      <c r="AX295" s="1202"/>
      <c r="AY295" s="1202"/>
      <c r="AZ295" s="1202"/>
      <c r="BA295" s="1202"/>
      <c r="BC295" s="1202"/>
      <c r="BE295" s="1202"/>
      <c r="BF295" s="1202"/>
      <c r="BG295" s="1202"/>
    </row>
    <row r="296" spans="18:59">
      <c r="R296" s="1202"/>
      <c r="S296" s="1202"/>
      <c r="W296" s="1202"/>
      <c r="X296" s="1202"/>
      <c r="AE296" s="1202"/>
      <c r="AF296" s="1202"/>
      <c r="AV296" s="1202"/>
      <c r="AW296" s="1202"/>
      <c r="AX296" s="1202"/>
      <c r="AY296" s="1202"/>
      <c r="AZ296" s="1202"/>
      <c r="BA296" s="1202"/>
      <c r="BC296" s="1202"/>
      <c r="BE296" s="1202"/>
      <c r="BF296" s="1202"/>
      <c r="BG296" s="1202"/>
    </row>
    <row r="297" spans="18:59">
      <c r="R297" s="1202"/>
      <c r="S297" s="1202"/>
      <c r="W297" s="1202"/>
      <c r="X297" s="1202"/>
      <c r="AE297" s="1202"/>
      <c r="AF297" s="1202"/>
      <c r="AV297" s="1202"/>
      <c r="AW297" s="1202"/>
      <c r="AX297" s="1202"/>
      <c r="AY297" s="1202"/>
      <c r="AZ297" s="1202"/>
      <c r="BA297" s="1202"/>
      <c r="BC297" s="1202"/>
      <c r="BE297" s="1202"/>
      <c r="BF297" s="1202"/>
      <c r="BG297" s="1202"/>
    </row>
    <row r="298" spans="18:59">
      <c r="R298" s="1202"/>
      <c r="S298" s="1202"/>
      <c r="W298" s="1202"/>
      <c r="X298" s="1202"/>
      <c r="AE298" s="1202"/>
      <c r="AF298" s="1202"/>
      <c r="AV298" s="1202"/>
      <c r="AW298" s="1202"/>
      <c r="AX298" s="1202"/>
      <c r="AY298" s="1202"/>
      <c r="AZ298" s="1202"/>
      <c r="BA298" s="1202"/>
      <c r="BC298" s="1202"/>
      <c r="BE298" s="1202"/>
      <c r="BF298" s="1202"/>
      <c r="BG298" s="1202"/>
    </row>
    <row r="299" spans="18:59">
      <c r="R299" s="1202"/>
      <c r="S299" s="1202"/>
      <c r="W299" s="1202"/>
      <c r="X299" s="1202"/>
      <c r="AE299" s="1202"/>
      <c r="AF299" s="1202"/>
      <c r="AV299" s="1202"/>
      <c r="AW299" s="1202"/>
      <c r="AX299" s="1202"/>
      <c r="AY299" s="1202"/>
      <c r="AZ299" s="1202"/>
      <c r="BA299" s="1202"/>
      <c r="BC299" s="1202"/>
      <c r="BE299" s="1202"/>
      <c r="BF299" s="1202"/>
      <c r="BG299" s="1202"/>
    </row>
    <row r="300" spans="18:59">
      <c r="R300" s="1202"/>
      <c r="S300" s="1202"/>
      <c r="W300" s="1202"/>
      <c r="X300" s="1202"/>
      <c r="AE300" s="1202"/>
      <c r="AF300" s="1202"/>
      <c r="AV300" s="1202"/>
      <c r="AW300" s="1202"/>
      <c r="AX300" s="1202"/>
      <c r="AY300" s="1202"/>
      <c r="AZ300" s="1202"/>
      <c r="BA300" s="1202"/>
      <c r="BC300" s="1202"/>
      <c r="BE300" s="1202"/>
      <c r="BF300" s="1202"/>
      <c r="BG300" s="1202"/>
    </row>
    <row r="301" spans="18:59">
      <c r="R301" s="1202"/>
      <c r="S301" s="1202"/>
      <c r="W301" s="1202"/>
      <c r="X301" s="1202"/>
      <c r="AE301" s="1202"/>
      <c r="AF301" s="1202"/>
      <c r="AV301" s="1202"/>
      <c r="AW301" s="1202"/>
      <c r="AX301" s="1202"/>
      <c r="AY301" s="1202"/>
      <c r="AZ301" s="1202"/>
      <c r="BA301" s="1202"/>
      <c r="BC301" s="1202"/>
      <c r="BE301" s="1202"/>
      <c r="BF301" s="1202"/>
      <c r="BG301" s="1202"/>
    </row>
    <row r="302" spans="18:59">
      <c r="R302" s="1202"/>
      <c r="S302" s="1202"/>
      <c r="W302" s="1202"/>
      <c r="X302" s="1202"/>
      <c r="AE302" s="1202"/>
      <c r="AF302" s="1202"/>
      <c r="AV302" s="1202"/>
      <c r="AW302" s="1202"/>
      <c r="AX302" s="1202"/>
      <c r="AY302" s="1202"/>
      <c r="AZ302" s="1202"/>
      <c r="BA302" s="1202"/>
      <c r="BC302" s="1202"/>
      <c r="BE302" s="1202"/>
      <c r="BF302" s="1202"/>
      <c r="BG302" s="1202"/>
    </row>
    <row r="303" spans="18:59">
      <c r="R303" s="1202"/>
      <c r="S303" s="1202"/>
      <c r="W303" s="1202"/>
      <c r="X303" s="1202"/>
      <c r="AE303" s="1202"/>
      <c r="AF303" s="1202"/>
      <c r="AV303" s="1202"/>
      <c r="AW303" s="1202"/>
      <c r="AX303" s="1202"/>
      <c r="AY303" s="1202"/>
      <c r="AZ303" s="1202"/>
      <c r="BA303" s="1202"/>
      <c r="BC303" s="1202"/>
      <c r="BE303" s="1202"/>
      <c r="BF303" s="1202"/>
      <c r="BG303" s="1202"/>
    </row>
    <row r="304" spans="18:59">
      <c r="R304" s="1202"/>
      <c r="S304" s="1202"/>
      <c r="W304" s="1202"/>
      <c r="X304" s="1202"/>
      <c r="AE304" s="1202"/>
      <c r="AF304" s="1202"/>
      <c r="AV304" s="1202"/>
      <c r="AW304" s="1202"/>
      <c r="AX304" s="1202"/>
      <c r="AY304" s="1202"/>
      <c r="AZ304" s="1202"/>
      <c r="BA304" s="1202"/>
      <c r="BC304" s="1202"/>
      <c r="BE304" s="1202"/>
      <c r="BF304" s="1202"/>
      <c r="BG304" s="1202"/>
    </row>
    <row r="305" spans="18:59">
      <c r="R305" s="1202"/>
      <c r="S305" s="1202"/>
      <c r="W305" s="1202"/>
      <c r="X305" s="1202"/>
      <c r="AE305" s="1202"/>
      <c r="AF305" s="1202"/>
      <c r="AV305" s="1202"/>
      <c r="AW305" s="1202"/>
      <c r="AX305" s="1202"/>
      <c r="AY305" s="1202"/>
      <c r="AZ305" s="1202"/>
      <c r="BA305" s="1202"/>
      <c r="BC305" s="1202"/>
      <c r="BE305" s="1202"/>
      <c r="BF305" s="1202"/>
      <c r="BG305" s="1202"/>
    </row>
    <row r="306" spans="18:59">
      <c r="R306" s="1202"/>
      <c r="S306" s="1202"/>
      <c r="W306" s="1202"/>
      <c r="X306" s="1202"/>
      <c r="AE306" s="1202"/>
      <c r="AF306" s="1202"/>
      <c r="AV306" s="1202"/>
      <c r="AW306" s="1202"/>
      <c r="AX306" s="1202"/>
      <c r="AY306" s="1202"/>
      <c r="AZ306" s="1202"/>
      <c r="BA306" s="1202"/>
      <c r="BC306" s="1202"/>
      <c r="BE306" s="1202"/>
      <c r="BF306" s="1202"/>
      <c r="BG306" s="1202"/>
    </row>
    <row r="307" spans="18:59">
      <c r="R307" s="1202"/>
      <c r="S307" s="1202"/>
      <c r="W307" s="1202"/>
      <c r="X307" s="1202"/>
      <c r="AE307" s="1202"/>
      <c r="AF307" s="1202"/>
      <c r="AV307" s="1202"/>
      <c r="AW307" s="1202"/>
      <c r="AX307" s="1202"/>
      <c r="AY307" s="1202"/>
      <c r="AZ307" s="1202"/>
      <c r="BA307" s="1202"/>
      <c r="BC307" s="1202"/>
      <c r="BE307" s="1202"/>
      <c r="BF307" s="1202"/>
      <c r="BG307" s="1202"/>
    </row>
    <row r="308" spans="18:59">
      <c r="R308" s="1202"/>
      <c r="S308" s="1202"/>
      <c r="W308" s="1202"/>
      <c r="X308" s="1202"/>
      <c r="AE308" s="1202"/>
      <c r="AF308" s="1202"/>
      <c r="AV308" s="1202"/>
      <c r="AW308" s="1202"/>
      <c r="AX308" s="1202"/>
      <c r="AY308" s="1202"/>
      <c r="AZ308" s="1202"/>
      <c r="BA308" s="1202"/>
      <c r="BC308" s="1202"/>
      <c r="BE308" s="1202"/>
      <c r="BF308" s="1202"/>
      <c r="BG308" s="1202"/>
    </row>
    <row r="309" spans="18:59">
      <c r="R309" s="1202"/>
      <c r="S309" s="1202"/>
      <c r="W309" s="1202"/>
      <c r="X309" s="1202"/>
      <c r="AE309" s="1202"/>
      <c r="AF309" s="1202"/>
      <c r="AV309" s="1202"/>
      <c r="AW309" s="1202"/>
      <c r="AX309" s="1202"/>
      <c r="AY309" s="1202"/>
      <c r="AZ309" s="1202"/>
      <c r="BA309" s="1202"/>
      <c r="BC309" s="1202"/>
      <c r="BE309" s="1202"/>
      <c r="BF309" s="1202"/>
      <c r="BG309" s="1202"/>
    </row>
    <row r="310" spans="18:59">
      <c r="R310" s="1202"/>
      <c r="S310" s="1202"/>
      <c r="W310" s="1202"/>
      <c r="X310" s="1202"/>
      <c r="AE310" s="1202"/>
      <c r="AF310" s="1202"/>
      <c r="AV310" s="1202"/>
      <c r="AW310" s="1202"/>
      <c r="AX310" s="1202"/>
      <c r="AY310" s="1202"/>
      <c r="AZ310" s="1202"/>
      <c r="BA310" s="1202"/>
      <c r="BC310" s="1202"/>
      <c r="BE310" s="1202"/>
      <c r="BF310" s="1202"/>
      <c r="BG310" s="1202"/>
    </row>
    <row r="311" spans="18:59">
      <c r="R311" s="1202"/>
      <c r="S311" s="1202"/>
      <c r="W311" s="1202"/>
      <c r="X311" s="1202"/>
      <c r="AE311" s="1202"/>
      <c r="AF311" s="1202"/>
      <c r="AV311" s="1202"/>
      <c r="AW311" s="1202"/>
      <c r="AX311" s="1202"/>
      <c r="AY311" s="1202"/>
      <c r="AZ311" s="1202"/>
      <c r="BA311" s="1202"/>
      <c r="BC311" s="1202"/>
      <c r="BE311" s="1202"/>
      <c r="BF311" s="1202"/>
      <c r="BG311" s="1202"/>
    </row>
    <row r="312" spans="18:59">
      <c r="R312" s="1202"/>
      <c r="S312" s="1202"/>
      <c r="W312" s="1202"/>
      <c r="X312" s="1202"/>
      <c r="AE312" s="1202"/>
      <c r="AF312" s="1202"/>
      <c r="AV312" s="1202"/>
      <c r="AW312" s="1202"/>
      <c r="AX312" s="1202"/>
      <c r="AY312" s="1202"/>
      <c r="AZ312" s="1202"/>
      <c r="BA312" s="1202"/>
      <c r="BC312" s="1202"/>
      <c r="BE312" s="1202"/>
      <c r="BF312" s="1202"/>
      <c r="BG312" s="1202"/>
    </row>
    <row r="313" spans="18:59">
      <c r="R313" s="1202"/>
      <c r="S313" s="1202"/>
      <c r="W313" s="1202"/>
      <c r="X313" s="1202"/>
      <c r="AE313" s="1202"/>
      <c r="AF313" s="1202"/>
      <c r="AV313" s="1202"/>
      <c r="AW313" s="1202"/>
      <c r="AX313" s="1202"/>
      <c r="AY313" s="1202"/>
      <c r="AZ313" s="1202"/>
      <c r="BA313" s="1202"/>
      <c r="BC313" s="1202"/>
      <c r="BE313" s="1202"/>
      <c r="BF313" s="1202"/>
      <c r="BG313" s="1202"/>
    </row>
    <row r="314" spans="18:59">
      <c r="R314" s="1202"/>
      <c r="S314" s="1202"/>
      <c r="W314" s="1202"/>
      <c r="X314" s="1202"/>
      <c r="AE314" s="1202"/>
      <c r="AF314" s="1202"/>
      <c r="AV314" s="1202"/>
      <c r="AW314" s="1202"/>
      <c r="AX314" s="1202"/>
      <c r="AY314" s="1202"/>
      <c r="AZ314" s="1202"/>
      <c r="BA314" s="1202"/>
      <c r="BC314" s="1202"/>
      <c r="BE314" s="1202"/>
      <c r="BF314" s="1202"/>
      <c r="BG314" s="1202"/>
    </row>
    <row r="315" spans="18:59">
      <c r="R315" s="1202"/>
      <c r="S315" s="1202"/>
      <c r="W315" s="1202"/>
      <c r="X315" s="1202"/>
      <c r="AE315" s="1202"/>
      <c r="AF315" s="1202"/>
      <c r="AV315" s="1202"/>
      <c r="AW315" s="1202"/>
      <c r="AX315" s="1202"/>
      <c r="AY315" s="1202"/>
      <c r="AZ315" s="1202"/>
      <c r="BA315" s="1202"/>
      <c r="BC315" s="1202"/>
      <c r="BE315" s="1202"/>
      <c r="BF315" s="1202"/>
      <c r="BG315" s="1202"/>
    </row>
    <row r="316" spans="18:59">
      <c r="R316" s="1202"/>
      <c r="S316" s="1202"/>
      <c r="W316" s="1202"/>
      <c r="X316" s="1202"/>
      <c r="AE316" s="1202"/>
      <c r="AF316" s="1202"/>
      <c r="AV316" s="1202"/>
      <c r="AW316" s="1202"/>
      <c r="AX316" s="1202"/>
      <c r="AY316" s="1202"/>
      <c r="AZ316" s="1202"/>
      <c r="BA316" s="1202"/>
      <c r="BC316" s="1202"/>
      <c r="BE316" s="1202"/>
      <c r="BF316" s="1202"/>
      <c r="BG316" s="1202"/>
    </row>
    <row r="317" spans="18:59">
      <c r="R317" s="1202"/>
      <c r="S317" s="1202"/>
      <c r="W317" s="1202"/>
      <c r="X317" s="1202"/>
      <c r="AE317" s="1202"/>
      <c r="AF317" s="1202"/>
      <c r="AV317" s="1202"/>
      <c r="AW317" s="1202"/>
      <c r="AX317" s="1202"/>
      <c r="AY317" s="1202"/>
      <c r="AZ317" s="1202"/>
      <c r="BA317" s="1202"/>
      <c r="BC317" s="1202"/>
      <c r="BE317" s="1202"/>
      <c r="BF317" s="1202"/>
      <c r="BG317" s="1202"/>
    </row>
    <row r="318" spans="18:59">
      <c r="R318" s="1202"/>
      <c r="S318" s="1202"/>
      <c r="W318" s="1202"/>
      <c r="X318" s="1202"/>
      <c r="AE318" s="1202"/>
      <c r="AF318" s="1202"/>
      <c r="AV318" s="1202"/>
      <c r="AW318" s="1202"/>
      <c r="AX318" s="1202"/>
      <c r="AY318" s="1202"/>
      <c r="AZ318" s="1202"/>
      <c r="BA318" s="1202"/>
      <c r="BC318" s="1202"/>
      <c r="BE318" s="1202"/>
      <c r="BF318" s="1202"/>
      <c r="BG318" s="1202"/>
    </row>
    <row r="319" spans="18:59">
      <c r="R319" s="1202"/>
      <c r="S319" s="1202"/>
      <c r="W319" s="1202"/>
      <c r="X319" s="1202"/>
      <c r="AE319" s="1202"/>
      <c r="AF319" s="1202"/>
      <c r="AV319" s="1202"/>
      <c r="AW319" s="1202"/>
      <c r="AX319" s="1202"/>
      <c r="AY319" s="1202"/>
      <c r="AZ319" s="1202"/>
      <c r="BA319" s="1202"/>
      <c r="BC319" s="1202"/>
      <c r="BE319" s="1202"/>
      <c r="BF319" s="1202"/>
      <c r="BG319" s="1202"/>
    </row>
    <row r="320" spans="18:59">
      <c r="R320" s="1202"/>
      <c r="S320" s="1202"/>
      <c r="W320" s="1202"/>
      <c r="X320" s="1202"/>
      <c r="AE320" s="1202"/>
      <c r="AF320" s="1202"/>
      <c r="AV320" s="1202"/>
      <c r="AW320" s="1202"/>
      <c r="AX320" s="1202"/>
      <c r="AY320" s="1202"/>
      <c r="AZ320" s="1202"/>
      <c r="BA320" s="1202"/>
      <c r="BC320" s="1202"/>
      <c r="BE320" s="1202"/>
      <c r="BF320" s="1202"/>
      <c r="BG320" s="1202"/>
    </row>
    <row r="321" spans="18:59">
      <c r="R321" s="1202"/>
      <c r="S321" s="1202"/>
      <c r="W321" s="1202"/>
      <c r="X321" s="1202"/>
      <c r="AE321" s="1202"/>
      <c r="AF321" s="1202"/>
      <c r="AV321" s="1202"/>
      <c r="AW321" s="1202"/>
      <c r="AX321" s="1202"/>
      <c r="AY321" s="1202"/>
      <c r="AZ321" s="1202"/>
      <c r="BA321" s="1202"/>
      <c r="BC321" s="1202"/>
      <c r="BE321" s="1202"/>
      <c r="BF321" s="1202"/>
      <c r="BG321" s="1202"/>
    </row>
    <row r="322" spans="18:59">
      <c r="R322" s="1202"/>
      <c r="S322" s="1202"/>
      <c r="W322" s="1202"/>
      <c r="X322" s="1202"/>
      <c r="AE322" s="1202"/>
      <c r="AF322" s="1202"/>
      <c r="AV322" s="1202"/>
      <c r="AW322" s="1202"/>
      <c r="AX322" s="1202"/>
      <c r="AY322" s="1202"/>
      <c r="AZ322" s="1202"/>
      <c r="BA322" s="1202"/>
      <c r="BC322" s="1202"/>
      <c r="BE322" s="1202"/>
      <c r="BF322" s="1202"/>
      <c r="BG322" s="1202"/>
    </row>
    <row r="323" spans="18:59">
      <c r="R323" s="1202"/>
      <c r="S323" s="1202"/>
      <c r="W323" s="1202"/>
      <c r="X323" s="1202"/>
      <c r="AE323" s="1202"/>
      <c r="AF323" s="1202"/>
      <c r="AV323" s="1202"/>
      <c r="AW323" s="1202"/>
      <c r="AX323" s="1202"/>
      <c r="AY323" s="1202"/>
      <c r="AZ323" s="1202"/>
      <c r="BA323" s="1202"/>
      <c r="BC323" s="1202"/>
      <c r="BE323" s="1202"/>
      <c r="BF323" s="1202"/>
      <c r="BG323" s="1202"/>
    </row>
    <row r="324" spans="18:59">
      <c r="R324" s="1202"/>
      <c r="S324" s="1202"/>
      <c r="W324" s="1202"/>
      <c r="X324" s="1202"/>
      <c r="AE324" s="1202"/>
      <c r="AF324" s="1202"/>
      <c r="AV324" s="1202"/>
      <c r="AW324" s="1202"/>
      <c r="AX324" s="1202"/>
      <c r="AY324" s="1202"/>
      <c r="AZ324" s="1202"/>
      <c r="BA324" s="1202"/>
      <c r="BC324" s="1202"/>
      <c r="BE324" s="1202"/>
      <c r="BF324" s="1202"/>
      <c r="BG324" s="1202"/>
    </row>
    <row r="325" spans="18:59">
      <c r="R325" s="1202"/>
      <c r="S325" s="1202"/>
      <c r="W325" s="1202"/>
      <c r="X325" s="1202"/>
      <c r="AE325" s="1202"/>
      <c r="AF325" s="1202"/>
      <c r="AV325" s="1202"/>
      <c r="AW325" s="1202"/>
      <c r="AX325" s="1202"/>
      <c r="AY325" s="1202"/>
      <c r="AZ325" s="1202"/>
      <c r="BA325" s="1202"/>
      <c r="BC325" s="1202"/>
      <c r="BE325" s="1202"/>
      <c r="BF325" s="1202"/>
      <c r="BG325" s="1202"/>
    </row>
    <row r="326" spans="18:59">
      <c r="R326" s="1202"/>
      <c r="S326" s="1202"/>
      <c r="W326" s="1202"/>
      <c r="X326" s="1202"/>
      <c r="AE326" s="1202"/>
      <c r="AF326" s="1202"/>
      <c r="AV326" s="1202"/>
      <c r="AW326" s="1202"/>
      <c r="AX326" s="1202"/>
      <c r="AY326" s="1202"/>
      <c r="AZ326" s="1202"/>
      <c r="BA326" s="1202"/>
      <c r="BC326" s="1202"/>
      <c r="BE326" s="1202"/>
      <c r="BF326" s="1202"/>
      <c r="BG326" s="1202"/>
    </row>
    <row r="327" spans="18:59">
      <c r="R327" s="1202"/>
      <c r="S327" s="1202"/>
      <c r="W327" s="1202"/>
      <c r="X327" s="1202"/>
      <c r="AE327" s="1202"/>
      <c r="AF327" s="1202"/>
      <c r="AV327" s="1202"/>
      <c r="AW327" s="1202"/>
      <c r="AX327" s="1202"/>
      <c r="AY327" s="1202"/>
      <c r="AZ327" s="1202"/>
      <c r="BA327" s="1202"/>
      <c r="BC327" s="1202"/>
      <c r="BE327" s="1202"/>
      <c r="BF327" s="1202"/>
      <c r="BG327" s="1202"/>
    </row>
    <row r="328" spans="18:59">
      <c r="R328" s="1202"/>
      <c r="S328" s="1202"/>
      <c r="W328" s="1202"/>
      <c r="X328" s="1202"/>
      <c r="AE328" s="1202"/>
      <c r="AF328" s="1202"/>
      <c r="AV328" s="1202"/>
      <c r="AW328" s="1202"/>
      <c r="AX328" s="1202"/>
      <c r="AY328" s="1202"/>
      <c r="AZ328" s="1202"/>
      <c r="BA328" s="1202"/>
      <c r="BC328" s="1202"/>
      <c r="BE328" s="1202"/>
      <c r="BF328" s="1202"/>
      <c r="BG328" s="1202"/>
    </row>
    <row r="329" spans="18:59">
      <c r="R329" s="1202"/>
      <c r="S329" s="1202"/>
      <c r="W329" s="1202"/>
      <c r="X329" s="1202"/>
      <c r="AE329" s="1202"/>
      <c r="AF329" s="1202"/>
      <c r="AV329" s="1202"/>
      <c r="AW329" s="1202"/>
      <c r="AX329" s="1202"/>
      <c r="AY329" s="1202"/>
      <c r="AZ329" s="1202"/>
      <c r="BA329" s="1202"/>
      <c r="BC329" s="1202"/>
      <c r="BE329" s="1202"/>
      <c r="BF329" s="1202"/>
      <c r="BG329" s="1202"/>
    </row>
    <row r="330" spans="18:59">
      <c r="R330" s="1202"/>
      <c r="S330" s="1202"/>
      <c r="W330" s="1202"/>
      <c r="X330" s="1202"/>
      <c r="AE330" s="1202"/>
      <c r="AF330" s="1202"/>
      <c r="AV330" s="1202"/>
      <c r="AW330" s="1202"/>
      <c r="AX330" s="1202"/>
      <c r="AY330" s="1202"/>
      <c r="AZ330" s="1202"/>
      <c r="BA330" s="1202"/>
      <c r="BC330" s="1202"/>
      <c r="BE330" s="1202"/>
      <c r="BF330" s="1202"/>
      <c r="BG330" s="1202"/>
    </row>
    <row r="331" spans="18:59">
      <c r="R331" s="1202"/>
      <c r="S331" s="1202"/>
      <c r="W331" s="1202"/>
      <c r="X331" s="1202"/>
      <c r="AE331" s="1202"/>
      <c r="AF331" s="1202"/>
      <c r="AV331" s="1202"/>
      <c r="AW331" s="1202"/>
      <c r="AX331" s="1202"/>
      <c r="AY331" s="1202"/>
      <c r="AZ331" s="1202"/>
      <c r="BA331" s="1202"/>
      <c r="BC331" s="1202"/>
      <c r="BE331" s="1202"/>
      <c r="BF331" s="1202"/>
      <c r="BG331" s="1202"/>
    </row>
    <row r="332" spans="18:59">
      <c r="R332" s="1202"/>
      <c r="S332" s="1202"/>
      <c r="W332" s="1202"/>
      <c r="X332" s="1202"/>
      <c r="AE332" s="1202"/>
      <c r="AF332" s="1202"/>
      <c r="AV332" s="1202"/>
      <c r="AW332" s="1202"/>
      <c r="AX332" s="1202"/>
      <c r="AY332" s="1202"/>
      <c r="AZ332" s="1202"/>
      <c r="BA332" s="1202"/>
      <c r="BC332" s="1202"/>
      <c r="BE332" s="1202"/>
      <c r="BF332" s="1202"/>
      <c r="BG332" s="1202"/>
    </row>
    <row r="333" spans="18:59">
      <c r="R333" s="1202"/>
      <c r="S333" s="1202"/>
      <c r="W333" s="1202"/>
      <c r="X333" s="1202"/>
      <c r="AE333" s="1202"/>
      <c r="AF333" s="1202"/>
      <c r="AV333" s="1202"/>
      <c r="AW333" s="1202"/>
      <c r="AX333" s="1202"/>
      <c r="AY333" s="1202"/>
      <c r="AZ333" s="1202"/>
      <c r="BA333" s="1202"/>
      <c r="BC333" s="1202"/>
      <c r="BE333" s="1202"/>
      <c r="BF333" s="1202"/>
      <c r="BG333" s="1202"/>
    </row>
    <row r="334" spans="18:59">
      <c r="R334" s="1202"/>
      <c r="S334" s="1202"/>
      <c r="W334" s="1202"/>
      <c r="X334" s="1202"/>
      <c r="AE334" s="1202"/>
      <c r="AF334" s="1202"/>
      <c r="AV334" s="1202"/>
      <c r="AW334" s="1202"/>
      <c r="AX334" s="1202"/>
      <c r="AY334" s="1202"/>
      <c r="AZ334" s="1202"/>
      <c r="BA334" s="1202"/>
      <c r="BC334" s="1202"/>
      <c r="BE334" s="1202"/>
      <c r="BF334" s="1202"/>
      <c r="BG334" s="1202"/>
    </row>
    <row r="335" spans="18:59">
      <c r="R335" s="1202"/>
      <c r="S335" s="1202"/>
      <c r="W335" s="1202"/>
      <c r="X335" s="1202"/>
      <c r="AE335" s="1202"/>
      <c r="AF335" s="1202"/>
      <c r="AV335" s="1202"/>
      <c r="AW335" s="1202"/>
      <c r="AX335" s="1202"/>
      <c r="AY335" s="1202"/>
      <c r="AZ335" s="1202"/>
      <c r="BA335" s="1202"/>
      <c r="BC335" s="1202"/>
      <c r="BE335" s="1202"/>
      <c r="BF335" s="1202"/>
      <c r="BG335" s="1202"/>
    </row>
    <row r="336" spans="18:59">
      <c r="R336" s="1202"/>
      <c r="S336" s="1202"/>
      <c r="W336" s="1202"/>
      <c r="X336" s="1202"/>
      <c r="AE336" s="1202"/>
      <c r="AF336" s="1202"/>
      <c r="AV336" s="1202"/>
      <c r="AW336" s="1202"/>
      <c r="AX336" s="1202"/>
      <c r="AY336" s="1202"/>
      <c r="AZ336" s="1202"/>
      <c r="BA336" s="1202"/>
      <c r="BC336" s="1202"/>
      <c r="BE336" s="1202"/>
      <c r="BF336" s="1202"/>
      <c r="BG336" s="1202"/>
    </row>
    <row r="337" spans="18:59">
      <c r="R337" s="1202"/>
      <c r="S337" s="1202"/>
      <c r="W337" s="1202"/>
      <c r="X337" s="1202"/>
      <c r="AE337" s="1202"/>
      <c r="AF337" s="1202"/>
      <c r="AV337" s="1202"/>
      <c r="AW337" s="1202"/>
      <c r="AX337" s="1202"/>
      <c r="AY337" s="1202"/>
      <c r="AZ337" s="1202"/>
      <c r="BA337" s="1202"/>
      <c r="BC337" s="1202"/>
      <c r="BE337" s="1202"/>
      <c r="BF337" s="1202"/>
      <c r="BG337" s="1202"/>
    </row>
    <row r="338" spans="18:59">
      <c r="R338" s="1202"/>
      <c r="S338" s="1202"/>
      <c r="W338" s="1202"/>
      <c r="X338" s="1202"/>
      <c r="AE338" s="1202"/>
      <c r="AF338" s="1202"/>
      <c r="AV338" s="1202"/>
      <c r="AW338" s="1202"/>
      <c r="AX338" s="1202"/>
      <c r="AY338" s="1202"/>
      <c r="AZ338" s="1202"/>
      <c r="BA338" s="1202"/>
      <c r="BC338" s="1202"/>
      <c r="BE338" s="1202"/>
      <c r="BF338" s="1202"/>
      <c r="BG338" s="1202"/>
    </row>
    <row r="339" spans="18:59">
      <c r="R339" s="1202"/>
      <c r="S339" s="1202"/>
      <c r="W339" s="1202"/>
      <c r="X339" s="1202"/>
      <c r="AE339" s="1202"/>
      <c r="AF339" s="1202"/>
      <c r="AV339" s="1202"/>
      <c r="AW339" s="1202"/>
      <c r="AX339" s="1202"/>
      <c r="AY339" s="1202"/>
      <c r="AZ339" s="1202"/>
      <c r="BA339" s="1202"/>
      <c r="BC339" s="1202"/>
      <c r="BE339" s="1202"/>
      <c r="BF339" s="1202"/>
      <c r="BG339" s="1202"/>
    </row>
    <row r="340" spans="18:59">
      <c r="R340" s="1202"/>
      <c r="S340" s="1202"/>
      <c r="W340" s="1202"/>
      <c r="X340" s="1202"/>
      <c r="AE340" s="1202"/>
      <c r="AF340" s="1202"/>
      <c r="AV340" s="1202"/>
      <c r="AW340" s="1202"/>
      <c r="AX340" s="1202"/>
      <c r="AY340" s="1202"/>
      <c r="AZ340" s="1202"/>
      <c r="BA340" s="1202"/>
      <c r="BC340" s="1202"/>
      <c r="BE340" s="1202"/>
      <c r="BF340" s="1202"/>
      <c r="BG340" s="1202"/>
    </row>
    <row r="341" spans="18:59">
      <c r="R341" s="1202"/>
      <c r="S341" s="1202"/>
      <c r="W341" s="1202"/>
      <c r="X341" s="1202"/>
      <c r="AE341" s="1202"/>
      <c r="AF341" s="1202"/>
      <c r="AV341" s="1202"/>
      <c r="AW341" s="1202"/>
      <c r="AX341" s="1202"/>
      <c r="AY341" s="1202"/>
      <c r="AZ341" s="1202"/>
      <c r="BA341" s="1202"/>
      <c r="BC341" s="1202"/>
      <c r="BE341" s="1202"/>
      <c r="BF341" s="1202"/>
      <c r="BG341" s="1202"/>
    </row>
    <row r="342" spans="18:59">
      <c r="R342" s="1202"/>
      <c r="S342" s="1202"/>
      <c r="W342" s="1202"/>
      <c r="X342" s="1202"/>
      <c r="AE342" s="1202"/>
      <c r="AF342" s="1202"/>
      <c r="AV342" s="1202"/>
      <c r="AW342" s="1202"/>
      <c r="AX342" s="1202"/>
      <c r="AY342" s="1202"/>
      <c r="AZ342" s="1202"/>
      <c r="BA342" s="1202"/>
      <c r="BC342" s="1202"/>
      <c r="BE342" s="1202"/>
      <c r="BF342" s="1202"/>
      <c r="BG342" s="1202"/>
    </row>
    <row r="343" spans="18:59">
      <c r="R343" s="1202"/>
      <c r="S343" s="1202"/>
      <c r="W343" s="1202"/>
      <c r="X343" s="1202"/>
      <c r="AE343" s="1202"/>
      <c r="AF343" s="1202"/>
      <c r="AV343" s="1202"/>
      <c r="AW343" s="1202"/>
      <c r="AX343" s="1202"/>
      <c r="AY343" s="1202"/>
      <c r="AZ343" s="1202"/>
      <c r="BA343" s="1202"/>
      <c r="BC343" s="1202"/>
      <c r="BE343" s="1202"/>
      <c r="BF343" s="1202"/>
      <c r="BG343" s="1202"/>
    </row>
    <row r="344" spans="18:59">
      <c r="R344" s="1202"/>
      <c r="S344" s="1202"/>
      <c r="W344" s="1202"/>
      <c r="X344" s="1202"/>
      <c r="AE344" s="1202"/>
      <c r="AF344" s="1202"/>
      <c r="AV344" s="1202"/>
      <c r="AW344" s="1202"/>
      <c r="AX344" s="1202"/>
      <c r="AY344" s="1202"/>
      <c r="AZ344" s="1202"/>
      <c r="BA344" s="1202"/>
      <c r="BC344" s="1202"/>
      <c r="BE344" s="1202"/>
      <c r="BF344" s="1202"/>
      <c r="BG344" s="1202"/>
    </row>
    <row r="345" spans="18:59">
      <c r="R345" s="1202"/>
      <c r="S345" s="1202"/>
      <c r="W345" s="1202"/>
      <c r="X345" s="1202"/>
      <c r="AE345" s="1202"/>
      <c r="AF345" s="1202"/>
      <c r="AV345" s="1202"/>
      <c r="AW345" s="1202"/>
      <c r="AX345" s="1202"/>
      <c r="AY345" s="1202"/>
      <c r="AZ345" s="1202"/>
      <c r="BA345" s="1202"/>
      <c r="BC345" s="1202"/>
      <c r="BE345" s="1202"/>
      <c r="BF345" s="1202"/>
      <c r="BG345" s="1202"/>
    </row>
    <row r="346" spans="18:59">
      <c r="R346" s="1202"/>
      <c r="S346" s="1202"/>
      <c r="W346" s="1202"/>
      <c r="X346" s="1202"/>
      <c r="AE346" s="1202"/>
      <c r="AF346" s="1202"/>
      <c r="AV346" s="1202"/>
      <c r="AW346" s="1202"/>
      <c r="AX346" s="1202"/>
      <c r="AY346" s="1202"/>
      <c r="AZ346" s="1202"/>
      <c r="BA346" s="1202"/>
      <c r="BC346" s="1202"/>
      <c r="BE346" s="1202"/>
      <c r="BF346" s="1202"/>
      <c r="BG346" s="1202"/>
    </row>
    <row r="347" spans="18:59">
      <c r="R347" s="1202"/>
      <c r="S347" s="1202"/>
      <c r="W347" s="1202"/>
      <c r="X347" s="1202"/>
      <c r="AE347" s="1202"/>
      <c r="AF347" s="1202"/>
      <c r="AV347" s="1202"/>
      <c r="AW347" s="1202"/>
      <c r="AX347" s="1202"/>
      <c r="AY347" s="1202"/>
      <c r="AZ347" s="1202"/>
      <c r="BA347" s="1202"/>
      <c r="BC347" s="1202"/>
      <c r="BE347" s="1202"/>
      <c r="BF347" s="1202"/>
      <c r="BG347" s="1202"/>
    </row>
    <row r="348" spans="18:59">
      <c r="R348" s="1202"/>
      <c r="S348" s="1202"/>
      <c r="W348" s="1202"/>
      <c r="X348" s="1202"/>
      <c r="AE348" s="1202"/>
      <c r="AF348" s="1202"/>
      <c r="AV348" s="1202"/>
      <c r="AW348" s="1202"/>
      <c r="AX348" s="1202"/>
      <c r="AY348" s="1202"/>
      <c r="AZ348" s="1202"/>
      <c r="BA348" s="1202"/>
      <c r="BC348" s="1202"/>
      <c r="BE348" s="1202"/>
      <c r="BF348" s="1202"/>
      <c r="BG348" s="1202"/>
    </row>
    <row r="349" spans="18:59">
      <c r="R349" s="1202"/>
      <c r="S349" s="1202"/>
      <c r="W349" s="1202"/>
      <c r="X349" s="1202"/>
      <c r="AE349" s="1202"/>
      <c r="AF349" s="1202"/>
      <c r="AV349" s="1202"/>
      <c r="AW349" s="1202"/>
      <c r="AX349" s="1202"/>
      <c r="AY349" s="1202"/>
      <c r="AZ349" s="1202"/>
      <c r="BA349" s="1202"/>
      <c r="BC349" s="1202"/>
      <c r="BE349" s="1202"/>
      <c r="BF349" s="1202"/>
      <c r="BG349" s="1202"/>
    </row>
    <row r="350" spans="18:59">
      <c r="R350" s="1202"/>
      <c r="S350" s="1202"/>
      <c r="W350" s="1202"/>
      <c r="X350" s="1202"/>
      <c r="AE350" s="1202"/>
      <c r="AF350" s="1202"/>
      <c r="AV350" s="1202"/>
      <c r="AW350" s="1202"/>
      <c r="AX350" s="1202"/>
      <c r="AY350" s="1202"/>
      <c r="AZ350" s="1202"/>
      <c r="BA350" s="1202"/>
      <c r="BC350" s="1202"/>
      <c r="BE350" s="1202"/>
      <c r="BF350" s="1202"/>
      <c r="BG350" s="1202"/>
    </row>
    <row r="351" spans="18:59">
      <c r="R351" s="1202"/>
      <c r="S351" s="1202"/>
      <c r="W351" s="1202"/>
      <c r="X351" s="1202"/>
      <c r="AE351" s="1202"/>
      <c r="AF351" s="1202"/>
      <c r="AV351" s="1202"/>
      <c r="AW351" s="1202"/>
      <c r="AX351" s="1202"/>
      <c r="AY351" s="1202"/>
      <c r="AZ351" s="1202"/>
      <c r="BA351" s="1202"/>
      <c r="BC351" s="1202"/>
      <c r="BE351" s="1202"/>
      <c r="BF351" s="1202"/>
      <c r="BG351" s="1202"/>
    </row>
    <row r="352" spans="18:59">
      <c r="R352" s="1202"/>
      <c r="S352" s="1202"/>
      <c r="W352" s="1202"/>
      <c r="X352" s="1202"/>
      <c r="AE352" s="1202"/>
      <c r="AF352" s="1202"/>
      <c r="AV352" s="1202"/>
      <c r="AW352" s="1202"/>
      <c r="AX352" s="1202"/>
      <c r="AY352" s="1202"/>
      <c r="AZ352" s="1202"/>
      <c r="BA352" s="1202"/>
      <c r="BC352" s="1202"/>
      <c r="BE352" s="1202"/>
      <c r="BF352" s="1202"/>
      <c r="BG352" s="1202"/>
    </row>
    <row r="353" spans="18:59">
      <c r="R353" s="1202"/>
      <c r="S353" s="1202"/>
      <c r="W353" s="1202"/>
      <c r="X353" s="1202"/>
      <c r="AE353" s="1202"/>
      <c r="AF353" s="1202"/>
      <c r="AV353" s="1202"/>
      <c r="AW353" s="1202"/>
      <c r="AX353" s="1202"/>
      <c r="AY353" s="1202"/>
      <c r="AZ353" s="1202"/>
      <c r="BA353" s="1202"/>
      <c r="BC353" s="1202"/>
      <c r="BE353" s="1202"/>
      <c r="BF353" s="1202"/>
      <c r="BG353" s="1202"/>
    </row>
    <row r="354" spans="18:59">
      <c r="R354" s="1202"/>
      <c r="S354" s="1202"/>
      <c r="W354" s="1202"/>
      <c r="X354" s="1202"/>
      <c r="AE354" s="1202"/>
      <c r="AF354" s="1202"/>
      <c r="AV354" s="1202"/>
      <c r="AW354" s="1202"/>
      <c r="AX354" s="1202"/>
      <c r="AY354" s="1202"/>
      <c r="AZ354" s="1202"/>
      <c r="BA354" s="1202"/>
      <c r="BC354" s="1202"/>
      <c r="BE354" s="1202"/>
      <c r="BF354" s="1202"/>
      <c r="BG354" s="1202"/>
    </row>
    <row r="355" spans="18:59">
      <c r="R355" s="1202"/>
      <c r="S355" s="1202"/>
      <c r="W355" s="1202"/>
      <c r="X355" s="1202"/>
      <c r="AE355" s="1202"/>
      <c r="AF355" s="1202"/>
      <c r="AV355" s="1202"/>
      <c r="AW355" s="1202"/>
      <c r="AX355" s="1202"/>
      <c r="AY355" s="1202"/>
      <c r="AZ355" s="1202"/>
      <c r="BA355" s="1202"/>
      <c r="BC355" s="1202"/>
      <c r="BE355" s="1202"/>
      <c r="BF355" s="1202"/>
      <c r="BG355" s="1202"/>
    </row>
    <row r="356" spans="18:59">
      <c r="R356" s="1202"/>
      <c r="S356" s="1202"/>
      <c r="W356" s="1202"/>
      <c r="X356" s="1202"/>
      <c r="AE356" s="1202"/>
      <c r="AF356" s="1202"/>
      <c r="AV356" s="1202"/>
      <c r="AW356" s="1202"/>
      <c r="AX356" s="1202"/>
      <c r="AY356" s="1202"/>
      <c r="AZ356" s="1202"/>
      <c r="BA356" s="1202"/>
      <c r="BC356" s="1202"/>
      <c r="BE356" s="1202"/>
      <c r="BF356" s="1202"/>
      <c r="BG356" s="1202"/>
    </row>
    <row r="357" spans="18:59">
      <c r="R357" s="1202"/>
      <c r="S357" s="1202"/>
      <c r="W357" s="1202"/>
      <c r="X357" s="1202"/>
      <c r="AE357" s="1202"/>
      <c r="AF357" s="1202"/>
      <c r="AV357" s="1202"/>
      <c r="AW357" s="1202"/>
      <c r="AX357" s="1202"/>
      <c r="AY357" s="1202"/>
      <c r="AZ357" s="1202"/>
      <c r="BA357" s="1202"/>
      <c r="BC357" s="1202"/>
      <c r="BE357" s="1202"/>
      <c r="BF357" s="1202"/>
      <c r="BG357" s="1202"/>
    </row>
    <row r="358" spans="18:59">
      <c r="R358" s="1202"/>
      <c r="S358" s="1202"/>
      <c r="W358" s="1202"/>
      <c r="X358" s="1202"/>
      <c r="AE358" s="1202"/>
      <c r="AF358" s="1202"/>
      <c r="AV358" s="1202"/>
      <c r="AW358" s="1202"/>
      <c r="AX358" s="1202"/>
      <c r="AY358" s="1202"/>
      <c r="AZ358" s="1202"/>
      <c r="BA358" s="1202"/>
      <c r="BC358" s="1202"/>
      <c r="BE358" s="1202"/>
      <c r="BF358" s="1202"/>
      <c r="BG358" s="1202"/>
    </row>
    <row r="359" spans="18:59">
      <c r="R359" s="1202"/>
      <c r="S359" s="1202"/>
      <c r="W359" s="1202"/>
      <c r="X359" s="1202"/>
      <c r="AE359" s="1202"/>
      <c r="AF359" s="1202"/>
      <c r="AV359" s="1202"/>
      <c r="AW359" s="1202"/>
      <c r="AX359" s="1202"/>
      <c r="AY359" s="1202"/>
      <c r="AZ359" s="1202"/>
      <c r="BA359" s="1202"/>
      <c r="BC359" s="1202"/>
      <c r="BE359" s="1202"/>
      <c r="BF359" s="1202"/>
      <c r="BG359" s="1202"/>
    </row>
    <row r="360" spans="18:59">
      <c r="R360" s="1202"/>
      <c r="S360" s="1202"/>
      <c r="W360" s="1202"/>
      <c r="X360" s="1202"/>
      <c r="AE360" s="1202"/>
      <c r="AF360" s="1202"/>
      <c r="AV360" s="1202"/>
      <c r="AW360" s="1202"/>
      <c r="AX360" s="1202"/>
      <c r="AY360" s="1202"/>
      <c r="AZ360" s="1202"/>
      <c r="BA360" s="1202"/>
      <c r="BC360" s="1202"/>
      <c r="BE360" s="1202"/>
      <c r="BF360" s="1202"/>
      <c r="BG360" s="1202"/>
    </row>
    <row r="361" spans="18:59">
      <c r="R361" s="1202"/>
      <c r="S361" s="1202"/>
      <c r="W361" s="1202"/>
      <c r="X361" s="1202"/>
      <c r="AE361" s="1202"/>
      <c r="AF361" s="1202"/>
      <c r="AV361" s="1202"/>
      <c r="AW361" s="1202"/>
      <c r="AX361" s="1202"/>
      <c r="AY361" s="1202"/>
      <c r="AZ361" s="1202"/>
      <c r="BA361" s="1202"/>
      <c r="BC361" s="1202"/>
      <c r="BE361" s="1202"/>
      <c r="BF361" s="1202"/>
      <c r="BG361" s="1202"/>
    </row>
    <row r="362" spans="18:59">
      <c r="R362" s="1202"/>
      <c r="S362" s="1202"/>
      <c r="W362" s="1202"/>
      <c r="X362" s="1202"/>
      <c r="AE362" s="1202"/>
      <c r="AF362" s="1202"/>
      <c r="AV362" s="1202"/>
      <c r="AW362" s="1202"/>
      <c r="AX362" s="1202"/>
      <c r="AY362" s="1202"/>
      <c r="AZ362" s="1202"/>
      <c r="BA362" s="1202"/>
      <c r="BC362" s="1202"/>
      <c r="BE362" s="1202"/>
      <c r="BF362" s="1202"/>
      <c r="BG362" s="1202"/>
    </row>
    <row r="363" spans="18:59">
      <c r="R363" s="1202"/>
      <c r="S363" s="1202"/>
      <c r="W363" s="1202"/>
      <c r="X363" s="1202"/>
      <c r="AE363" s="1202"/>
      <c r="AF363" s="1202"/>
      <c r="AV363" s="1202"/>
      <c r="AW363" s="1202"/>
      <c r="AX363" s="1202"/>
      <c r="AY363" s="1202"/>
      <c r="AZ363" s="1202"/>
      <c r="BA363" s="1202"/>
      <c r="BC363" s="1202"/>
      <c r="BE363" s="1202"/>
      <c r="BF363" s="1202"/>
      <c r="BG363" s="1202"/>
    </row>
    <row r="364" spans="18:59">
      <c r="R364" s="1202"/>
      <c r="S364" s="1202"/>
      <c r="W364" s="1202"/>
      <c r="X364" s="1202"/>
      <c r="AE364" s="1202"/>
      <c r="AF364" s="1202"/>
      <c r="AV364" s="1202"/>
      <c r="AW364" s="1202"/>
      <c r="AX364" s="1202"/>
      <c r="AY364" s="1202"/>
      <c r="AZ364" s="1202"/>
      <c r="BA364" s="1202"/>
      <c r="BC364" s="1202"/>
      <c r="BE364" s="1202"/>
      <c r="BF364" s="1202"/>
      <c r="BG364" s="1202"/>
    </row>
    <row r="365" spans="18:59">
      <c r="R365" s="1202"/>
      <c r="S365" s="1202"/>
      <c r="W365" s="1202"/>
      <c r="X365" s="1202"/>
      <c r="AE365" s="1202"/>
      <c r="AF365" s="1202"/>
      <c r="AV365" s="1202"/>
      <c r="AW365" s="1202"/>
      <c r="AX365" s="1202"/>
      <c r="AY365" s="1202"/>
      <c r="AZ365" s="1202"/>
      <c r="BA365" s="1202"/>
      <c r="BC365" s="1202"/>
      <c r="BE365" s="1202"/>
      <c r="BF365" s="1202"/>
      <c r="BG365" s="1202"/>
    </row>
    <row r="366" spans="18:59">
      <c r="R366" s="1202"/>
      <c r="S366" s="1202"/>
      <c r="W366" s="1202"/>
      <c r="X366" s="1202"/>
      <c r="AE366" s="1202"/>
      <c r="AF366" s="1202"/>
      <c r="AV366" s="1202"/>
      <c r="AW366" s="1202"/>
      <c r="AX366" s="1202"/>
      <c r="AY366" s="1202"/>
      <c r="AZ366" s="1202"/>
      <c r="BA366" s="1202"/>
      <c r="BC366" s="1202"/>
      <c r="BE366" s="1202"/>
      <c r="BF366" s="1202"/>
      <c r="BG366" s="1202"/>
    </row>
    <row r="367" spans="18:59">
      <c r="R367" s="1202"/>
      <c r="S367" s="1202"/>
      <c r="W367" s="1202"/>
      <c r="X367" s="1202"/>
      <c r="AE367" s="1202"/>
      <c r="AF367" s="1202"/>
      <c r="AV367" s="1202"/>
      <c r="AW367" s="1202"/>
      <c r="AX367" s="1202"/>
      <c r="AY367" s="1202"/>
      <c r="AZ367" s="1202"/>
      <c r="BA367" s="1202"/>
      <c r="BC367" s="1202"/>
      <c r="BE367" s="1202"/>
      <c r="BF367" s="1202"/>
      <c r="BG367" s="1202"/>
    </row>
    <row r="368" spans="18:59">
      <c r="R368" s="1202"/>
      <c r="S368" s="1202"/>
      <c r="W368" s="1202"/>
      <c r="X368" s="1202"/>
      <c r="AE368" s="1202"/>
      <c r="AF368" s="1202"/>
      <c r="AV368" s="1202"/>
      <c r="AW368" s="1202"/>
      <c r="AX368" s="1202"/>
      <c r="AY368" s="1202"/>
      <c r="AZ368" s="1202"/>
      <c r="BA368" s="1202"/>
      <c r="BC368" s="1202"/>
      <c r="BE368" s="1202"/>
      <c r="BF368" s="1202"/>
      <c r="BG368" s="1202"/>
    </row>
    <row r="369" spans="18:59">
      <c r="R369" s="1202"/>
      <c r="S369" s="1202"/>
      <c r="W369" s="1202"/>
      <c r="X369" s="1202"/>
      <c r="AE369" s="1202"/>
      <c r="AF369" s="1202"/>
      <c r="AV369" s="1202"/>
      <c r="AW369" s="1202"/>
      <c r="AX369" s="1202"/>
      <c r="AY369" s="1202"/>
      <c r="AZ369" s="1202"/>
      <c r="BA369" s="1202"/>
      <c r="BC369" s="1202"/>
      <c r="BE369" s="1202"/>
      <c r="BF369" s="1202"/>
      <c r="BG369" s="1202"/>
    </row>
    <row r="370" spans="18:59">
      <c r="R370" s="1202"/>
      <c r="S370" s="1202"/>
      <c r="W370" s="1202"/>
      <c r="X370" s="1202"/>
      <c r="AE370" s="1202"/>
      <c r="AF370" s="1202"/>
      <c r="AV370" s="1202"/>
      <c r="AW370" s="1202"/>
      <c r="AX370" s="1202"/>
      <c r="AY370" s="1202"/>
      <c r="AZ370" s="1202"/>
      <c r="BA370" s="1202"/>
      <c r="BC370" s="1202"/>
      <c r="BE370" s="1202"/>
      <c r="BF370" s="1202"/>
      <c r="BG370" s="1202"/>
    </row>
    <row r="371" spans="18:59">
      <c r="R371" s="1202"/>
      <c r="S371" s="1202"/>
      <c r="W371" s="1202"/>
      <c r="X371" s="1202"/>
      <c r="AE371" s="1202"/>
      <c r="AF371" s="1202"/>
      <c r="AV371" s="1202"/>
      <c r="AW371" s="1202"/>
      <c r="AX371" s="1202"/>
      <c r="AY371" s="1202"/>
      <c r="AZ371" s="1202"/>
      <c r="BA371" s="1202"/>
      <c r="BC371" s="1202"/>
      <c r="BE371" s="1202"/>
      <c r="BF371" s="1202"/>
      <c r="BG371" s="1202"/>
    </row>
    <row r="372" spans="18:59">
      <c r="R372" s="1202"/>
      <c r="S372" s="1202"/>
      <c r="W372" s="1202"/>
      <c r="X372" s="1202"/>
      <c r="AE372" s="1202"/>
      <c r="AF372" s="1202"/>
      <c r="AV372" s="1202"/>
      <c r="AW372" s="1202"/>
      <c r="AX372" s="1202"/>
      <c r="AY372" s="1202"/>
      <c r="AZ372" s="1202"/>
      <c r="BA372" s="1202"/>
      <c r="BC372" s="1202"/>
      <c r="BE372" s="1202"/>
      <c r="BF372" s="1202"/>
      <c r="BG372" s="1202"/>
    </row>
    <row r="373" spans="18:59">
      <c r="R373" s="1202"/>
      <c r="S373" s="1202"/>
      <c r="W373" s="1202"/>
      <c r="X373" s="1202"/>
      <c r="AE373" s="1202"/>
      <c r="AF373" s="1202"/>
      <c r="AV373" s="1202"/>
      <c r="AW373" s="1202"/>
      <c r="AX373" s="1202"/>
      <c r="AY373" s="1202"/>
      <c r="AZ373" s="1202"/>
      <c r="BA373" s="1202"/>
      <c r="BC373" s="1202"/>
      <c r="BE373" s="1202"/>
      <c r="BF373" s="1202"/>
      <c r="BG373" s="1202"/>
    </row>
    <row r="374" spans="18:59">
      <c r="R374" s="1202"/>
      <c r="S374" s="1202"/>
      <c r="W374" s="1202"/>
      <c r="X374" s="1202"/>
      <c r="AE374" s="1202"/>
      <c r="AF374" s="1202"/>
      <c r="AV374" s="1202"/>
      <c r="AW374" s="1202"/>
      <c r="AX374" s="1202"/>
      <c r="AY374" s="1202"/>
      <c r="AZ374" s="1202"/>
      <c r="BA374" s="1202"/>
      <c r="BC374" s="1202"/>
      <c r="BE374" s="1202"/>
      <c r="BF374" s="1202"/>
      <c r="BG374" s="1202"/>
    </row>
    <row r="375" spans="18:59">
      <c r="R375" s="1202"/>
      <c r="S375" s="1202"/>
      <c r="W375" s="1202"/>
      <c r="X375" s="1202"/>
      <c r="AE375" s="1202"/>
      <c r="AF375" s="1202"/>
      <c r="AV375" s="1202"/>
      <c r="AW375" s="1202"/>
      <c r="AX375" s="1202"/>
      <c r="AY375" s="1202"/>
      <c r="AZ375" s="1202"/>
      <c r="BA375" s="1202"/>
      <c r="BC375" s="1202"/>
      <c r="BE375" s="1202"/>
      <c r="BF375" s="1202"/>
      <c r="BG375" s="1202"/>
    </row>
    <row r="376" spans="18:59">
      <c r="R376" s="1202"/>
      <c r="S376" s="1202"/>
      <c r="W376" s="1202"/>
      <c r="X376" s="1202"/>
      <c r="AE376" s="1202"/>
      <c r="AF376" s="1202"/>
      <c r="AV376" s="1202"/>
      <c r="AW376" s="1202"/>
      <c r="AX376" s="1202"/>
      <c r="AY376" s="1202"/>
      <c r="AZ376" s="1202"/>
      <c r="BA376" s="1202"/>
      <c r="BC376" s="1202"/>
      <c r="BE376" s="1202"/>
      <c r="BF376" s="1202"/>
      <c r="BG376" s="1202"/>
    </row>
    <row r="377" spans="18:59">
      <c r="R377" s="1202"/>
      <c r="S377" s="1202"/>
      <c r="W377" s="1202"/>
      <c r="X377" s="1202"/>
      <c r="AE377" s="1202"/>
      <c r="AF377" s="1202"/>
      <c r="AV377" s="1202"/>
      <c r="AW377" s="1202"/>
      <c r="AX377" s="1202"/>
      <c r="AY377" s="1202"/>
      <c r="AZ377" s="1202"/>
      <c r="BA377" s="1202"/>
      <c r="BC377" s="1202"/>
      <c r="BE377" s="1202"/>
      <c r="BF377" s="1202"/>
      <c r="BG377" s="1202"/>
    </row>
    <row r="378" spans="18:59">
      <c r="R378" s="1202"/>
      <c r="S378" s="1202"/>
      <c r="W378" s="1202"/>
      <c r="X378" s="1202"/>
      <c r="AE378" s="1202"/>
      <c r="AF378" s="1202"/>
      <c r="AV378" s="1202"/>
      <c r="AW378" s="1202"/>
      <c r="AX378" s="1202"/>
      <c r="AY378" s="1202"/>
      <c r="AZ378" s="1202"/>
      <c r="BA378" s="1202"/>
      <c r="BC378" s="1202"/>
      <c r="BE378" s="1202"/>
      <c r="BF378" s="1202"/>
      <c r="BG378" s="1202"/>
    </row>
    <row r="379" spans="18:59">
      <c r="R379" s="1202"/>
      <c r="S379" s="1202"/>
      <c r="W379" s="1202"/>
      <c r="X379" s="1202"/>
      <c r="AE379" s="1202"/>
      <c r="AF379" s="1202"/>
      <c r="AV379" s="1202"/>
      <c r="AW379" s="1202"/>
      <c r="AX379" s="1202"/>
      <c r="AY379" s="1202"/>
      <c r="AZ379" s="1202"/>
      <c r="BA379" s="1202"/>
      <c r="BC379" s="1202"/>
      <c r="BE379" s="1202"/>
      <c r="BF379" s="1202"/>
      <c r="BG379" s="1202"/>
    </row>
    <row r="380" spans="18:59">
      <c r="R380" s="1202"/>
      <c r="S380" s="1202"/>
      <c r="W380" s="1202"/>
      <c r="X380" s="1202"/>
      <c r="AE380" s="1202"/>
      <c r="AF380" s="1202"/>
      <c r="AV380" s="1202"/>
      <c r="AW380" s="1202"/>
      <c r="AX380" s="1202"/>
      <c r="AY380" s="1202"/>
      <c r="AZ380" s="1202"/>
      <c r="BA380" s="1202"/>
      <c r="BC380" s="1202"/>
      <c r="BE380" s="1202"/>
      <c r="BF380" s="1202"/>
      <c r="BG380" s="1202"/>
    </row>
    <row r="381" spans="18:59">
      <c r="R381" s="1202"/>
      <c r="S381" s="1202"/>
      <c r="W381" s="1202"/>
      <c r="X381" s="1202"/>
      <c r="AE381" s="1202"/>
      <c r="AF381" s="1202"/>
      <c r="AV381" s="1202"/>
      <c r="AW381" s="1202"/>
      <c r="AX381" s="1202"/>
      <c r="AY381" s="1202"/>
      <c r="AZ381" s="1202"/>
      <c r="BA381" s="1202"/>
      <c r="BC381" s="1202"/>
      <c r="BE381" s="1202"/>
      <c r="BF381" s="1202"/>
      <c r="BG381" s="1202"/>
    </row>
    <row r="382" spans="18:59">
      <c r="R382" s="1202"/>
      <c r="S382" s="1202"/>
      <c r="W382" s="1202"/>
      <c r="X382" s="1202"/>
      <c r="AE382" s="1202"/>
      <c r="AF382" s="1202"/>
      <c r="AV382" s="1202"/>
      <c r="AW382" s="1202"/>
      <c r="AX382" s="1202"/>
      <c r="AY382" s="1202"/>
      <c r="AZ382" s="1202"/>
      <c r="BA382" s="1202"/>
      <c r="BC382" s="1202"/>
      <c r="BE382" s="1202"/>
      <c r="BF382" s="1202"/>
      <c r="BG382" s="1202"/>
    </row>
    <row r="383" spans="18:59">
      <c r="R383" s="1202"/>
      <c r="S383" s="1202"/>
      <c r="W383" s="1202"/>
      <c r="X383" s="1202"/>
      <c r="AE383" s="1202"/>
      <c r="AF383" s="1202"/>
      <c r="AV383" s="1202"/>
      <c r="AW383" s="1202"/>
      <c r="AX383" s="1202"/>
      <c r="AY383" s="1202"/>
      <c r="AZ383" s="1202"/>
      <c r="BA383" s="1202"/>
      <c r="BC383" s="1202"/>
      <c r="BE383" s="1202"/>
      <c r="BF383" s="1202"/>
      <c r="BG383" s="1202"/>
    </row>
    <row r="384" spans="18:59">
      <c r="R384" s="1202"/>
      <c r="S384" s="1202"/>
      <c r="W384" s="1202"/>
      <c r="X384" s="1202"/>
      <c r="AE384" s="1202"/>
      <c r="AF384" s="1202"/>
      <c r="AV384" s="1202"/>
      <c r="AW384" s="1202"/>
      <c r="AX384" s="1202"/>
      <c r="AY384" s="1202"/>
      <c r="AZ384" s="1202"/>
      <c r="BA384" s="1202"/>
      <c r="BC384" s="1202"/>
      <c r="BE384" s="1202"/>
      <c r="BF384" s="1202"/>
      <c r="BG384" s="1202"/>
    </row>
    <row r="385" spans="18:59">
      <c r="R385" s="1202"/>
      <c r="S385" s="1202"/>
      <c r="W385" s="1202"/>
      <c r="X385" s="1202"/>
      <c r="AE385" s="1202"/>
      <c r="AF385" s="1202"/>
      <c r="AV385" s="1202"/>
      <c r="AW385" s="1202"/>
      <c r="AX385" s="1202"/>
      <c r="AY385" s="1202"/>
      <c r="AZ385" s="1202"/>
      <c r="BA385" s="1202"/>
      <c r="BC385" s="1202"/>
      <c r="BE385" s="1202"/>
      <c r="BF385" s="1202"/>
      <c r="BG385" s="1202"/>
    </row>
    <row r="386" spans="18:59">
      <c r="R386" s="1202"/>
      <c r="S386" s="1202"/>
      <c r="W386" s="1202"/>
      <c r="X386" s="1202"/>
      <c r="AE386" s="1202"/>
      <c r="AF386" s="1202"/>
      <c r="AV386" s="1202"/>
      <c r="AW386" s="1202"/>
      <c r="AX386" s="1202"/>
      <c r="AY386" s="1202"/>
      <c r="AZ386" s="1202"/>
      <c r="BA386" s="1202"/>
      <c r="BC386" s="1202"/>
      <c r="BE386" s="1202"/>
      <c r="BF386" s="1202"/>
      <c r="BG386" s="1202"/>
    </row>
    <row r="387" spans="18:59">
      <c r="R387" s="1202"/>
      <c r="S387" s="1202"/>
      <c r="W387" s="1202"/>
      <c r="X387" s="1202"/>
      <c r="AE387" s="1202"/>
      <c r="AF387" s="1202"/>
      <c r="AV387" s="1202"/>
      <c r="AW387" s="1202"/>
      <c r="AX387" s="1202"/>
      <c r="AY387" s="1202"/>
      <c r="AZ387" s="1202"/>
      <c r="BA387" s="1202"/>
      <c r="BC387" s="1202"/>
      <c r="BE387" s="1202"/>
      <c r="BF387" s="1202"/>
      <c r="BG387" s="1202"/>
    </row>
    <row r="388" spans="18:59">
      <c r="R388" s="1202"/>
      <c r="S388" s="1202"/>
      <c r="W388" s="1202"/>
      <c r="X388" s="1202"/>
      <c r="AE388" s="1202"/>
      <c r="AF388" s="1202"/>
      <c r="AV388" s="1202"/>
      <c r="AW388" s="1202"/>
      <c r="AX388" s="1202"/>
      <c r="AY388" s="1202"/>
      <c r="AZ388" s="1202"/>
      <c r="BA388" s="1202"/>
      <c r="BC388" s="1202"/>
      <c r="BE388" s="1202"/>
      <c r="BF388" s="1202"/>
      <c r="BG388" s="1202"/>
    </row>
    <row r="389" spans="18:59">
      <c r="R389" s="1202"/>
      <c r="S389" s="1202"/>
      <c r="W389" s="1202"/>
      <c r="X389" s="1202"/>
      <c r="AE389" s="1202"/>
      <c r="AF389" s="1202"/>
      <c r="AV389" s="1202"/>
      <c r="AW389" s="1202"/>
      <c r="AX389" s="1202"/>
      <c r="AY389" s="1202"/>
      <c r="AZ389" s="1202"/>
      <c r="BA389" s="1202"/>
      <c r="BC389" s="1202"/>
      <c r="BE389" s="1202"/>
      <c r="BF389" s="1202"/>
      <c r="BG389" s="1202"/>
    </row>
    <row r="390" spans="18:59">
      <c r="R390" s="1202"/>
      <c r="S390" s="1202"/>
      <c r="W390" s="1202"/>
      <c r="X390" s="1202"/>
      <c r="AE390" s="1202"/>
      <c r="AF390" s="1202"/>
      <c r="AV390" s="1202"/>
      <c r="AW390" s="1202"/>
      <c r="AX390" s="1202"/>
      <c r="AY390" s="1202"/>
      <c r="AZ390" s="1202"/>
      <c r="BA390" s="1202"/>
      <c r="BC390" s="1202"/>
      <c r="BE390" s="1202"/>
      <c r="BF390" s="1202"/>
      <c r="BG390" s="1202"/>
    </row>
    <row r="391" spans="18:59">
      <c r="R391" s="1202"/>
      <c r="S391" s="1202"/>
      <c r="W391" s="1202"/>
      <c r="X391" s="1202"/>
      <c r="AE391" s="1202"/>
      <c r="AF391" s="1202"/>
      <c r="AV391" s="1202"/>
      <c r="AW391" s="1202"/>
      <c r="AX391" s="1202"/>
      <c r="AY391" s="1202"/>
      <c r="AZ391" s="1202"/>
      <c r="BA391" s="1202"/>
      <c r="BC391" s="1202"/>
      <c r="BE391" s="1202"/>
      <c r="BF391" s="1202"/>
      <c r="BG391" s="1202"/>
    </row>
    <row r="392" spans="18:59">
      <c r="R392" s="1202"/>
      <c r="S392" s="1202"/>
      <c r="W392" s="1202"/>
      <c r="X392" s="1202"/>
      <c r="AE392" s="1202"/>
      <c r="AF392" s="1202"/>
      <c r="AV392" s="1202"/>
      <c r="AW392" s="1202"/>
      <c r="AX392" s="1202"/>
      <c r="AY392" s="1202"/>
      <c r="AZ392" s="1202"/>
      <c r="BA392" s="1202"/>
      <c r="BC392" s="1202"/>
      <c r="BE392" s="1202"/>
      <c r="BF392" s="1202"/>
      <c r="BG392" s="1202"/>
    </row>
    <row r="393" spans="18:59">
      <c r="R393" s="1202"/>
      <c r="S393" s="1202"/>
      <c r="W393" s="1202"/>
      <c r="X393" s="1202"/>
      <c r="AE393" s="1202"/>
      <c r="AF393" s="1202"/>
      <c r="AV393" s="1202"/>
      <c r="AW393" s="1202"/>
      <c r="AX393" s="1202"/>
      <c r="AY393" s="1202"/>
      <c r="AZ393" s="1202"/>
      <c r="BA393" s="1202"/>
      <c r="BC393" s="1202"/>
      <c r="BE393" s="1202"/>
      <c r="BF393" s="1202"/>
      <c r="BG393" s="1202"/>
    </row>
    <row r="394" spans="18:59">
      <c r="R394" s="1202"/>
      <c r="S394" s="1202"/>
      <c r="W394" s="1202"/>
      <c r="X394" s="1202"/>
      <c r="AE394" s="1202"/>
      <c r="AF394" s="1202"/>
      <c r="AV394" s="1202"/>
      <c r="AW394" s="1202"/>
      <c r="AX394" s="1202"/>
      <c r="AY394" s="1202"/>
      <c r="AZ394" s="1202"/>
      <c r="BA394" s="1202"/>
      <c r="BC394" s="1202"/>
      <c r="BE394" s="1202"/>
      <c r="BF394" s="1202"/>
      <c r="BG394" s="1202"/>
    </row>
    <row r="395" spans="18:59">
      <c r="R395" s="1202"/>
      <c r="S395" s="1202"/>
      <c r="W395" s="1202"/>
      <c r="X395" s="1202"/>
      <c r="AE395" s="1202"/>
      <c r="AF395" s="1202"/>
      <c r="AV395" s="1202"/>
      <c r="AW395" s="1202"/>
      <c r="AX395" s="1202"/>
      <c r="AY395" s="1202"/>
      <c r="AZ395" s="1202"/>
      <c r="BA395" s="1202"/>
      <c r="BC395" s="1202"/>
      <c r="BE395" s="1202"/>
      <c r="BF395" s="1202"/>
      <c r="BG395" s="1202"/>
    </row>
    <row r="396" spans="18:59">
      <c r="R396" s="1202"/>
      <c r="S396" s="1202"/>
      <c r="W396" s="1202"/>
      <c r="X396" s="1202"/>
      <c r="AE396" s="1202"/>
      <c r="AF396" s="1202"/>
      <c r="AV396" s="1202"/>
      <c r="AW396" s="1202"/>
      <c r="AX396" s="1202"/>
      <c r="AY396" s="1202"/>
      <c r="AZ396" s="1202"/>
      <c r="BA396" s="1202"/>
      <c r="BC396" s="1202"/>
      <c r="BE396" s="1202"/>
      <c r="BF396" s="1202"/>
      <c r="BG396" s="1202"/>
    </row>
    <row r="397" spans="18:59">
      <c r="R397" s="1202"/>
      <c r="S397" s="1202"/>
      <c r="W397" s="1202"/>
      <c r="X397" s="1202"/>
      <c r="AE397" s="1202"/>
      <c r="AF397" s="1202"/>
      <c r="AV397" s="1202"/>
      <c r="AW397" s="1202"/>
      <c r="AX397" s="1202"/>
      <c r="AY397" s="1202"/>
      <c r="AZ397" s="1202"/>
      <c r="BA397" s="1202"/>
      <c r="BC397" s="1202"/>
      <c r="BE397" s="1202"/>
      <c r="BF397" s="1202"/>
      <c r="BG397" s="1202"/>
    </row>
    <row r="398" spans="18:59">
      <c r="R398" s="1202"/>
      <c r="S398" s="1202"/>
      <c r="W398" s="1202"/>
      <c r="X398" s="1202"/>
      <c r="AE398" s="1202"/>
      <c r="AF398" s="1202"/>
      <c r="AV398" s="1202"/>
      <c r="AW398" s="1202"/>
      <c r="AX398" s="1202"/>
      <c r="AY398" s="1202"/>
      <c r="AZ398" s="1202"/>
      <c r="BA398" s="1202"/>
      <c r="BC398" s="1202"/>
      <c r="BE398" s="1202"/>
      <c r="BF398" s="1202"/>
      <c r="BG398" s="1202"/>
    </row>
    <row r="399" spans="18:59">
      <c r="R399" s="1202"/>
      <c r="S399" s="1202"/>
      <c r="W399" s="1202"/>
      <c r="X399" s="1202"/>
      <c r="AE399" s="1202"/>
      <c r="AF399" s="1202"/>
      <c r="AV399" s="1202"/>
      <c r="AW399" s="1202"/>
      <c r="AX399" s="1202"/>
      <c r="AY399" s="1202"/>
      <c r="AZ399" s="1202"/>
      <c r="BA399" s="1202"/>
      <c r="BC399" s="1202"/>
      <c r="BE399" s="1202"/>
      <c r="BF399" s="1202"/>
      <c r="BG399" s="1202"/>
    </row>
    <row r="400" spans="18:59">
      <c r="R400" s="1202"/>
      <c r="S400" s="1202"/>
      <c r="W400" s="1202"/>
      <c r="X400" s="1202"/>
      <c r="AE400" s="1202"/>
      <c r="AF400" s="1202"/>
      <c r="AV400" s="1202"/>
      <c r="AW400" s="1202"/>
      <c r="AX400" s="1202"/>
      <c r="AY400" s="1202"/>
      <c r="AZ400" s="1202"/>
      <c r="BA400" s="1202"/>
      <c r="BC400" s="1202"/>
      <c r="BE400" s="1202"/>
      <c r="BF400" s="1202"/>
      <c r="BG400" s="1202"/>
    </row>
    <row r="401" spans="18:59">
      <c r="R401" s="1202"/>
      <c r="S401" s="1202"/>
      <c r="W401" s="1202"/>
      <c r="X401" s="1202"/>
      <c r="AE401" s="1202"/>
      <c r="AF401" s="1202"/>
      <c r="AV401" s="1202"/>
      <c r="AW401" s="1202"/>
      <c r="AX401" s="1202"/>
      <c r="AY401" s="1202"/>
      <c r="AZ401" s="1202"/>
      <c r="BA401" s="1202"/>
      <c r="BC401" s="1202"/>
      <c r="BE401" s="1202"/>
      <c r="BF401" s="1202"/>
      <c r="BG401" s="1202"/>
    </row>
    <row r="402" spans="18:59">
      <c r="R402" s="1202"/>
      <c r="S402" s="1202"/>
      <c r="W402" s="1202"/>
      <c r="X402" s="1202"/>
      <c r="AE402" s="1202"/>
      <c r="AF402" s="1202"/>
      <c r="AV402" s="1202"/>
      <c r="AW402" s="1202"/>
      <c r="AX402" s="1202"/>
      <c r="AY402" s="1202"/>
      <c r="AZ402" s="1202"/>
      <c r="BA402" s="1202"/>
      <c r="BC402" s="1202"/>
      <c r="BE402" s="1202"/>
      <c r="BF402" s="1202"/>
      <c r="BG402" s="1202"/>
    </row>
    <row r="403" spans="18:59">
      <c r="R403" s="1202"/>
      <c r="S403" s="1202"/>
      <c r="W403" s="1202"/>
      <c r="X403" s="1202"/>
      <c r="AE403" s="1202"/>
      <c r="AF403" s="1202"/>
      <c r="AV403" s="1202"/>
      <c r="AW403" s="1202"/>
      <c r="AX403" s="1202"/>
      <c r="AY403" s="1202"/>
      <c r="AZ403" s="1202"/>
      <c r="BA403" s="1202"/>
      <c r="BC403" s="1202"/>
      <c r="BE403" s="1202"/>
      <c r="BF403" s="1202"/>
      <c r="BG403" s="1202"/>
    </row>
    <row r="404" spans="18:59">
      <c r="R404" s="1202"/>
      <c r="S404" s="1202"/>
      <c r="W404" s="1202"/>
      <c r="X404" s="1202"/>
      <c r="AE404" s="1202"/>
      <c r="AF404" s="1202"/>
      <c r="AV404" s="1202"/>
      <c r="AW404" s="1202"/>
      <c r="AX404" s="1202"/>
      <c r="AY404" s="1202"/>
      <c r="AZ404" s="1202"/>
      <c r="BA404" s="1202"/>
      <c r="BC404" s="1202"/>
      <c r="BE404" s="1202"/>
      <c r="BF404" s="1202"/>
      <c r="BG404" s="1202"/>
    </row>
    <row r="405" spans="18:59">
      <c r="R405" s="1202"/>
      <c r="S405" s="1202"/>
      <c r="W405" s="1202"/>
      <c r="X405" s="1202"/>
      <c r="AE405" s="1202"/>
      <c r="AF405" s="1202"/>
      <c r="AV405" s="1202"/>
      <c r="AW405" s="1202"/>
      <c r="AX405" s="1202"/>
      <c r="AY405" s="1202"/>
      <c r="AZ405" s="1202"/>
      <c r="BA405" s="1202"/>
      <c r="BC405" s="1202"/>
      <c r="BE405" s="1202"/>
      <c r="BF405" s="1202"/>
      <c r="BG405" s="1202"/>
    </row>
    <row r="406" spans="18:59">
      <c r="R406" s="1202"/>
      <c r="S406" s="1202"/>
      <c r="W406" s="1202"/>
      <c r="X406" s="1202"/>
      <c r="AE406" s="1202"/>
      <c r="AF406" s="1202"/>
      <c r="AV406" s="1202"/>
      <c r="AW406" s="1202"/>
      <c r="AX406" s="1202"/>
      <c r="AY406" s="1202"/>
      <c r="AZ406" s="1202"/>
      <c r="BA406" s="1202"/>
      <c r="BC406" s="1202"/>
      <c r="BE406" s="1202"/>
      <c r="BF406" s="1202"/>
      <c r="BG406" s="1202"/>
    </row>
    <row r="407" spans="18:59">
      <c r="R407" s="1202"/>
      <c r="S407" s="1202"/>
      <c r="W407" s="1202"/>
      <c r="X407" s="1202"/>
      <c r="AE407" s="1202"/>
      <c r="AF407" s="1202"/>
      <c r="AV407" s="1202"/>
      <c r="AW407" s="1202"/>
      <c r="AX407" s="1202"/>
      <c r="AY407" s="1202"/>
      <c r="AZ407" s="1202"/>
      <c r="BA407" s="1202"/>
      <c r="BC407" s="1202"/>
      <c r="BE407" s="1202"/>
      <c r="BF407" s="1202"/>
      <c r="BG407" s="1202"/>
    </row>
    <row r="408" spans="18:59">
      <c r="R408" s="1202"/>
      <c r="S408" s="1202"/>
      <c r="W408" s="1202"/>
      <c r="X408" s="1202"/>
      <c r="AE408" s="1202"/>
      <c r="AF408" s="1202"/>
      <c r="AV408" s="1202"/>
      <c r="AW408" s="1202"/>
      <c r="AX408" s="1202"/>
      <c r="AY408" s="1202"/>
      <c r="AZ408" s="1202"/>
      <c r="BA408" s="1202"/>
      <c r="BC408" s="1202"/>
      <c r="BE408" s="1202"/>
      <c r="BF408" s="1202"/>
      <c r="BG408" s="1202"/>
    </row>
    <row r="409" spans="18:59">
      <c r="R409" s="1202"/>
      <c r="S409" s="1202"/>
      <c r="W409" s="1202"/>
      <c r="X409" s="1202"/>
      <c r="AE409" s="1202"/>
      <c r="AF409" s="1202"/>
      <c r="AV409" s="1202"/>
      <c r="AW409" s="1202"/>
      <c r="AX409" s="1202"/>
      <c r="AY409" s="1202"/>
      <c r="AZ409" s="1202"/>
      <c r="BA409" s="1202"/>
      <c r="BC409" s="1202"/>
      <c r="BE409" s="1202"/>
      <c r="BF409" s="1202"/>
      <c r="BG409" s="1202"/>
    </row>
    <row r="410" spans="18:59">
      <c r="R410" s="1202"/>
      <c r="S410" s="1202"/>
      <c r="W410" s="1202"/>
      <c r="X410" s="1202"/>
      <c r="AE410" s="1202"/>
      <c r="AF410" s="1202"/>
      <c r="AV410" s="1202"/>
      <c r="AW410" s="1202"/>
      <c r="AX410" s="1202"/>
      <c r="AY410" s="1202"/>
      <c r="AZ410" s="1202"/>
      <c r="BA410" s="1202"/>
      <c r="BC410" s="1202"/>
      <c r="BE410" s="1202"/>
      <c r="BF410" s="1202"/>
      <c r="BG410" s="1202"/>
    </row>
    <row r="411" spans="18:59">
      <c r="R411" s="1202"/>
      <c r="S411" s="1202"/>
      <c r="W411" s="1202"/>
      <c r="X411" s="1202"/>
      <c r="AE411" s="1202"/>
      <c r="AF411" s="1202"/>
      <c r="AV411" s="1202"/>
      <c r="AW411" s="1202"/>
      <c r="AX411" s="1202"/>
      <c r="AY411" s="1202"/>
      <c r="AZ411" s="1202"/>
      <c r="BA411" s="1202"/>
      <c r="BC411" s="1202"/>
      <c r="BE411" s="1202"/>
      <c r="BF411" s="1202"/>
      <c r="BG411" s="1202"/>
    </row>
    <row r="412" spans="18:59">
      <c r="R412" s="1202"/>
      <c r="S412" s="1202"/>
      <c r="W412" s="1202"/>
      <c r="X412" s="1202"/>
      <c r="AE412" s="1202"/>
      <c r="AF412" s="1202"/>
      <c r="AV412" s="1202"/>
      <c r="AW412" s="1202"/>
      <c r="AX412" s="1202"/>
      <c r="AY412" s="1202"/>
      <c r="AZ412" s="1202"/>
      <c r="BA412" s="1202"/>
      <c r="BC412" s="1202"/>
      <c r="BE412" s="1202"/>
      <c r="BF412" s="1202"/>
      <c r="BG412" s="1202"/>
    </row>
    <row r="413" spans="18:59">
      <c r="R413" s="1202"/>
      <c r="S413" s="1202"/>
      <c r="W413" s="1202"/>
      <c r="X413" s="1202"/>
      <c r="AE413" s="1202"/>
      <c r="AF413" s="1202"/>
      <c r="AV413" s="1202"/>
      <c r="AW413" s="1202"/>
      <c r="AX413" s="1202"/>
      <c r="AY413" s="1202"/>
      <c r="AZ413" s="1202"/>
      <c r="BA413" s="1202"/>
      <c r="BC413" s="1202"/>
      <c r="BE413" s="1202"/>
      <c r="BF413" s="1202"/>
      <c r="BG413" s="1202"/>
    </row>
    <row r="414" spans="18:59">
      <c r="R414" s="1202"/>
      <c r="S414" s="1202"/>
      <c r="W414" s="1202"/>
      <c r="X414" s="1202"/>
      <c r="AE414" s="1202"/>
      <c r="AF414" s="1202"/>
      <c r="AV414" s="1202"/>
      <c r="AW414" s="1202"/>
      <c r="AX414" s="1202"/>
      <c r="AY414" s="1202"/>
      <c r="AZ414" s="1202"/>
      <c r="BA414" s="1202"/>
      <c r="BC414" s="1202"/>
      <c r="BE414" s="1202"/>
      <c r="BF414" s="1202"/>
      <c r="BG414" s="1202"/>
    </row>
    <row r="415" spans="18:59">
      <c r="R415" s="1202"/>
      <c r="S415" s="1202"/>
      <c r="W415" s="1202"/>
      <c r="X415" s="1202"/>
      <c r="AE415" s="1202"/>
      <c r="AF415" s="1202"/>
      <c r="AV415" s="1202"/>
      <c r="AW415" s="1202"/>
      <c r="AX415" s="1202"/>
      <c r="AY415" s="1202"/>
      <c r="AZ415" s="1202"/>
      <c r="BA415" s="1202"/>
      <c r="BC415" s="1202"/>
      <c r="BE415" s="1202"/>
      <c r="BF415" s="1202"/>
      <c r="BG415" s="1202"/>
    </row>
    <row r="416" spans="18:59">
      <c r="R416" s="1202"/>
      <c r="S416" s="1202"/>
      <c r="W416" s="1202"/>
      <c r="X416" s="1202"/>
      <c r="AE416" s="1202"/>
      <c r="AF416" s="1202"/>
      <c r="AV416" s="1202"/>
      <c r="AW416" s="1202"/>
      <c r="AX416" s="1202"/>
      <c r="AY416" s="1202"/>
      <c r="AZ416" s="1202"/>
      <c r="BA416" s="1202"/>
      <c r="BC416" s="1202"/>
      <c r="BE416" s="1202"/>
      <c r="BF416" s="1202"/>
      <c r="BG416" s="1202"/>
    </row>
    <row r="417" spans="18:59">
      <c r="R417" s="1202"/>
      <c r="S417" s="1202"/>
      <c r="W417" s="1202"/>
      <c r="X417" s="1202"/>
      <c r="AE417" s="1202"/>
      <c r="AF417" s="1202"/>
      <c r="AV417" s="1202"/>
      <c r="AW417" s="1202"/>
      <c r="AX417" s="1202"/>
      <c r="AY417" s="1202"/>
      <c r="AZ417" s="1202"/>
      <c r="BA417" s="1202"/>
      <c r="BC417" s="1202"/>
      <c r="BE417" s="1202"/>
      <c r="BF417" s="1202"/>
      <c r="BG417" s="1202"/>
    </row>
    <row r="418" spans="18:59">
      <c r="R418" s="1202"/>
      <c r="S418" s="1202"/>
      <c r="W418" s="1202"/>
      <c r="X418" s="1202"/>
      <c r="AE418" s="1202"/>
      <c r="AF418" s="1202"/>
      <c r="AV418" s="1202"/>
      <c r="AW418" s="1202"/>
      <c r="AX418" s="1202"/>
      <c r="AY418" s="1202"/>
      <c r="AZ418" s="1202"/>
      <c r="BA418" s="1202"/>
      <c r="BC418" s="1202"/>
      <c r="BE418" s="1202"/>
      <c r="BF418" s="1202"/>
      <c r="BG418" s="1202"/>
    </row>
    <row r="419" spans="18:59">
      <c r="R419" s="1202"/>
      <c r="S419" s="1202"/>
      <c r="W419" s="1202"/>
      <c r="X419" s="1202"/>
      <c r="AE419" s="1202"/>
      <c r="AF419" s="1202"/>
      <c r="AV419" s="1202"/>
      <c r="AW419" s="1202"/>
      <c r="AX419" s="1202"/>
      <c r="AY419" s="1202"/>
      <c r="AZ419" s="1202"/>
      <c r="BA419" s="1202"/>
      <c r="BC419" s="1202"/>
      <c r="BE419" s="1202"/>
      <c r="BF419" s="1202"/>
      <c r="BG419" s="1202"/>
    </row>
    <row r="420" spans="18:59">
      <c r="R420" s="1202"/>
      <c r="S420" s="1202"/>
      <c r="W420" s="1202"/>
      <c r="X420" s="1202"/>
      <c r="AE420" s="1202"/>
      <c r="AF420" s="1202"/>
      <c r="AV420" s="1202"/>
      <c r="AW420" s="1202"/>
      <c r="AX420" s="1202"/>
      <c r="AY420" s="1202"/>
      <c r="AZ420" s="1202"/>
      <c r="BA420" s="1202"/>
      <c r="BC420" s="1202"/>
      <c r="BE420" s="1202"/>
      <c r="BF420" s="1202"/>
      <c r="BG420" s="1202"/>
    </row>
    <row r="421" spans="18:59">
      <c r="R421" s="1202"/>
      <c r="S421" s="1202"/>
      <c r="W421" s="1202"/>
      <c r="X421" s="1202"/>
      <c r="AE421" s="1202"/>
      <c r="AF421" s="1202"/>
      <c r="AV421" s="1202"/>
      <c r="AW421" s="1202"/>
      <c r="AX421" s="1202"/>
      <c r="AY421" s="1202"/>
      <c r="AZ421" s="1202"/>
      <c r="BA421" s="1202"/>
      <c r="BC421" s="1202"/>
      <c r="BE421" s="1202"/>
      <c r="BF421" s="1202"/>
      <c r="BG421" s="1202"/>
    </row>
    <row r="422" spans="18:59">
      <c r="R422" s="1202"/>
      <c r="S422" s="1202"/>
      <c r="W422" s="1202"/>
      <c r="X422" s="1202"/>
      <c r="AE422" s="1202"/>
      <c r="AF422" s="1202"/>
      <c r="AV422" s="1202"/>
      <c r="AW422" s="1202"/>
      <c r="AX422" s="1202"/>
      <c r="AY422" s="1202"/>
      <c r="AZ422" s="1202"/>
      <c r="BA422" s="1202"/>
      <c r="BC422" s="1202"/>
      <c r="BE422" s="1202"/>
      <c r="BF422" s="1202"/>
      <c r="BG422" s="1202"/>
    </row>
    <row r="423" spans="18:59">
      <c r="R423" s="1202"/>
      <c r="S423" s="1202"/>
      <c r="W423" s="1202"/>
      <c r="X423" s="1202"/>
      <c r="AE423" s="1202"/>
      <c r="AF423" s="1202"/>
      <c r="AV423" s="1202"/>
      <c r="AW423" s="1202"/>
      <c r="AX423" s="1202"/>
      <c r="AY423" s="1202"/>
      <c r="AZ423" s="1202"/>
      <c r="BA423" s="1202"/>
      <c r="BC423" s="1202"/>
      <c r="BE423" s="1202"/>
      <c r="BF423" s="1202"/>
      <c r="BG423" s="1202"/>
    </row>
    <row r="424" spans="18:59">
      <c r="R424" s="1202"/>
      <c r="S424" s="1202"/>
      <c r="W424" s="1202"/>
      <c r="X424" s="1202"/>
      <c r="AE424" s="1202"/>
      <c r="AF424" s="1202"/>
      <c r="AV424" s="1202"/>
      <c r="AW424" s="1202"/>
      <c r="AX424" s="1202"/>
      <c r="AY424" s="1202"/>
      <c r="AZ424" s="1202"/>
      <c r="BA424" s="1202"/>
      <c r="BC424" s="1202"/>
      <c r="BE424" s="1202"/>
      <c r="BF424" s="1202"/>
      <c r="BG424" s="1202"/>
    </row>
    <row r="425" spans="18:59">
      <c r="R425" s="1202"/>
      <c r="S425" s="1202"/>
      <c r="W425" s="1202"/>
      <c r="X425" s="1202"/>
      <c r="AE425" s="1202"/>
      <c r="AF425" s="1202"/>
      <c r="AV425" s="1202"/>
      <c r="AW425" s="1202"/>
      <c r="AX425" s="1202"/>
      <c r="AY425" s="1202"/>
      <c r="AZ425" s="1202"/>
      <c r="BA425" s="1202"/>
      <c r="BC425" s="1202"/>
      <c r="BE425" s="1202"/>
      <c r="BF425" s="1202"/>
      <c r="BG425" s="1202"/>
    </row>
    <row r="426" spans="18:59">
      <c r="R426" s="1202"/>
      <c r="S426" s="1202"/>
      <c r="W426" s="1202"/>
      <c r="X426" s="1202"/>
      <c r="AE426" s="1202"/>
      <c r="AF426" s="1202"/>
      <c r="AV426" s="1202"/>
      <c r="AW426" s="1202"/>
      <c r="AX426" s="1202"/>
      <c r="AY426" s="1202"/>
      <c r="AZ426" s="1202"/>
      <c r="BA426" s="1202"/>
      <c r="BC426" s="1202"/>
      <c r="BE426" s="1202"/>
      <c r="BF426" s="1202"/>
      <c r="BG426" s="1202"/>
    </row>
    <row r="427" spans="18:59">
      <c r="R427" s="1202"/>
      <c r="S427" s="1202"/>
      <c r="W427" s="1202"/>
      <c r="X427" s="1202"/>
      <c r="AE427" s="1202"/>
      <c r="AF427" s="1202"/>
      <c r="AV427" s="1202"/>
      <c r="AW427" s="1202"/>
      <c r="AX427" s="1202"/>
      <c r="AY427" s="1202"/>
      <c r="AZ427" s="1202"/>
      <c r="BA427" s="1202"/>
      <c r="BC427" s="1202"/>
      <c r="BE427" s="1202"/>
      <c r="BF427" s="1202"/>
      <c r="BG427" s="1202"/>
    </row>
    <row r="428" spans="18:59">
      <c r="R428" s="1202"/>
      <c r="S428" s="1202"/>
      <c r="W428" s="1202"/>
      <c r="X428" s="1202"/>
      <c r="AE428" s="1202"/>
      <c r="AF428" s="1202"/>
      <c r="AV428" s="1202"/>
      <c r="AW428" s="1202"/>
      <c r="AX428" s="1202"/>
      <c r="AY428" s="1202"/>
      <c r="AZ428" s="1202"/>
      <c r="BA428" s="1202"/>
      <c r="BC428" s="1202"/>
      <c r="BE428" s="1202"/>
      <c r="BF428" s="1202"/>
      <c r="BG428" s="1202"/>
    </row>
    <row r="429" spans="18:59">
      <c r="R429" s="1202"/>
      <c r="S429" s="1202"/>
      <c r="W429" s="1202"/>
      <c r="X429" s="1202"/>
      <c r="AE429" s="1202"/>
      <c r="AF429" s="1202"/>
      <c r="AV429" s="1202"/>
      <c r="AW429" s="1202"/>
      <c r="AX429" s="1202"/>
      <c r="AY429" s="1202"/>
      <c r="AZ429" s="1202"/>
      <c r="BA429" s="1202"/>
      <c r="BC429" s="1202"/>
      <c r="BE429" s="1202"/>
      <c r="BF429" s="1202"/>
      <c r="BG429" s="1202"/>
    </row>
    <row r="430" spans="18:59">
      <c r="R430" s="1202"/>
      <c r="S430" s="1202"/>
      <c r="W430" s="1202"/>
      <c r="X430" s="1202"/>
      <c r="AE430" s="1202"/>
      <c r="AF430" s="1202"/>
      <c r="AV430" s="1202"/>
      <c r="AW430" s="1202"/>
      <c r="AX430" s="1202"/>
      <c r="AY430" s="1202"/>
      <c r="AZ430" s="1202"/>
      <c r="BA430" s="1202"/>
      <c r="BC430" s="1202"/>
      <c r="BE430" s="1202"/>
      <c r="BF430" s="1202"/>
      <c r="BG430" s="1202"/>
    </row>
    <row r="431" spans="18:59">
      <c r="R431" s="1202"/>
      <c r="S431" s="1202"/>
      <c r="W431" s="1202"/>
      <c r="X431" s="1202"/>
      <c r="AE431" s="1202"/>
      <c r="AF431" s="1202"/>
      <c r="AV431" s="1202"/>
      <c r="AW431" s="1202"/>
      <c r="AX431" s="1202"/>
      <c r="AY431" s="1202"/>
      <c r="AZ431" s="1202"/>
      <c r="BA431" s="1202"/>
      <c r="BC431" s="1202"/>
      <c r="BE431" s="1202"/>
      <c r="BF431" s="1202"/>
      <c r="BG431" s="1202"/>
    </row>
    <row r="432" spans="18:59">
      <c r="R432" s="1202"/>
      <c r="S432" s="1202"/>
      <c r="W432" s="1202"/>
      <c r="X432" s="1202"/>
      <c r="AE432" s="1202"/>
      <c r="AF432" s="1202"/>
      <c r="AV432" s="1202"/>
      <c r="AW432" s="1202"/>
      <c r="AX432" s="1202"/>
      <c r="AY432" s="1202"/>
      <c r="AZ432" s="1202"/>
      <c r="BA432" s="1202"/>
      <c r="BC432" s="1202"/>
      <c r="BE432" s="1202"/>
      <c r="BF432" s="1202"/>
      <c r="BG432" s="1202"/>
    </row>
    <row r="433" spans="18:59">
      <c r="R433" s="1202"/>
      <c r="S433" s="1202"/>
      <c r="W433" s="1202"/>
      <c r="X433" s="1202"/>
      <c r="AE433" s="1202"/>
      <c r="AF433" s="1202"/>
      <c r="AV433" s="1202"/>
      <c r="AW433" s="1202"/>
      <c r="AX433" s="1202"/>
      <c r="AY433" s="1202"/>
      <c r="AZ433" s="1202"/>
      <c r="BA433" s="1202"/>
      <c r="BC433" s="1202"/>
      <c r="BE433" s="1202"/>
      <c r="BF433" s="1202"/>
      <c r="BG433" s="1202"/>
    </row>
    <row r="434" spans="18:59">
      <c r="R434" s="1202"/>
      <c r="S434" s="1202"/>
      <c r="W434" s="1202"/>
      <c r="X434" s="1202"/>
      <c r="AE434" s="1202"/>
      <c r="AF434" s="1202"/>
      <c r="AV434" s="1202"/>
      <c r="AW434" s="1202"/>
      <c r="AX434" s="1202"/>
      <c r="AY434" s="1202"/>
      <c r="AZ434" s="1202"/>
      <c r="BA434" s="1202"/>
      <c r="BC434" s="1202"/>
      <c r="BE434" s="1202"/>
      <c r="BF434" s="1202"/>
      <c r="BG434" s="1202"/>
    </row>
    <row r="435" spans="18:59">
      <c r="R435" s="1202"/>
      <c r="S435" s="1202"/>
      <c r="W435" s="1202"/>
      <c r="X435" s="1202"/>
      <c r="AE435" s="1202"/>
      <c r="AF435" s="1202"/>
      <c r="AV435" s="1202"/>
      <c r="AW435" s="1202"/>
      <c r="AX435" s="1202"/>
      <c r="AY435" s="1202"/>
      <c r="AZ435" s="1202"/>
      <c r="BA435" s="1202"/>
      <c r="BC435" s="1202"/>
      <c r="BE435" s="1202"/>
      <c r="BF435" s="1202"/>
      <c r="BG435" s="1202"/>
    </row>
    <row r="436" spans="18:59">
      <c r="R436" s="1202"/>
      <c r="S436" s="1202"/>
      <c r="W436" s="1202"/>
      <c r="X436" s="1202"/>
      <c r="AE436" s="1202"/>
      <c r="AF436" s="1202"/>
      <c r="AV436" s="1202"/>
      <c r="AW436" s="1202"/>
      <c r="AX436" s="1202"/>
      <c r="AY436" s="1202"/>
      <c r="AZ436" s="1202"/>
      <c r="BA436" s="1202"/>
      <c r="BC436" s="1202"/>
      <c r="BE436" s="1202"/>
      <c r="BF436" s="1202"/>
      <c r="BG436" s="1202"/>
    </row>
    <row r="437" spans="18:59">
      <c r="R437" s="1202"/>
      <c r="S437" s="1202"/>
      <c r="W437" s="1202"/>
      <c r="X437" s="1202"/>
      <c r="AE437" s="1202"/>
      <c r="AF437" s="1202"/>
      <c r="AV437" s="1202"/>
      <c r="AW437" s="1202"/>
      <c r="AX437" s="1202"/>
      <c r="AY437" s="1202"/>
      <c r="AZ437" s="1202"/>
      <c r="BA437" s="1202"/>
      <c r="BC437" s="1202"/>
      <c r="BE437" s="1202"/>
      <c r="BF437" s="1202"/>
      <c r="BG437" s="1202"/>
    </row>
    <row r="438" spans="18:59">
      <c r="R438" s="1202"/>
      <c r="S438" s="1202"/>
      <c r="W438" s="1202"/>
      <c r="X438" s="1202"/>
      <c r="AE438" s="1202"/>
      <c r="AF438" s="1202"/>
      <c r="AV438" s="1202"/>
      <c r="AW438" s="1202"/>
      <c r="AX438" s="1202"/>
      <c r="AY438" s="1202"/>
      <c r="AZ438" s="1202"/>
      <c r="BA438" s="1202"/>
      <c r="BC438" s="1202"/>
      <c r="BE438" s="1202"/>
      <c r="BF438" s="1202"/>
      <c r="BG438" s="1202"/>
    </row>
    <row r="439" spans="18:59">
      <c r="R439" s="1202"/>
      <c r="S439" s="1202"/>
      <c r="W439" s="1202"/>
      <c r="X439" s="1202"/>
      <c r="AE439" s="1202"/>
      <c r="AF439" s="1202"/>
      <c r="AV439" s="1202"/>
      <c r="AW439" s="1202"/>
      <c r="AX439" s="1202"/>
      <c r="AY439" s="1202"/>
      <c r="AZ439" s="1202"/>
      <c r="BA439" s="1202"/>
      <c r="BC439" s="1202"/>
      <c r="BE439" s="1202"/>
      <c r="BF439" s="1202"/>
      <c r="BG439" s="1202"/>
    </row>
    <row r="440" spans="18:59">
      <c r="R440" s="1202"/>
      <c r="S440" s="1202"/>
      <c r="W440" s="1202"/>
      <c r="X440" s="1202"/>
      <c r="AE440" s="1202"/>
      <c r="AF440" s="1202"/>
      <c r="AV440" s="1202"/>
      <c r="AW440" s="1202"/>
      <c r="AX440" s="1202"/>
      <c r="AY440" s="1202"/>
      <c r="AZ440" s="1202"/>
      <c r="BA440" s="1202"/>
      <c r="BC440" s="1202"/>
      <c r="BE440" s="1202"/>
      <c r="BF440" s="1202"/>
      <c r="BG440" s="1202"/>
    </row>
    <row r="441" spans="18:59">
      <c r="R441" s="1202"/>
      <c r="S441" s="1202"/>
      <c r="W441" s="1202"/>
      <c r="X441" s="1202"/>
      <c r="AE441" s="1202"/>
      <c r="AF441" s="1202"/>
      <c r="AV441" s="1202"/>
      <c r="AW441" s="1202"/>
      <c r="AX441" s="1202"/>
      <c r="AY441" s="1202"/>
      <c r="AZ441" s="1202"/>
      <c r="BA441" s="1202"/>
      <c r="BC441" s="1202"/>
      <c r="BE441" s="1202"/>
      <c r="BF441" s="1202"/>
      <c r="BG441" s="1202"/>
    </row>
    <row r="442" spans="18:59">
      <c r="R442" s="1202"/>
      <c r="S442" s="1202"/>
      <c r="W442" s="1202"/>
      <c r="X442" s="1202"/>
      <c r="AE442" s="1202"/>
      <c r="AF442" s="1202"/>
      <c r="AV442" s="1202"/>
      <c r="AW442" s="1202"/>
      <c r="AX442" s="1202"/>
      <c r="AY442" s="1202"/>
      <c r="AZ442" s="1202"/>
      <c r="BA442" s="1202"/>
      <c r="BC442" s="1202"/>
      <c r="BE442" s="1202"/>
      <c r="BF442" s="1202"/>
      <c r="BG442" s="1202"/>
    </row>
    <row r="443" spans="18:59">
      <c r="R443" s="1202"/>
      <c r="S443" s="1202"/>
      <c r="W443" s="1202"/>
      <c r="X443" s="1202"/>
      <c r="AE443" s="1202"/>
      <c r="AF443" s="1202"/>
      <c r="AV443" s="1202"/>
      <c r="AW443" s="1202"/>
      <c r="AX443" s="1202"/>
      <c r="AY443" s="1202"/>
      <c r="AZ443" s="1202"/>
      <c r="BA443" s="1202"/>
      <c r="BC443" s="1202"/>
      <c r="BE443" s="1202"/>
      <c r="BF443" s="1202"/>
      <c r="BG443" s="1202"/>
    </row>
    <row r="444" spans="18:59">
      <c r="R444" s="1202"/>
      <c r="S444" s="1202"/>
      <c r="W444" s="1202"/>
      <c r="X444" s="1202"/>
      <c r="AE444" s="1202"/>
      <c r="AF444" s="1202"/>
      <c r="AV444" s="1202"/>
      <c r="AW444" s="1202"/>
      <c r="AX444" s="1202"/>
      <c r="AY444" s="1202"/>
      <c r="AZ444" s="1202"/>
      <c r="BA444" s="1202"/>
      <c r="BC444" s="1202"/>
      <c r="BE444" s="1202"/>
      <c r="BF444" s="1202"/>
      <c r="BG444" s="1202"/>
    </row>
    <row r="445" spans="18:59">
      <c r="R445" s="1202"/>
      <c r="S445" s="1202"/>
      <c r="W445" s="1202"/>
      <c r="X445" s="1202"/>
      <c r="AE445" s="1202"/>
      <c r="AF445" s="1202"/>
      <c r="AV445" s="1202"/>
      <c r="AW445" s="1202"/>
      <c r="AX445" s="1202"/>
      <c r="AY445" s="1202"/>
      <c r="AZ445" s="1202"/>
      <c r="BA445" s="1202"/>
      <c r="BC445" s="1202"/>
      <c r="BE445" s="1202"/>
      <c r="BF445" s="1202"/>
      <c r="BG445" s="1202"/>
    </row>
    <row r="446" spans="18:59">
      <c r="R446" s="1202"/>
      <c r="S446" s="1202"/>
      <c r="W446" s="1202"/>
      <c r="X446" s="1202"/>
      <c r="AE446" s="1202"/>
      <c r="AF446" s="1202"/>
      <c r="AV446" s="1202"/>
      <c r="AW446" s="1202"/>
      <c r="AX446" s="1202"/>
      <c r="AY446" s="1202"/>
      <c r="AZ446" s="1202"/>
      <c r="BA446" s="1202"/>
      <c r="BC446" s="1202"/>
      <c r="BE446" s="1202"/>
      <c r="BF446" s="1202"/>
      <c r="BG446" s="1202"/>
    </row>
    <row r="447" spans="18:59">
      <c r="R447" s="1202"/>
      <c r="S447" s="1202"/>
      <c r="W447" s="1202"/>
      <c r="X447" s="1202"/>
      <c r="AE447" s="1202"/>
      <c r="AF447" s="1202"/>
      <c r="AV447" s="1202"/>
      <c r="AW447" s="1202"/>
      <c r="AX447" s="1202"/>
      <c r="AY447" s="1202"/>
      <c r="AZ447" s="1202"/>
      <c r="BA447" s="1202"/>
      <c r="BC447" s="1202"/>
      <c r="BE447" s="1202"/>
      <c r="BF447" s="1202"/>
      <c r="BG447" s="1202"/>
    </row>
    <row r="448" spans="18:59">
      <c r="R448" s="1202"/>
      <c r="S448" s="1202"/>
      <c r="W448" s="1202"/>
      <c r="X448" s="1202"/>
      <c r="AE448" s="1202"/>
      <c r="AF448" s="1202"/>
      <c r="AV448" s="1202"/>
      <c r="AW448" s="1202"/>
      <c r="AX448" s="1202"/>
      <c r="AY448" s="1202"/>
      <c r="AZ448" s="1202"/>
      <c r="BA448" s="1202"/>
      <c r="BC448" s="1202"/>
      <c r="BE448" s="1202"/>
      <c r="BF448" s="1202"/>
      <c r="BG448" s="1202"/>
    </row>
    <row r="449" spans="18:59">
      <c r="R449" s="1202"/>
      <c r="S449" s="1202"/>
      <c r="W449" s="1202"/>
      <c r="X449" s="1202"/>
      <c r="AE449" s="1202"/>
      <c r="AF449" s="1202"/>
      <c r="AV449" s="1202"/>
      <c r="AW449" s="1202"/>
      <c r="AX449" s="1202"/>
      <c r="AY449" s="1202"/>
      <c r="AZ449" s="1202"/>
      <c r="BA449" s="1202"/>
      <c r="BC449" s="1202"/>
      <c r="BE449" s="1202"/>
      <c r="BF449" s="1202"/>
      <c r="BG449" s="1202"/>
    </row>
    <row r="450" spans="18:59">
      <c r="R450" s="1202"/>
      <c r="S450" s="1202"/>
      <c r="W450" s="1202"/>
      <c r="X450" s="1202"/>
      <c r="AE450" s="1202"/>
      <c r="AF450" s="1202"/>
      <c r="AV450" s="1202"/>
      <c r="AW450" s="1202"/>
      <c r="AX450" s="1202"/>
      <c r="AY450" s="1202"/>
      <c r="AZ450" s="1202"/>
      <c r="BA450" s="1202"/>
      <c r="BC450" s="1202"/>
      <c r="BE450" s="1202"/>
      <c r="BF450" s="1202"/>
      <c r="BG450" s="1202"/>
    </row>
    <row r="451" spans="18:59">
      <c r="R451" s="1202"/>
      <c r="S451" s="1202"/>
      <c r="W451" s="1202"/>
      <c r="X451" s="1202"/>
      <c r="AE451" s="1202"/>
      <c r="AF451" s="1202"/>
      <c r="AV451" s="1202"/>
      <c r="AW451" s="1202"/>
      <c r="AX451" s="1202"/>
      <c r="AY451" s="1202"/>
      <c r="AZ451" s="1202"/>
      <c r="BA451" s="1202"/>
      <c r="BC451" s="1202"/>
      <c r="BE451" s="1202"/>
      <c r="BF451" s="1202"/>
      <c r="BG451" s="1202"/>
    </row>
    <row r="452" spans="18:59">
      <c r="R452" s="1202"/>
      <c r="S452" s="1202"/>
      <c r="W452" s="1202"/>
      <c r="X452" s="1202"/>
      <c r="AE452" s="1202"/>
      <c r="AF452" s="1202"/>
      <c r="AV452" s="1202"/>
      <c r="AW452" s="1202"/>
      <c r="AX452" s="1202"/>
      <c r="AY452" s="1202"/>
      <c r="AZ452" s="1202"/>
      <c r="BA452" s="1202"/>
      <c r="BC452" s="1202"/>
      <c r="BE452" s="1202"/>
      <c r="BF452" s="1202"/>
      <c r="BG452" s="1202"/>
    </row>
    <row r="453" spans="18:59">
      <c r="R453" s="1202"/>
      <c r="S453" s="1202"/>
      <c r="W453" s="1202"/>
      <c r="X453" s="1202"/>
      <c r="AE453" s="1202"/>
      <c r="AF453" s="1202"/>
      <c r="AV453" s="1202"/>
      <c r="AW453" s="1202"/>
      <c r="AX453" s="1202"/>
      <c r="AY453" s="1202"/>
      <c r="AZ453" s="1202"/>
      <c r="BA453" s="1202"/>
      <c r="BC453" s="1202"/>
      <c r="BE453" s="1202"/>
      <c r="BF453" s="1202"/>
      <c r="BG453" s="1202"/>
    </row>
    <row r="454" spans="18:59">
      <c r="R454" s="1202"/>
      <c r="S454" s="1202"/>
      <c r="W454" s="1202"/>
      <c r="X454" s="1202"/>
      <c r="AE454" s="1202"/>
      <c r="AF454" s="1202"/>
      <c r="AV454" s="1202"/>
      <c r="AW454" s="1202"/>
      <c r="AX454" s="1202"/>
      <c r="AY454" s="1202"/>
      <c r="AZ454" s="1202"/>
      <c r="BA454" s="1202"/>
      <c r="BC454" s="1202"/>
      <c r="BE454" s="1202"/>
      <c r="BF454" s="1202"/>
      <c r="BG454" s="1202"/>
    </row>
    <row r="455" spans="18:59">
      <c r="R455" s="1202"/>
      <c r="S455" s="1202"/>
      <c r="W455" s="1202"/>
      <c r="X455" s="1202"/>
      <c r="AE455" s="1202"/>
      <c r="AF455" s="1202"/>
      <c r="AV455" s="1202"/>
      <c r="AW455" s="1202"/>
      <c r="AX455" s="1202"/>
      <c r="AY455" s="1202"/>
      <c r="AZ455" s="1202"/>
      <c r="BA455" s="1202"/>
      <c r="BC455" s="1202"/>
      <c r="BE455" s="1202"/>
      <c r="BF455" s="1202"/>
      <c r="BG455" s="1202"/>
    </row>
    <row r="456" spans="18:59">
      <c r="R456" s="1202"/>
      <c r="S456" s="1202"/>
      <c r="W456" s="1202"/>
      <c r="X456" s="1202"/>
      <c r="AE456" s="1202"/>
      <c r="AF456" s="1202"/>
      <c r="AV456" s="1202"/>
      <c r="AW456" s="1202"/>
      <c r="AX456" s="1202"/>
      <c r="AY456" s="1202"/>
      <c r="AZ456" s="1202"/>
      <c r="BA456" s="1202"/>
      <c r="BC456" s="1202"/>
      <c r="BE456" s="1202"/>
      <c r="BF456" s="1202"/>
      <c r="BG456" s="1202"/>
    </row>
    <row r="457" spans="18:59">
      <c r="R457" s="1202"/>
      <c r="S457" s="1202"/>
      <c r="W457" s="1202"/>
      <c r="X457" s="1202"/>
      <c r="AE457" s="1202"/>
      <c r="AF457" s="1202"/>
      <c r="AV457" s="1202"/>
      <c r="AW457" s="1202"/>
      <c r="AX457" s="1202"/>
      <c r="AY457" s="1202"/>
      <c r="AZ457" s="1202"/>
      <c r="BA457" s="1202"/>
      <c r="BC457" s="1202"/>
      <c r="BE457" s="1202"/>
      <c r="BF457" s="1202"/>
      <c r="BG457" s="1202"/>
    </row>
    <row r="458" spans="18:59">
      <c r="R458" s="1202"/>
      <c r="S458" s="1202"/>
      <c r="W458" s="1202"/>
      <c r="X458" s="1202"/>
      <c r="AE458" s="1202"/>
      <c r="AF458" s="1202"/>
      <c r="AV458" s="1202"/>
      <c r="AW458" s="1202"/>
      <c r="AX458" s="1202"/>
      <c r="AY458" s="1202"/>
      <c r="AZ458" s="1202"/>
      <c r="BA458" s="1202"/>
      <c r="BC458" s="1202"/>
      <c r="BE458" s="1202"/>
      <c r="BF458" s="1202"/>
      <c r="BG458" s="1202"/>
    </row>
    <row r="459" spans="18:59">
      <c r="R459" s="1202"/>
      <c r="S459" s="1202"/>
      <c r="W459" s="1202"/>
      <c r="X459" s="1202"/>
      <c r="AE459" s="1202"/>
      <c r="AF459" s="1202"/>
      <c r="AV459" s="1202"/>
      <c r="AW459" s="1202"/>
      <c r="AX459" s="1202"/>
      <c r="AY459" s="1202"/>
      <c r="AZ459" s="1202"/>
      <c r="BA459" s="1202"/>
      <c r="BC459" s="1202"/>
      <c r="BE459" s="1202"/>
      <c r="BF459" s="1202"/>
      <c r="BG459" s="1202"/>
    </row>
    <row r="460" spans="18:59">
      <c r="R460" s="1202"/>
      <c r="S460" s="1202"/>
      <c r="W460" s="1202"/>
      <c r="X460" s="1202"/>
      <c r="AE460" s="1202"/>
      <c r="AF460" s="1202"/>
      <c r="AV460" s="1202"/>
      <c r="AW460" s="1202"/>
      <c r="AX460" s="1202"/>
      <c r="AY460" s="1202"/>
      <c r="AZ460" s="1202"/>
      <c r="BA460" s="1202"/>
      <c r="BC460" s="1202"/>
      <c r="BE460" s="1202"/>
      <c r="BF460" s="1202"/>
      <c r="BG460" s="1202"/>
    </row>
    <row r="461" spans="18:59">
      <c r="R461" s="1202"/>
      <c r="S461" s="1202"/>
      <c r="W461" s="1202"/>
      <c r="X461" s="1202"/>
      <c r="AE461" s="1202"/>
      <c r="AF461" s="1202"/>
      <c r="AV461" s="1202"/>
      <c r="AW461" s="1202"/>
      <c r="AX461" s="1202"/>
      <c r="AY461" s="1202"/>
      <c r="AZ461" s="1202"/>
      <c r="BA461" s="1202"/>
      <c r="BC461" s="1202"/>
      <c r="BE461" s="1202"/>
      <c r="BF461" s="1202"/>
      <c r="BG461" s="1202"/>
    </row>
    <row r="462" spans="18:59">
      <c r="R462" s="1202"/>
      <c r="S462" s="1202"/>
      <c r="W462" s="1202"/>
      <c r="X462" s="1202"/>
      <c r="AE462" s="1202"/>
      <c r="AF462" s="1202"/>
      <c r="AV462" s="1202"/>
      <c r="AW462" s="1202"/>
      <c r="AX462" s="1202"/>
      <c r="AY462" s="1202"/>
      <c r="AZ462" s="1202"/>
      <c r="BA462" s="1202"/>
      <c r="BC462" s="1202"/>
      <c r="BE462" s="1202"/>
      <c r="BF462" s="1202"/>
      <c r="BG462" s="1202"/>
    </row>
    <row r="463" spans="18:59">
      <c r="R463" s="1202"/>
      <c r="S463" s="1202"/>
      <c r="W463" s="1202"/>
      <c r="X463" s="1202"/>
      <c r="AE463" s="1202"/>
      <c r="AF463" s="1202"/>
      <c r="AV463" s="1202"/>
      <c r="AW463" s="1202"/>
      <c r="AX463" s="1202"/>
      <c r="AY463" s="1202"/>
      <c r="AZ463" s="1202"/>
      <c r="BA463" s="1202"/>
      <c r="BC463" s="1202"/>
      <c r="BE463" s="1202"/>
      <c r="BF463" s="1202"/>
      <c r="BG463" s="1202"/>
    </row>
    <row r="464" spans="18:59">
      <c r="R464" s="1202"/>
      <c r="S464" s="1202"/>
      <c r="W464" s="1202"/>
      <c r="X464" s="1202"/>
      <c r="AE464" s="1202"/>
      <c r="AF464" s="1202"/>
      <c r="AV464" s="1202"/>
      <c r="AW464" s="1202"/>
      <c r="AX464" s="1202"/>
      <c r="AY464" s="1202"/>
      <c r="AZ464" s="1202"/>
      <c r="BA464" s="1202"/>
      <c r="BC464" s="1202"/>
      <c r="BE464" s="1202"/>
      <c r="BF464" s="1202"/>
      <c r="BG464" s="1202"/>
    </row>
    <row r="465" spans="18:59">
      <c r="R465" s="1202"/>
      <c r="S465" s="1202"/>
      <c r="W465" s="1202"/>
      <c r="X465" s="1202"/>
      <c r="AE465" s="1202"/>
      <c r="AF465" s="1202"/>
      <c r="AV465" s="1202"/>
      <c r="AW465" s="1202"/>
      <c r="AX465" s="1202"/>
      <c r="AY465" s="1202"/>
      <c r="AZ465" s="1202"/>
      <c r="BA465" s="1202"/>
      <c r="BC465" s="1202"/>
      <c r="BE465" s="1202"/>
      <c r="BF465" s="1202"/>
      <c r="BG465" s="1202"/>
    </row>
    <row r="466" spans="18:59">
      <c r="R466" s="1202"/>
      <c r="S466" s="1202"/>
      <c r="W466" s="1202"/>
      <c r="X466" s="1202"/>
      <c r="AE466" s="1202"/>
      <c r="AF466" s="1202"/>
      <c r="AV466" s="1202"/>
      <c r="AW466" s="1202"/>
      <c r="AX466" s="1202"/>
      <c r="AY466" s="1202"/>
      <c r="AZ466" s="1202"/>
      <c r="BA466" s="1202"/>
      <c r="BC466" s="1202"/>
      <c r="BE466" s="1202"/>
      <c r="BF466" s="1202"/>
      <c r="BG466" s="1202"/>
    </row>
    <row r="467" spans="18:59">
      <c r="R467" s="1202"/>
      <c r="S467" s="1202"/>
      <c r="W467" s="1202"/>
      <c r="X467" s="1202"/>
      <c r="AE467" s="1202"/>
      <c r="AF467" s="1202"/>
      <c r="AV467" s="1202"/>
      <c r="AW467" s="1202"/>
      <c r="AX467" s="1202"/>
      <c r="AY467" s="1202"/>
      <c r="AZ467" s="1202"/>
      <c r="BA467" s="1202"/>
      <c r="BC467" s="1202"/>
      <c r="BE467" s="1202"/>
      <c r="BF467" s="1202"/>
      <c r="BG467" s="1202"/>
    </row>
    <row r="468" spans="18:59">
      <c r="R468" s="1202"/>
      <c r="S468" s="1202"/>
      <c r="W468" s="1202"/>
      <c r="X468" s="1202"/>
      <c r="AE468" s="1202"/>
      <c r="AF468" s="1202"/>
      <c r="AV468" s="1202"/>
      <c r="AW468" s="1202"/>
      <c r="AX468" s="1202"/>
      <c r="AY468" s="1202"/>
      <c r="AZ468" s="1202"/>
      <c r="BA468" s="1202"/>
      <c r="BC468" s="1202"/>
      <c r="BE468" s="1202"/>
      <c r="BF468" s="1202"/>
      <c r="BG468" s="1202"/>
    </row>
    <row r="469" spans="18:59">
      <c r="R469" s="1202"/>
      <c r="S469" s="1202"/>
      <c r="W469" s="1202"/>
      <c r="X469" s="1202"/>
      <c r="AE469" s="1202"/>
      <c r="AF469" s="1202"/>
      <c r="AV469" s="1202"/>
      <c r="AW469" s="1202"/>
      <c r="AX469" s="1202"/>
      <c r="AY469" s="1202"/>
      <c r="AZ469" s="1202"/>
      <c r="BA469" s="1202"/>
      <c r="BC469" s="1202"/>
      <c r="BE469" s="1202"/>
      <c r="BF469" s="1202"/>
      <c r="BG469" s="1202"/>
    </row>
    <row r="470" spans="18:59">
      <c r="R470" s="1202"/>
      <c r="S470" s="1202"/>
      <c r="W470" s="1202"/>
      <c r="X470" s="1202"/>
      <c r="AE470" s="1202"/>
      <c r="AF470" s="1202"/>
      <c r="AV470" s="1202"/>
      <c r="AW470" s="1202"/>
      <c r="AX470" s="1202"/>
      <c r="AY470" s="1202"/>
      <c r="AZ470" s="1202"/>
      <c r="BA470" s="1202"/>
      <c r="BC470" s="1202"/>
      <c r="BE470" s="1202"/>
      <c r="BF470" s="1202"/>
      <c r="BG470" s="1202"/>
    </row>
    <row r="471" spans="18:59">
      <c r="R471" s="1202"/>
      <c r="S471" s="1202"/>
      <c r="W471" s="1202"/>
      <c r="X471" s="1202"/>
      <c r="AE471" s="1202"/>
      <c r="AF471" s="1202"/>
      <c r="AV471" s="1202"/>
      <c r="AW471" s="1202"/>
      <c r="AX471" s="1202"/>
      <c r="AY471" s="1202"/>
      <c r="AZ471" s="1202"/>
      <c r="BA471" s="1202"/>
      <c r="BC471" s="1202"/>
      <c r="BE471" s="1202"/>
      <c r="BF471" s="1202"/>
      <c r="BG471" s="1202"/>
    </row>
    <row r="472" spans="18:59">
      <c r="R472" s="1202"/>
      <c r="S472" s="1202"/>
      <c r="W472" s="1202"/>
      <c r="X472" s="1202"/>
      <c r="AE472" s="1202"/>
      <c r="AF472" s="1202"/>
      <c r="AV472" s="1202"/>
      <c r="AW472" s="1202"/>
      <c r="AX472" s="1202"/>
      <c r="AY472" s="1202"/>
      <c r="AZ472" s="1202"/>
      <c r="BA472" s="1202"/>
      <c r="BC472" s="1202"/>
      <c r="BE472" s="1202"/>
      <c r="BF472" s="1202"/>
      <c r="BG472" s="1202"/>
    </row>
    <row r="473" spans="18:59">
      <c r="R473" s="1202"/>
      <c r="S473" s="1202"/>
      <c r="W473" s="1202"/>
      <c r="X473" s="1202"/>
      <c r="AE473" s="1202"/>
      <c r="AF473" s="1202"/>
      <c r="AV473" s="1202"/>
      <c r="AW473" s="1202"/>
      <c r="AX473" s="1202"/>
      <c r="AY473" s="1202"/>
      <c r="AZ473" s="1202"/>
      <c r="BA473" s="1202"/>
      <c r="BC473" s="1202"/>
      <c r="BE473" s="1202"/>
      <c r="BF473" s="1202"/>
      <c r="BG473" s="1202"/>
    </row>
    <row r="474" spans="18:59">
      <c r="R474" s="1202"/>
      <c r="S474" s="1202"/>
      <c r="W474" s="1202"/>
      <c r="X474" s="1202"/>
      <c r="AE474" s="1202"/>
      <c r="AF474" s="1202"/>
      <c r="AV474" s="1202"/>
      <c r="AW474" s="1202"/>
      <c r="AX474" s="1202"/>
      <c r="AY474" s="1202"/>
      <c r="AZ474" s="1202"/>
      <c r="BA474" s="1202"/>
      <c r="BC474" s="1202"/>
      <c r="BE474" s="1202"/>
      <c r="BF474" s="1202"/>
      <c r="BG474" s="1202"/>
    </row>
    <row r="475" spans="18:59">
      <c r="R475" s="1202"/>
      <c r="S475" s="1202"/>
      <c r="W475" s="1202"/>
      <c r="X475" s="1202"/>
      <c r="AE475" s="1202"/>
      <c r="AF475" s="1202"/>
      <c r="AV475" s="1202"/>
      <c r="AW475" s="1202"/>
      <c r="AX475" s="1202"/>
      <c r="AY475" s="1202"/>
      <c r="AZ475" s="1202"/>
      <c r="BA475" s="1202"/>
      <c r="BC475" s="1202"/>
      <c r="BE475" s="1202"/>
      <c r="BF475" s="1202"/>
      <c r="BG475" s="1202"/>
    </row>
    <row r="476" spans="18:59">
      <c r="R476" s="1202"/>
      <c r="S476" s="1202"/>
      <c r="W476" s="1202"/>
      <c r="X476" s="1202"/>
      <c r="AE476" s="1202"/>
      <c r="AF476" s="1202"/>
      <c r="AV476" s="1202"/>
      <c r="AW476" s="1202"/>
      <c r="AX476" s="1202"/>
      <c r="AY476" s="1202"/>
      <c r="AZ476" s="1202"/>
      <c r="BA476" s="1202"/>
      <c r="BC476" s="1202"/>
      <c r="BE476" s="1202"/>
      <c r="BF476" s="1202"/>
      <c r="BG476" s="1202"/>
    </row>
    <row r="477" spans="18:59">
      <c r="R477" s="1202"/>
      <c r="S477" s="1202"/>
      <c r="W477" s="1202"/>
      <c r="X477" s="1202"/>
      <c r="AE477" s="1202"/>
      <c r="AF477" s="1202"/>
      <c r="AV477" s="1202"/>
      <c r="AW477" s="1202"/>
      <c r="AX477" s="1202"/>
      <c r="AY477" s="1202"/>
      <c r="AZ477" s="1202"/>
      <c r="BA477" s="1202"/>
      <c r="BC477" s="1202"/>
      <c r="BE477" s="1202"/>
      <c r="BF477" s="1202"/>
      <c r="BG477" s="1202"/>
    </row>
    <row r="478" spans="18:59">
      <c r="R478" s="1202"/>
      <c r="S478" s="1202"/>
      <c r="W478" s="1202"/>
      <c r="X478" s="1202"/>
      <c r="AE478" s="1202"/>
      <c r="AF478" s="1202"/>
      <c r="AV478" s="1202"/>
      <c r="AW478" s="1202"/>
      <c r="AX478" s="1202"/>
      <c r="AY478" s="1202"/>
      <c r="AZ478" s="1202"/>
      <c r="BA478" s="1202"/>
      <c r="BC478" s="1202"/>
      <c r="BE478" s="1202"/>
      <c r="BF478" s="1202"/>
      <c r="BG478" s="1202"/>
    </row>
    <row r="479" spans="18:59">
      <c r="R479" s="1202"/>
      <c r="S479" s="1202"/>
      <c r="W479" s="1202"/>
      <c r="X479" s="1202"/>
      <c r="AE479" s="1202"/>
      <c r="AF479" s="1202"/>
      <c r="AV479" s="1202"/>
      <c r="AW479" s="1202"/>
      <c r="AX479" s="1202"/>
      <c r="AY479" s="1202"/>
      <c r="AZ479" s="1202"/>
      <c r="BA479" s="1202"/>
      <c r="BC479" s="1202"/>
      <c r="BE479" s="1202"/>
      <c r="BF479" s="1202"/>
      <c r="BG479" s="1202"/>
    </row>
    <row r="480" spans="18:59">
      <c r="R480" s="1202"/>
      <c r="S480" s="1202"/>
      <c r="W480" s="1202"/>
      <c r="X480" s="1202"/>
      <c r="AE480" s="1202"/>
      <c r="AF480" s="1202"/>
      <c r="AV480" s="1202"/>
      <c r="AW480" s="1202"/>
      <c r="AX480" s="1202"/>
      <c r="AY480" s="1202"/>
      <c r="AZ480" s="1202"/>
      <c r="BA480" s="1202"/>
      <c r="BC480" s="1202"/>
      <c r="BE480" s="1202"/>
      <c r="BF480" s="1202"/>
      <c r="BG480" s="1202"/>
    </row>
    <row r="481" spans="18:59">
      <c r="R481" s="1202"/>
      <c r="S481" s="1202"/>
      <c r="W481" s="1202"/>
      <c r="X481" s="1202"/>
      <c r="AE481" s="1202"/>
      <c r="AF481" s="1202"/>
      <c r="AV481" s="1202"/>
      <c r="AW481" s="1202"/>
      <c r="AX481" s="1202"/>
      <c r="AY481" s="1202"/>
      <c r="AZ481" s="1202"/>
      <c r="BA481" s="1202"/>
      <c r="BC481" s="1202"/>
      <c r="BE481" s="1202"/>
      <c r="BF481" s="1202"/>
      <c r="BG481" s="1202"/>
    </row>
    <row r="482" spans="18:59">
      <c r="R482" s="1202"/>
      <c r="S482" s="1202"/>
      <c r="W482" s="1202"/>
      <c r="X482" s="1202"/>
      <c r="AE482" s="1202"/>
      <c r="AF482" s="1202"/>
      <c r="AV482" s="1202"/>
      <c r="AW482" s="1202"/>
      <c r="AX482" s="1202"/>
      <c r="AY482" s="1202"/>
      <c r="AZ482" s="1202"/>
      <c r="BA482" s="1202"/>
      <c r="BC482" s="1202"/>
      <c r="BE482" s="1202"/>
      <c r="BF482" s="1202"/>
      <c r="BG482" s="1202"/>
    </row>
    <row r="483" spans="18:59">
      <c r="R483" s="1202"/>
      <c r="S483" s="1202"/>
      <c r="W483" s="1202"/>
      <c r="X483" s="1202"/>
      <c r="AE483" s="1202"/>
      <c r="AF483" s="1202"/>
      <c r="AV483" s="1202"/>
      <c r="AW483" s="1202"/>
      <c r="AX483" s="1202"/>
      <c r="AY483" s="1202"/>
      <c r="AZ483" s="1202"/>
      <c r="BA483" s="1202"/>
      <c r="BC483" s="1202"/>
      <c r="BE483" s="1202"/>
      <c r="BF483" s="1202"/>
      <c r="BG483" s="1202"/>
    </row>
    <row r="484" spans="18:59">
      <c r="R484" s="1202"/>
      <c r="S484" s="1202"/>
      <c r="W484" s="1202"/>
      <c r="X484" s="1202"/>
      <c r="AE484" s="1202"/>
      <c r="AF484" s="1202"/>
      <c r="AV484" s="1202"/>
      <c r="AW484" s="1202"/>
      <c r="AX484" s="1202"/>
      <c r="AY484" s="1202"/>
      <c r="AZ484" s="1202"/>
      <c r="BA484" s="1202"/>
      <c r="BC484" s="1202"/>
      <c r="BE484" s="1202"/>
      <c r="BF484" s="1202"/>
      <c r="BG484" s="1202"/>
    </row>
    <row r="485" spans="18:59">
      <c r="R485" s="1202"/>
      <c r="S485" s="1202"/>
      <c r="W485" s="1202"/>
      <c r="X485" s="1202"/>
      <c r="AE485" s="1202"/>
      <c r="AF485" s="1202"/>
      <c r="AV485" s="1202"/>
      <c r="AW485" s="1202"/>
      <c r="AX485" s="1202"/>
      <c r="AY485" s="1202"/>
      <c r="AZ485" s="1202"/>
      <c r="BA485" s="1202"/>
      <c r="BC485" s="1202"/>
      <c r="BE485" s="1202"/>
      <c r="BF485" s="1202"/>
      <c r="BG485" s="1202"/>
    </row>
    <row r="486" spans="18:59">
      <c r="R486" s="1202"/>
      <c r="S486" s="1202"/>
      <c r="W486" s="1202"/>
      <c r="X486" s="1202"/>
      <c r="AE486" s="1202"/>
      <c r="AF486" s="1202"/>
      <c r="AV486" s="1202"/>
      <c r="AW486" s="1202"/>
      <c r="AX486" s="1202"/>
      <c r="AY486" s="1202"/>
      <c r="AZ486" s="1202"/>
      <c r="BA486" s="1202"/>
      <c r="BC486" s="1202"/>
      <c r="BE486" s="1202"/>
      <c r="BF486" s="1202"/>
      <c r="BG486" s="1202"/>
    </row>
    <row r="487" spans="18:59">
      <c r="R487" s="1202"/>
      <c r="S487" s="1202"/>
      <c r="W487" s="1202"/>
      <c r="X487" s="1202"/>
      <c r="AE487" s="1202"/>
      <c r="AF487" s="1202"/>
      <c r="AV487" s="1202"/>
      <c r="AW487" s="1202"/>
      <c r="AX487" s="1202"/>
      <c r="AY487" s="1202"/>
      <c r="AZ487" s="1202"/>
      <c r="BA487" s="1202"/>
      <c r="BC487" s="1202"/>
      <c r="BE487" s="1202"/>
      <c r="BF487" s="1202"/>
      <c r="BG487" s="1202"/>
    </row>
    <row r="488" spans="18:59">
      <c r="R488" s="1202"/>
      <c r="S488" s="1202"/>
      <c r="W488" s="1202"/>
      <c r="X488" s="1202"/>
      <c r="AE488" s="1202"/>
      <c r="AF488" s="1202"/>
      <c r="AV488" s="1202"/>
      <c r="AW488" s="1202"/>
      <c r="AX488" s="1202"/>
      <c r="AY488" s="1202"/>
      <c r="AZ488" s="1202"/>
      <c r="BA488" s="1202"/>
      <c r="BC488" s="1202"/>
      <c r="BE488" s="1202"/>
      <c r="BF488" s="1202"/>
      <c r="BG488" s="1202"/>
    </row>
    <row r="489" spans="18:59">
      <c r="R489" s="1202"/>
      <c r="S489" s="1202"/>
      <c r="W489" s="1202"/>
      <c r="X489" s="1202"/>
      <c r="AE489" s="1202"/>
      <c r="AF489" s="1202"/>
      <c r="AV489" s="1202"/>
      <c r="AW489" s="1202"/>
      <c r="AX489" s="1202"/>
      <c r="AY489" s="1202"/>
      <c r="AZ489" s="1202"/>
      <c r="BA489" s="1202"/>
      <c r="BC489" s="1202"/>
      <c r="BE489" s="1202"/>
      <c r="BF489" s="1202"/>
      <c r="BG489" s="1202"/>
    </row>
    <row r="490" spans="18:59">
      <c r="R490" s="1202"/>
      <c r="S490" s="1202"/>
      <c r="W490" s="1202"/>
      <c r="X490" s="1202"/>
      <c r="AE490" s="1202"/>
      <c r="AF490" s="1202"/>
      <c r="AV490" s="1202"/>
      <c r="AW490" s="1202"/>
      <c r="AX490" s="1202"/>
      <c r="AY490" s="1202"/>
      <c r="AZ490" s="1202"/>
      <c r="BA490" s="1202"/>
      <c r="BC490" s="1202"/>
      <c r="BE490" s="1202"/>
      <c r="BF490" s="1202"/>
      <c r="BG490" s="1202"/>
    </row>
    <row r="491" spans="18:59">
      <c r="R491" s="1202"/>
      <c r="S491" s="1202"/>
      <c r="W491" s="1202"/>
      <c r="X491" s="1202"/>
      <c r="AE491" s="1202"/>
      <c r="AF491" s="1202"/>
      <c r="AV491" s="1202"/>
      <c r="AW491" s="1202"/>
      <c r="AX491" s="1202"/>
      <c r="AY491" s="1202"/>
      <c r="AZ491" s="1202"/>
      <c r="BA491" s="1202"/>
      <c r="BC491" s="1202"/>
      <c r="BE491" s="1202"/>
      <c r="BF491" s="1202"/>
      <c r="BG491" s="1202"/>
    </row>
    <row r="492" spans="18:59">
      <c r="R492" s="1202"/>
      <c r="S492" s="1202"/>
      <c r="W492" s="1202"/>
      <c r="X492" s="1202"/>
      <c r="AE492" s="1202"/>
      <c r="AF492" s="1202"/>
      <c r="AV492" s="1202"/>
      <c r="AW492" s="1202"/>
      <c r="AX492" s="1202"/>
      <c r="AY492" s="1202"/>
      <c r="AZ492" s="1202"/>
      <c r="BA492" s="1202"/>
      <c r="BC492" s="1202"/>
      <c r="BE492" s="1202"/>
      <c r="BF492" s="1202"/>
      <c r="BG492" s="1202"/>
    </row>
    <row r="493" spans="18:59">
      <c r="R493" s="1202"/>
      <c r="S493" s="1202"/>
      <c r="W493" s="1202"/>
      <c r="X493" s="1202"/>
      <c r="AE493" s="1202"/>
      <c r="AF493" s="1202"/>
      <c r="AV493" s="1202"/>
      <c r="AW493" s="1202"/>
      <c r="AX493" s="1202"/>
      <c r="AY493" s="1202"/>
      <c r="AZ493" s="1202"/>
      <c r="BA493" s="1202"/>
      <c r="BC493" s="1202"/>
      <c r="BE493" s="1202"/>
      <c r="BF493" s="1202"/>
      <c r="BG493" s="1202"/>
    </row>
    <row r="494" spans="18:59">
      <c r="R494" s="1202"/>
      <c r="S494" s="1202"/>
      <c r="W494" s="1202"/>
      <c r="X494" s="1202"/>
      <c r="AE494" s="1202"/>
      <c r="AF494" s="1202"/>
      <c r="AV494" s="1202"/>
      <c r="AW494" s="1202"/>
      <c r="AX494" s="1202"/>
      <c r="AY494" s="1202"/>
      <c r="AZ494" s="1202"/>
      <c r="BA494" s="1202"/>
      <c r="BC494" s="1202"/>
      <c r="BE494" s="1202"/>
      <c r="BF494" s="1202"/>
      <c r="BG494" s="1202"/>
    </row>
    <row r="495" spans="18:59">
      <c r="R495" s="1202"/>
      <c r="S495" s="1202"/>
      <c r="W495" s="1202"/>
      <c r="X495" s="1202"/>
      <c r="AE495" s="1202"/>
      <c r="AF495" s="1202"/>
      <c r="AV495" s="1202"/>
      <c r="AW495" s="1202"/>
      <c r="AX495" s="1202"/>
      <c r="AY495" s="1202"/>
      <c r="AZ495" s="1202"/>
      <c r="BA495" s="1202"/>
      <c r="BC495" s="1202"/>
      <c r="BE495" s="1202"/>
      <c r="BF495" s="1202"/>
      <c r="BG495" s="1202"/>
    </row>
    <row r="496" spans="18:59">
      <c r="R496" s="1202"/>
      <c r="S496" s="1202"/>
      <c r="W496" s="1202"/>
      <c r="X496" s="1202"/>
      <c r="AE496" s="1202"/>
      <c r="AF496" s="1202"/>
      <c r="AV496" s="1202"/>
      <c r="AW496" s="1202"/>
      <c r="AX496" s="1202"/>
      <c r="AY496" s="1202"/>
      <c r="AZ496" s="1202"/>
      <c r="BA496" s="1202"/>
      <c r="BC496" s="1202"/>
      <c r="BE496" s="1202"/>
      <c r="BF496" s="1202"/>
      <c r="BG496" s="1202"/>
    </row>
    <row r="497" spans="18:59">
      <c r="R497" s="1202"/>
      <c r="S497" s="1202"/>
      <c r="W497" s="1202"/>
      <c r="X497" s="1202"/>
      <c r="AE497" s="1202"/>
      <c r="AF497" s="1202"/>
      <c r="AV497" s="1202"/>
      <c r="AW497" s="1202"/>
      <c r="AX497" s="1202"/>
      <c r="AY497" s="1202"/>
      <c r="AZ497" s="1202"/>
      <c r="BA497" s="1202"/>
      <c r="BC497" s="1202"/>
      <c r="BE497" s="1202"/>
      <c r="BF497" s="1202"/>
      <c r="BG497" s="1202"/>
    </row>
    <row r="498" spans="18:59">
      <c r="R498" s="1202"/>
      <c r="S498" s="1202"/>
      <c r="W498" s="1202"/>
      <c r="X498" s="1202"/>
      <c r="AE498" s="1202"/>
      <c r="AF498" s="1202"/>
      <c r="AV498" s="1202"/>
      <c r="AW498" s="1202"/>
      <c r="AX498" s="1202"/>
      <c r="AY498" s="1202"/>
      <c r="AZ498" s="1202"/>
      <c r="BA498" s="1202"/>
      <c r="BC498" s="1202"/>
      <c r="BE498" s="1202"/>
      <c r="BF498" s="1202"/>
      <c r="BG498" s="1202"/>
    </row>
    <row r="499" spans="18:59">
      <c r="R499" s="1202"/>
      <c r="S499" s="1202"/>
      <c r="W499" s="1202"/>
      <c r="X499" s="1202"/>
      <c r="AE499" s="1202"/>
      <c r="AF499" s="1202"/>
      <c r="AV499" s="1202"/>
      <c r="AW499" s="1202"/>
      <c r="AX499" s="1202"/>
      <c r="AY499" s="1202"/>
      <c r="AZ499" s="1202"/>
      <c r="BA499" s="1202"/>
      <c r="BC499" s="1202"/>
      <c r="BE499" s="1202"/>
      <c r="BF499" s="1202"/>
      <c r="BG499" s="1202"/>
    </row>
    <row r="500" spans="18:59">
      <c r="R500" s="1202"/>
      <c r="S500" s="1202"/>
      <c r="W500" s="1202"/>
      <c r="X500" s="1202"/>
      <c r="AE500" s="1202"/>
      <c r="AF500" s="1202"/>
      <c r="AV500" s="1202"/>
      <c r="AW500" s="1202"/>
      <c r="AX500" s="1202"/>
      <c r="AY500" s="1202"/>
      <c r="AZ500" s="1202"/>
      <c r="BA500" s="1202"/>
      <c r="BC500" s="1202"/>
      <c r="BE500" s="1202"/>
      <c r="BF500" s="1202"/>
      <c r="BG500" s="1202"/>
    </row>
    <row r="501" spans="18:59">
      <c r="R501" s="1202"/>
      <c r="S501" s="1202"/>
      <c r="W501" s="1202"/>
      <c r="X501" s="1202"/>
      <c r="AE501" s="1202"/>
      <c r="AF501" s="1202"/>
      <c r="AV501" s="1202"/>
      <c r="AW501" s="1202"/>
      <c r="AX501" s="1202"/>
      <c r="AY501" s="1202"/>
      <c r="AZ501" s="1202"/>
      <c r="BA501" s="1202"/>
      <c r="BC501" s="1202"/>
      <c r="BE501" s="1202"/>
      <c r="BF501" s="1202"/>
      <c r="BG501" s="1202"/>
    </row>
    <row r="502" spans="18:59">
      <c r="R502" s="1202"/>
      <c r="S502" s="1202"/>
      <c r="W502" s="1202"/>
      <c r="X502" s="1202"/>
      <c r="AE502" s="1202"/>
      <c r="AF502" s="1202"/>
      <c r="AV502" s="1202"/>
      <c r="AW502" s="1202"/>
      <c r="AX502" s="1202"/>
      <c r="AY502" s="1202"/>
      <c r="AZ502" s="1202"/>
      <c r="BA502" s="1202"/>
      <c r="BC502" s="1202"/>
      <c r="BE502" s="1202"/>
      <c r="BF502" s="1202"/>
      <c r="BG502" s="1202"/>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cols>
    <col min="1" max="1" width="23.1796875" customWidth="1"/>
  </cols>
  <sheetData>
    <row r="1" spans="1:22">
      <c r="A1" s="1206" t="s">
        <v>726</v>
      </c>
      <c r="B1" s="1206"/>
      <c r="C1" s="1206"/>
      <c r="D1" s="1206"/>
    </row>
    <row r="2" spans="1:22">
      <c r="A2" t="s">
        <v>727</v>
      </c>
      <c r="B2" s="632">
        <v>2021</v>
      </c>
      <c r="C2" s="632">
        <v>2021</v>
      </c>
      <c r="D2" s="632">
        <v>2021</v>
      </c>
      <c r="E2" s="632">
        <v>2022</v>
      </c>
      <c r="F2" s="632">
        <v>2022</v>
      </c>
      <c r="G2" s="632">
        <v>2022</v>
      </c>
      <c r="H2" s="632">
        <v>2022</v>
      </c>
      <c r="I2" s="632">
        <v>2023</v>
      </c>
      <c r="J2" s="632">
        <v>2023</v>
      </c>
      <c r="K2" s="632">
        <v>2023</v>
      </c>
      <c r="L2" s="632">
        <v>2023</v>
      </c>
      <c r="M2" s="632">
        <v>2024</v>
      </c>
      <c r="N2" s="632">
        <v>2024</v>
      </c>
      <c r="O2" s="632">
        <v>2024</v>
      </c>
      <c r="P2" s="632">
        <v>2024</v>
      </c>
      <c r="Q2" s="632">
        <v>2025</v>
      </c>
      <c r="R2" s="632">
        <v>2025</v>
      </c>
      <c r="S2" s="632">
        <v>2025</v>
      </c>
      <c r="T2" s="632">
        <v>2025</v>
      </c>
      <c r="U2" s="632">
        <v>2026</v>
      </c>
    </row>
    <row r="3" spans="1:22">
      <c r="A3" s="917" t="s">
        <v>728</v>
      </c>
      <c r="B3" s="1207" t="s">
        <v>729</v>
      </c>
      <c r="C3" s="1207" t="s">
        <v>730</v>
      </c>
      <c r="D3" s="1207" t="s">
        <v>731</v>
      </c>
      <c r="E3" s="1207" t="s">
        <v>732</v>
      </c>
      <c r="F3" s="1207" t="s">
        <v>733</v>
      </c>
      <c r="G3" s="1207" t="s">
        <v>734</v>
      </c>
      <c r="H3" s="1207" t="s">
        <v>735</v>
      </c>
      <c r="I3" s="1207" t="s">
        <v>736</v>
      </c>
      <c r="J3" s="1207" t="s">
        <v>737</v>
      </c>
      <c r="K3" s="1207" t="s">
        <v>738</v>
      </c>
      <c r="L3" s="1207" t="s">
        <v>739</v>
      </c>
      <c r="M3" s="1207" t="s">
        <v>740</v>
      </c>
      <c r="N3" s="1207" t="s">
        <v>741</v>
      </c>
      <c r="O3" s="1207" t="s">
        <v>742</v>
      </c>
      <c r="P3" s="1207" t="s">
        <v>743</v>
      </c>
      <c r="Q3" s="1207" t="s">
        <v>744</v>
      </c>
      <c r="R3" s="1207" t="s">
        <v>745</v>
      </c>
      <c r="S3" s="1207" t="s">
        <v>746</v>
      </c>
      <c r="T3" s="1207" t="s">
        <v>747</v>
      </c>
      <c r="U3" s="1207" t="s">
        <v>748</v>
      </c>
    </row>
    <row r="4" spans="1:22">
      <c r="A4" s="917" t="s">
        <v>749</v>
      </c>
      <c r="B4" s="1207"/>
      <c r="C4" s="1207"/>
      <c r="D4" s="1207">
        <v>0</v>
      </c>
      <c r="E4" s="1207">
        <v>0</v>
      </c>
      <c r="F4" s="1207">
        <v>0.5</v>
      </c>
      <c r="G4" s="1207">
        <v>0.5</v>
      </c>
      <c r="H4" s="1207">
        <v>0</v>
      </c>
      <c r="I4" s="1207">
        <v>0</v>
      </c>
      <c r="J4" s="1207">
        <v>0</v>
      </c>
      <c r="K4" s="1207">
        <v>0</v>
      </c>
      <c r="L4" s="1207">
        <v>0</v>
      </c>
      <c r="M4" s="1207">
        <v>0</v>
      </c>
      <c r="N4" s="1207">
        <v>0</v>
      </c>
      <c r="O4" s="1207">
        <v>0</v>
      </c>
      <c r="P4" s="1207">
        <v>0</v>
      </c>
      <c r="Q4" s="1207">
        <v>0</v>
      </c>
      <c r="R4" s="1207">
        <v>0</v>
      </c>
      <c r="S4" s="1207">
        <v>0</v>
      </c>
      <c r="T4" s="1207">
        <v>0</v>
      </c>
      <c r="U4" s="1207">
        <v>0</v>
      </c>
    </row>
    <row r="5" spans="1:22">
      <c r="A5" s="917" t="s">
        <v>750</v>
      </c>
      <c r="B5" s="1207">
        <v>0.04</v>
      </c>
      <c r="C5" s="1207">
        <v>0.48</v>
      </c>
      <c r="D5" s="1207">
        <v>0.48</v>
      </c>
      <c r="E5" s="1207">
        <v>0</v>
      </c>
      <c r="F5" s="1207">
        <v>0</v>
      </c>
      <c r="G5" s="1207">
        <v>0</v>
      </c>
      <c r="H5" s="1207">
        <v>0</v>
      </c>
      <c r="I5" s="1207">
        <v>0</v>
      </c>
      <c r="J5" s="1207">
        <v>0</v>
      </c>
      <c r="K5" s="1207">
        <v>0</v>
      </c>
      <c r="L5" s="1207">
        <v>0</v>
      </c>
      <c r="M5" s="1207">
        <v>0</v>
      </c>
      <c r="N5" s="1207">
        <v>0</v>
      </c>
      <c r="O5" s="1207">
        <v>0</v>
      </c>
      <c r="P5" s="1207">
        <v>0</v>
      </c>
      <c r="Q5" s="1207">
        <v>0</v>
      </c>
      <c r="R5" s="1207">
        <v>0</v>
      </c>
      <c r="S5" s="1207">
        <v>0</v>
      </c>
      <c r="T5" s="1207">
        <v>0</v>
      </c>
      <c r="U5" s="1207">
        <v>0</v>
      </c>
    </row>
    <row r="6" spans="1:22">
      <c r="A6" s="917" t="s">
        <v>751</v>
      </c>
      <c r="B6" s="1207">
        <f>B8</f>
        <v>0</v>
      </c>
      <c r="C6" s="1207">
        <f>C8</f>
        <v>0.43</v>
      </c>
      <c r="D6" s="1207">
        <f t="shared" ref="D6:U6" si="0">D8</f>
        <v>0.56999999999999995</v>
      </c>
      <c r="E6" s="1207">
        <f t="shared" si="0"/>
        <v>0.25</v>
      </c>
      <c r="F6" s="1207">
        <f t="shared" si="0"/>
        <v>0.25</v>
      </c>
      <c r="G6" s="1207">
        <f t="shared" si="0"/>
        <v>0.25</v>
      </c>
      <c r="H6" s="1207">
        <f t="shared" si="0"/>
        <v>0.25</v>
      </c>
      <c r="I6" s="1207">
        <f t="shared" si="0"/>
        <v>0.25</v>
      </c>
      <c r="J6" s="1207">
        <f t="shared" si="0"/>
        <v>0.25</v>
      </c>
      <c r="K6" s="1207">
        <f t="shared" si="0"/>
        <v>0.25</v>
      </c>
      <c r="L6" s="1207">
        <f t="shared" si="0"/>
        <v>0.25</v>
      </c>
      <c r="M6" s="1207">
        <f t="shared" si="0"/>
        <v>0.25</v>
      </c>
      <c r="N6" s="1207">
        <f t="shared" si="0"/>
        <v>0.25</v>
      </c>
      <c r="O6" s="1207">
        <f t="shared" si="0"/>
        <v>0.25</v>
      </c>
      <c r="P6" s="1207">
        <f t="shared" si="0"/>
        <v>0.25</v>
      </c>
      <c r="Q6" s="1207">
        <f t="shared" si="0"/>
        <v>0.25</v>
      </c>
      <c r="R6" s="1207">
        <f t="shared" si="0"/>
        <v>0.25</v>
      </c>
      <c r="S6" s="1207">
        <f t="shared" si="0"/>
        <v>0.25</v>
      </c>
      <c r="T6" s="1207">
        <f t="shared" si="0"/>
        <v>0.25</v>
      </c>
      <c r="U6" s="1207">
        <f t="shared" si="0"/>
        <v>0.25</v>
      </c>
    </row>
    <row r="7" spans="1:22">
      <c r="A7" s="917" t="s">
        <v>752</v>
      </c>
      <c r="B7" s="1207">
        <v>0</v>
      </c>
      <c r="C7" s="1207">
        <v>0</v>
      </c>
      <c r="D7" s="1207">
        <v>1</v>
      </c>
      <c r="E7" s="1207">
        <v>0.25</v>
      </c>
      <c r="F7" s="1207">
        <v>0.25</v>
      </c>
      <c r="G7" s="1207">
        <v>0.25</v>
      </c>
      <c r="H7" s="1207">
        <v>0.25</v>
      </c>
      <c r="I7" s="1207">
        <v>0.25</v>
      </c>
      <c r="J7" s="1207">
        <v>0.25</v>
      </c>
      <c r="K7" s="1207">
        <v>0.25</v>
      </c>
      <c r="L7" s="1207">
        <v>0.25</v>
      </c>
      <c r="M7" s="1207">
        <v>0.25</v>
      </c>
      <c r="N7" s="1207">
        <v>0.25</v>
      </c>
      <c r="O7" s="1207">
        <v>0.25</v>
      </c>
      <c r="P7" s="1207">
        <v>0.25</v>
      </c>
      <c r="Q7" s="1207">
        <v>0.25</v>
      </c>
      <c r="R7" s="1207">
        <v>0.25</v>
      </c>
      <c r="S7" s="1207">
        <v>0.25</v>
      </c>
      <c r="T7" s="1207">
        <v>0.25</v>
      </c>
      <c r="U7" s="1207">
        <v>0.25</v>
      </c>
    </row>
    <row r="8" spans="1:22">
      <c r="A8" s="917" t="s">
        <v>753</v>
      </c>
      <c r="B8" s="1207">
        <v>0</v>
      </c>
      <c r="C8" s="1207">
        <v>0.43</v>
      </c>
      <c r="D8" s="1207">
        <v>0.56999999999999995</v>
      </c>
      <c r="E8" s="1207">
        <v>0.25</v>
      </c>
      <c r="F8" s="1207">
        <v>0.25</v>
      </c>
      <c r="G8" s="1207">
        <v>0.25</v>
      </c>
      <c r="H8" s="1207">
        <v>0.25</v>
      </c>
      <c r="I8" s="1207">
        <v>0.25</v>
      </c>
      <c r="J8" s="1207">
        <v>0.25</v>
      </c>
      <c r="K8" s="1207">
        <v>0.25</v>
      </c>
      <c r="L8" s="1207">
        <v>0.25</v>
      </c>
      <c r="M8" s="1207">
        <v>0.25</v>
      </c>
      <c r="N8" s="1207">
        <v>0.25</v>
      </c>
      <c r="O8" s="1207">
        <v>0.25</v>
      </c>
      <c r="P8" s="1207">
        <v>0.25</v>
      </c>
      <c r="Q8" s="1207">
        <v>0.25</v>
      </c>
      <c r="R8" s="1207">
        <v>0.25</v>
      </c>
      <c r="S8" s="1207">
        <v>0.25</v>
      </c>
      <c r="T8" s="1207">
        <v>0.25</v>
      </c>
      <c r="U8" s="1207">
        <v>0.25</v>
      </c>
    </row>
    <row r="9" spans="1:22" ht="27" customHeight="1">
      <c r="A9" s="917" t="s">
        <v>754</v>
      </c>
      <c r="B9" s="1207">
        <v>0</v>
      </c>
      <c r="C9" s="1207">
        <f>0.18</f>
        <v>0.18</v>
      </c>
      <c r="D9" s="1207">
        <f>1-C9</f>
        <v>0.82000000000000006</v>
      </c>
      <c r="E9" s="1207">
        <v>0.25</v>
      </c>
      <c r="F9" s="1207">
        <v>0.25</v>
      </c>
      <c r="G9" s="1207">
        <v>0.25</v>
      </c>
      <c r="H9" s="1207">
        <v>0.25</v>
      </c>
      <c r="I9" s="1207">
        <v>0.25</v>
      </c>
      <c r="J9" s="1207">
        <v>0.25</v>
      </c>
      <c r="K9" s="1207">
        <v>0.25</v>
      </c>
      <c r="L9" s="1207">
        <v>0.25</v>
      </c>
      <c r="M9" s="1207">
        <v>0.25</v>
      </c>
      <c r="N9" s="1207">
        <v>0.25</v>
      </c>
      <c r="O9" s="1207">
        <v>0.25</v>
      </c>
      <c r="P9" s="1207">
        <v>0.25</v>
      </c>
      <c r="Q9" s="1207">
        <v>0.25</v>
      </c>
      <c r="R9" s="1207">
        <v>0.25</v>
      </c>
      <c r="S9" s="1207">
        <v>0.25</v>
      </c>
      <c r="T9" s="1207">
        <v>0.25</v>
      </c>
      <c r="U9" s="1207">
        <v>0.25</v>
      </c>
    </row>
    <row r="10" spans="1:22">
      <c r="A10" s="917" t="s">
        <v>755</v>
      </c>
      <c r="B10" s="1207">
        <v>0</v>
      </c>
      <c r="C10" s="1207">
        <v>0.5</v>
      </c>
      <c r="D10" s="1207">
        <v>0.5</v>
      </c>
      <c r="E10" s="1207">
        <v>0.25</v>
      </c>
      <c r="F10" s="1207">
        <v>0.25</v>
      </c>
      <c r="G10" s="1207">
        <v>0.25</v>
      </c>
      <c r="H10" s="1207">
        <v>0.25</v>
      </c>
      <c r="I10" s="1207">
        <v>0.25</v>
      </c>
      <c r="J10" s="1207">
        <v>0.25</v>
      </c>
      <c r="K10" s="1207">
        <v>0.25</v>
      </c>
      <c r="L10" s="1207">
        <v>0.25</v>
      </c>
      <c r="M10" s="1207">
        <v>0.25</v>
      </c>
      <c r="N10" s="1207">
        <v>0.25</v>
      </c>
      <c r="O10" s="1207">
        <v>0.25</v>
      </c>
      <c r="P10" s="1207">
        <v>0.25</v>
      </c>
      <c r="Q10" s="1207">
        <v>0.25</v>
      </c>
      <c r="R10" s="1207">
        <v>0.25</v>
      </c>
      <c r="S10" s="1207">
        <v>0.25</v>
      </c>
      <c r="T10" s="1207">
        <v>0.25</v>
      </c>
      <c r="U10" s="1207">
        <v>0.25</v>
      </c>
    </row>
    <row r="11" spans="1:22">
      <c r="A11" s="917" t="s">
        <v>756</v>
      </c>
      <c r="B11" s="1207">
        <v>0</v>
      </c>
      <c r="C11" s="1207">
        <v>0.5</v>
      </c>
      <c r="D11" s="1207">
        <v>0.5</v>
      </c>
      <c r="E11" s="1207">
        <v>0.25</v>
      </c>
      <c r="F11" s="1207">
        <v>0.25</v>
      </c>
      <c r="G11" s="1207">
        <v>0.25</v>
      </c>
      <c r="H11" s="1207">
        <v>0.25</v>
      </c>
      <c r="I11" s="1207">
        <v>0.25</v>
      </c>
      <c r="J11" s="1207">
        <v>0.25</v>
      </c>
      <c r="K11" s="1207">
        <v>0.25</v>
      </c>
      <c r="L11" s="1207">
        <v>0.25</v>
      </c>
      <c r="M11" s="1207">
        <v>0.25</v>
      </c>
      <c r="N11" s="1207">
        <v>0.25</v>
      </c>
      <c r="O11" s="1207">
        <v>0.25</v>
      </c>
      <c r="P11" s="1207">
        <v>0.25</v>
      </c>
      <c r="Q11" s="1207">
        <v>0.25</v>
      </c>
      <c r="R11" s="1207">
        <v>0.25</v>
      </c>
      <c r="S11" s="1207">
        <v>0.25</v>
      </c>
      <c r="T11" s="1207">
        <v>0.25</v>
      </c>
      <c r="U11" s="1207">
        <v>0.25</v>
      </c>
    </row>
    <row r="12" spans="1:22" ht="14.25" customHeight="1">
      <c r="A12" s="917" t="s">
        <v>757</v>
      </c>
      <c r="B12" s="1207">
        <v>1</v>
      </c>
      <c r="C12" s="1207"/>
      <c r="D12" s="1207"/>
      <c r="E12" s="1207"/>
      <c r="F12" s="1207"/>
      <c r="G12" s="1207"/>
      <c r="H12" s="1207"/>
      <c r="I12" s="1207"/>
      <c r="J12" s="1207"/>
      <c r="K12" s="1207"/>
      <c r="L12" s="1207"/>
      <c r="M12" s="1207"/>
      <c r="N12" s="1207"/>
      <c r="O12" s="1207"/>
      <c r="P12" s="1207"/>
      <c r="Q12" s="1207"/>
      <c r="R12" s="1207"/>
      <c r="S12" s="1207"/>
      <c r="T12" s="1207"/>
      <c r="U12" s="1207"/>
    </row>
    <row r="13" spans="1:22">
      <c r="A13" s="917" t="s">
        <v>758</v>
      </c>
      <c r="B13" s="1207">
        <v>0</v>
      </c>
      <c r="C13" s="1207">
        <v>0.4</v>
      </c>
      <c r="D13" s="1207">
        <v>0.6</v>
      </c>
      <c r="E13" s="1207">
        <v>0.4</v>
      </c>
      <c r="F13" s="1207">
        <v>0.3</v>
      </c>
      <c r="G13" s="1207">
        <v>0.2</v>
      </c>
      <c r="H13" s="1207">
        <v>0.1</v>
      </c>
      <c r="I13" s="1207">
        <v>0.25</v>
      </c>
      <c r="J13" s="1207">
        <v>0.25</v>
      </c>
      <c r="K13" s="1207">
        <v>0.25</v>
      </c>
      <c r="L13" s="1207">
        <v>0.25</v>
      </c>
      <c r="M13" s="1207">
        <v>0.25</v>
      </c>
      <c r="N13" s="1207">
        <v>0.25</v>
      </c>
      <c r="O13" s="1207">
        <v>0.25</v>
      </c>
      <c r="P13" s="1207">
        <v>0.25</v>
      </c>
      <c r="Q13" s="1207">
        <v>0.25</v>
      </c>
      <c r="R13" s="1207">
        <v>0.25</v>
      </c>
      <c r="S13" s="1207">
        <v>0.25</v>
      </c>
      <c r="T13" s="1207">
        <v>0.25</v>
      </c>
      <c r="U13" s="1207">
        <v>0.25</v>
      </c>
    </row>
    <row r="14" spans="1:22">
      <c r="A14" s="917"/>
      <c r="B14" s="1207"/>
      <c r="C14" s="1207"/>
      <c r="D14" s="1207"/>
      <c r="E14" s="1207"/>
      <c r="F14" s="1207"/>
      <c r="G14" s="1207"/>
      <c r="H14" s="1207"/>
      <c r="I14" s="1207"/>
      <c r="J14" s="1207"/>
      <c r="K14" s="1207"/>
      <c r="L14" s="1207"/>
      <c r="M14" s="1207"/>
      <c r="N14" s="1207"/>
      <c r="O14" s="1207"/>
      <c r="P14" s="1207"/>
      <c r="Q14" s="1207"/>
      <c r="R14" s="1207"/>
      <c r="S14" s="1207"/>
      <c r="T14" s="1207"/>
      <c r="U14" s="1207"/>
    </row>
    <row r="15" spans="1:22" ht="27" customHeight="1">
      <c r="A15" s="1205" t="s">
        <v>759</v>
      </c>
      <c r="B15" s="1207">
        <v>1</v>
      </c>
      <c r="C15" s="1207">
        <v>2</v>
      </c>
      <c r="D15" s="1207">
        <v>3</v>
      </c>
      <c r="E15" s="1207">
        <v>4</v>
      </c>
      <c r="F15" s="1207">
        <v>5</v>
      </c>
      <c r="G15" s="1207">
        <v>6</v>
      </c>
      <c r="H15" s="1207">
        <v>7</v>
      </c>
      <c r="I15" s="1207">
        <v>8</v>
      </c>
      <c r="J15" s="1207">
        <v>9</v>
      </c>
      <c r="K15" s="1207">
        <v>10</v>
      </c>
      <c r="L15" s="1207">
        <v>11</v>
      </c>
      <c r="M15" s="1207">
        <v>12</v>
      </c>
      <c r="N15" s="1207">
        <v>13</v>
      </c>
      <c r="O15" s="1207">
        <v>14</v>
      </c>
      <c r="P15" s="1207">
        <v>15</v>
      </c>
      <c r="Q15" s="1207">
        <v>16</v>
      </c>
      <c r="R15" s="1207">
        <v>17</v>
      </c>
      <c r="S15" s="1207">
        <v>18</v>
      </c>
      <c r="T15" s="1207">
        <v>19</v>
      </c>
      <c r="U15" s="1207">
        <v>20</v>
      </c>
    </row>
    <row r="16" spans="1:22">
      <c r="A16" s="917" t="s">
        <v>760</v>
      </c>
      <c r="B16" s="1207">
        <v>7.0000000000000007E-2</v>
      </c>
      <c r="C16" s="1207">
        <v>7.0000000000000007E-2</v>
      </c>
      <c r="D16" s="1207">
        <v>4.9000000000000002E-2</v>
      </c>
      <c r="E16" s="1207">
        <v>4.9000000000000002E-2</v>
      </c>
      <c r="F16" s="1207">
        <v>4.9000000000000002E-2</v>
      </c>
      <c r="G16" s="1207">
        <v>4.9000000000000002E-2</v>
      </c>
      <c r="H16" s="1207">
        <v>4.9000000000000002E-2</v>
      </c>
      <c r="I16" s="1207">
        <v>4.9000000000000002E-2</v>
      </c>
      <c r="J16" s="1207">
        <v>4.9000000000000002E-2</v>
      </c>
      <c r="K16" s="1207">
        <v>4.9000000000000002E-2</v>
      </c>
      <c r="L16" s="1207">
        <v>4.9000000000000002E-2</v>
      </c>
      <c r="M16" s="1207">
        <v>4.9000000000000002E-2</v>
      </c>
      <c r="N16" s="1207">
        <f t="shared" ref="N16:T16" si="1">0.0475</f>
        <v>4.7500000000000001E-2</v>
      </c>
      <c r="O16" s="1207">
        <f t="shared" si="1"/>
        <v>4.7500000000000001E-2</v>
      </c>
      <c r="P16" s="1207">
        <f t="shared" si="1"/>
        <v>4.7500000000000001E-2</v>
      </c>
      <c r="Q16" s="1207">
        <f t="shared" si="1"/>
        <v>4.7500000000000001E-2</v>
      </c>
      <c r="R16" s="1207">
        <f t="shared" si="1"/>
        <v>4.7500000000000001E-2</v>
      </c>
      <c r="S16" s="1207">
        <f t="shared" si="1"/>
        <v>4.7500000000000001E-2</v>
      </c>
      <c r="T16" s="1207">
        <f t="shared" si="1"/>
        <v>4.7500000000000001E-2</v>
      </c>
      <c r="U16" s="1207">
        <f>0.0375</f>
        <v>3.7499999999999999E-2</v>
      </c>
      <c r="V16" s="1207">
        <f>SUM(B16:U16)</f>
        <v>0.99999999999999989</v>
      </c>
    </row>
    <row r="17" spans="1:23" ht="27" customHeight="1">
      <c r="A17" s="917"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7">
        <f>SUM(B17:U17)</f>
        <v>0.94000000000000006</v>
      </c>
      <c r="W17" t="s">
        <v>762</v>
      </c>
    </row>
    <row r="19" spans="1:23">
      <c r="B19" s="843" t="e">
        <f>'Federal and State Purchases'!#REF!</f>
        <v>#REF!</v>
      </c>
      <c r="C19" s="84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E6" sqref="E5:E6"/>
    </sheetView>
  </sheetViews>
  <sheetFormatPr defaultColWidth="10.81640625" defaultRowHeight="14.5"/>
  <cols>
    <col min="1" max="1" width="15.453125" customWidth="1"/>
    <col min="2" max="2" width="32.453125" customWidth="1"/>
  </cols>
  <sheetData>
    <row r="1" spans="1:23">
      <c r="A1" s="755" t="s">
        <v>763</v>
      </c>
      <c r="B1" s="755" t="s">
        <v>673</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c r="B2" s="755" t="s">
        <v>764</v>
      </c>
      <c r="C2" s="632" t="s">
        <v>250</v>
      </c>
      <c r="D2" s="632" t="s">
        <v>251</v>
      </c>
      <c r="E2" s="632" t="s">
        <v>180</v>
      </c>
      <c r="F2" s="632" t="s">
        <v>181</v>
      </c>
      <c r="G2" s="632" t="s">
        <v>182</v>
      </c>
      <c r="H2" s="632" t="s">
        <v>183</v>
      </c>
      <c r="I2" s="632" t="s">
        <v>184</v>
      </c>
      <c r="J2" s="632" t="s">
        <v>185</v>
      </c>
      <c r="K2" s="632" t="s">
        <v>186</v>
      </c>
      <c r="L2" s="632" t="s">
        <v>187</v>
      </c>
      <c r="M2" s="632" t="s">
        <v>188</v>
      </c>
      <c r="N2" s="632" t="s">
        <v>189</v>
      </c>
      <c r="O2" s="632" t="s">
        <v>190</v>
      </c>
      <c r="P2" s="632" t="s">
        <v>191</v>
      </c>
      <c r="Q2" s="632" t="s">
        <v>175</v>
      </c>
      <c r="R2" s="632" t="s">
        <v>176</v>
      </c>
      <c r="S2" s="632" t="s">
        <v>177</v>
      </c>
      <c r="T2" s="632" t="s">
        <v>765</v>
      </c>
      <c r="U2" s="632" t="s">
        <v>766</v>
      </c>
      <c r="V2" s="632" t="s">
        <v>767</v>
      </c>
    </row>
    <row r="3" spans="1:23">
      <c r="A3" s="755">
        <v>3</v>
      </c>
      <c r="B3" s="755" t="s">
        <v>528</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c r="A4" s="755">
        <v>5</v>
      </c>
      <c r="B4" s="33" t="s">
        <v>675</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c r="A5" s="755">
        <v>6</v>
      </c>
      <c r="B5" s="33" t="s">
        <v>676</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c r="A6" s="755">
        <v>7</v>
      </c>
      <c r="B6" s="33" t="s">
        <v>768</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c r="A8" s="755">
        <v>9</v>
      </c>
      <c r="B8" s="1210" t="s">
        <v>348</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c r="A10" s="1214">
        <v>11</v>
      </c>
      <c r="B10" s="1210" t="s">
        <v>364</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c r="A13" s="755">
        <v>15</v>
      </c>
      <c r="B13" s="755" t="s">
        <v>769</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c r="A14" s="755">
        <v>14</v>
      </c>
      <c r="B14" s="755" t="s">
        <v>770</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c r="A15" s="755">
        <v>14</v>
      </c>
      <c r="B15" s="755" t="s">
        <v>471</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c r="A17" s="755" t="s">
        <v>771</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c r="B18" s="521"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c r="B19" s="521" t="s">
        <v>772</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c r="B20" s="521"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c r="B21" s="757" t="s">
        <v>414</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c r="B22" s="757" t="s">
        <v>773</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c r="B23" s="521" t="s">
        <v>426</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c r="B24" s="521" t="s">
        <v>427</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c r="B25" s="521" t="s">
        <v>312</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c r="D26" s="1033">
        <f>D6-D25</f>
        <v>0</v>
      </c>
      <c r="E26" s="1033">
        <f t="shared" ref="E26:M26" si="40">E6-E25</f>
        <v>0</v>
      </c>
      <c r="F26" s="1033">
        <f t="shared" si="40"/>
        <v>0</v>
      </c>
      <c r="G26" s="1033">
        <f t="shared" si="40"/>
        <v>0</v>
      </c>
      <c r="H26" s="1033">
        <f t="shared" si="40"/>
        <v>0</v>
      </c>
      <c r="I26" s="1033">
        <f t="shared" si="40"/>
        <v>0</v>
      </c>
      <c r="J26" s="1033">
        <f t="shared" si="40"/>
        <v>0.36400000000000077</v>
      </c>
      <c r="K26" s="1033">
        <f t="shared" si="40"/>
        <v>0.36400000000000077</v>
      </c>
      <c r="L26" s="1033">
        <f t="shared" si="40"/>
        <v>0.36400000000000077</v>
      </c>
      <c r="M26" s="1033">
        <f t="shared" si="40"/>
        <v>0.36400000000000077</v>
      </c>
    </row>
    <row r="27" spans="1:23">
      <c r="B27" s="755" t="s">
        <v>774</v>
      </c>
      <c r="D27" s="632" t="s">
        <v>251</v>
      </c>
      <c r="E27" s="632" t="s">
        <v>180</v>
      </c>
      <c r="F27" s="632" t="s">
        <v>181</v>
      </c>
      <c r="G27" s="632" t="s">
        <v>182</v>
      </c>
      <c r="H27" s="632" t="s">
        <v>183</v>
      </c>
      <c r="I27" s="632" t="s">
        <v>184</v>
      </c>
      <c r="J27" s="632" t="s">
        <v>185</v>
      </c>
      <c r="K27" s="632" t="s">
        <v>186</v>
      </c>
      <c r="L27" s="632" t="s">
        <v>187</v>
      </c>
      <c r="M27" s="632" t="s">
        <v>188</v>
      </c>
      <c r="N27" s="632" t="s">
        <v>189</v>
      </c>
      <c r="O27" s="632" t="s">
        <v>190</v>
      </c>
      <c r="P27" s="632" t="s">
        <v>191</v>
      </c>
      <c r="Q27" s="632" t="s">
        <v>175</v>
      </c>
      <c r="R27" s="632" t="s">
        <v>176</v>
      </c>
      <c r="S27" s="632" t="s">
        <v>177</v>
      </c>
      <c r="T27" s="632" t="s">
        <v>765</v>
      </c>
      <c r="U27" s="632" t="s">
        <v>766</v>
      </c>
      <c r="V27" s="632" t="s">
        <v>767</v>
      </c>
    </row>
    <row r="28" spans="1:23">
      <c r="B28" s="33"/>
      <c r="C28" s="1033" t="s">
        <v>312</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c r="A29" s="755">
        <v>2021</v>
      </c>
      <c r="B29" s="33" t="s">
        <v>775</v>
      </c>
      <c r="C29" s="1033"/>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c r="B30" s="33" t="s">
        <v>331</v>
      </c>
      <c r="C30" s="1033"/>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c r="B31" s="33" t="s">
        <v>776</v>
      </c>
      <c r="C31" s="1033"/>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c r="A32" s="755">
        <v>2022</v>
      </c>
      <c r="B32" s="33" t="s">
        <v>240</v>
      </c>
      <c r="C32" s="1033"/>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c r="B33" s="33" t="s">
        <v>241</v>
      </c>
      <c r="C33" s="1033"/>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c r="B34" s="33" t="s">
        <v>331</v>
      </c>
      <c r="C34" s="1033"/>
      <c r="H34" s="1033"/>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c r="B35" s="33" t="s">
        <v>776</v>
      </c>
      <c r="C35" s="1033"/>
      <c r="H35" s="1033"/>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c r="A36" s="755">
        <v>2023</v>
      </c>
      <c r="B36" s="33" t="s">
        <v>240</v>
      </c>
      <c r="C36" s="1033"/>
      <c r="H36" s="1033"/>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c r="B37" s="33" t="s">
        <v>241</v>
      </c>
      <c r="C37" s="1033"/>
      <c r="H37" s="1033"/>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c r="B38" s="33" t="s">
        <v>331</v>
      </c>
      <c r="C38" s="1033"/>
      <c r="H38" s="1033"/>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c r="B39" s="33" t="s">
        <v>776</v>
      </c>
      <c r="C39" s="1033"/>
      <c r="H39" s="1033"/>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c r="A40" s="755">
        <v>2024</v>
      </c>
      <c r="B40" s="33" t="s">
        <v>240</v>
      </c>
      <c r="C40" s="1033"/>
      <c r="H40" s="1033"/>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c r="B41" s="33" t="s">
        <v>241</v>
      </c>
      <c r="C41" s="1033"/>
      <c r="H41" s="1033"/>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c r="B42" s="33" t="s">
        <v>331</v>
      </c>
      <c r="C42" s="1033"/>
      <c r="H42" s="1033"/>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c r="B43" s="33" t="s">
        <v>776</v>
      </c>
      <c r="C43" s="1033"/>
      <c r="H43" s="1033"/>
      <c r="R43" s="755">
        <f>($R$9+$R$10)*'ARP Timing'!B$16</f>
        <v>1.9374600000000002</v>
      </c>
      <c r="S43" s="755">
        <f>($R$9+$R$10)*'ARP Timing'!C$16</f>
        <v>1.9374600000000002</v>
      </c>
      <c r="T43" s="755">
        <f>($R$9+$R$10)*'ARP Timing'!D$16</f>
        <v>1.356222</v>
      </c>
      <c r="U43" s="755">
        <f>($R$9+$R$10)*'ARP Timing'!E$16</f>
        <v>1.356222</v>
      </c>
      <c r="V43" s="755">
        <f>($R$9+$R$10)*'ARP Timing'!F$16</f>
        <v>1.356222</v>
      </c>
    </row>
    <row r="44" spans="1:23">
      <c r="S44" s="755">
        <f>($S$9+$S$10)*'ARP Timing'!B$16</f>
        <v>1.9374600000000002</v>
      </c>
      <c r="T44" s="755">
        <f>($S$9+$S$10)*'ARP Timing'!C$16</f>
        <v>1.9374600000000002</v>
      </c>
      <c r="U44" s="755">
        <f>($S$9+$S$10)*'ARP Timing'!D$16</f>
        <v>1.356222</v>
      </c>
      <c r="V44" s="755">
        <f>($S$9+$S$10)*'ARP Timing'!E$16</f>
        <v>1.356222</v>
      </c>
    </row>
    <row r="46" spans="1:23">
      <c r="B46" s="755" t="s">
        <v>777</v>
      </c>
      <c r="D46" s="632" t="s">
        <v>251</v>
      </c>
      <c r="E46" s="632" t="s">
        <v>180</v>
      </c>
      <c r="F46" s="632" t="s">
        <v>181</v>
      </c>
      <c r="G46" s="632" t="s">
        <v>182</v>
      </c>
      <c r="H46" s="632" t="s">
        <v>183</v>
      </c>
      <c r="I46" s="632" t="s">
        <v>184</v>
      </c>
      <c r="J46" s="632" t="s">
        <v>185</v>
      </c>
      <c r="K46" s="632" t="s">
        <v>186</v>
      </c>
      <c r="L46" s="632" t="s">
        <v>187</v>
      </c>
      <c r="M46" s="632" t="s">
        <v>188</v>
      </c>
      <c r="N46" s="632" t="s">
        <v>189</v>
      </c>
      <c r="O46" s="632" t="s">
        <v>190</v>
      </c>
      <c r="P46" s="632" t="s">
        <v>191</v>
      </c>
      <c r="Q46" s="632" t="s">
        <v>175</v>
      </c>
      <c r="R46" s="632" t="s">
        <v>176</v>
      </c>
      <c r="S46" s="632" t="s">
        <v>177</v>
      </c>
      <c r="T46" s="632" t="s">
        <v>765</v>
      </c>
      <c r="U46" s="632" t="s">
        <v>766</v>
      </c>
      <c r="V46" s="632" t="s">
        <v>767</v>
      </c>
    </row>
    <row r="47" spans="1:23">
      <c r="B47" s="33"/>
      <c r="C47" s="1033" t="s">
        <v>312</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c r="A48" s="755">
        <v>2021</v>
      </c>
      <c r="B48" s="33" t="s">
        <v>775</v>
      </c>
      <c r="C48" s="1033"/>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c r="B49" s="33" t="s">
        <v>331</v>
      </c>
      <c r="C49" s="1033"/>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c r="B50" s="33" t="s">
        <v>776</v>
      </c>
      <c r="C50" s="1033"/>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c r="A51" s="755">
        <v>2022</v>
      </c>
      <c r="B51" s="33" t="s">
        <v>240</v>
      </c>
      <c r="C51" s="1033"/>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c r="B52" s="33" t="s">
        <v>241</v>
      </c>
      <c r="C52" s="1033"/>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c r="B53" s="33" t="s">
        <v>331</v>
      </c>
      <c r="C53" s="1033"/>
      <c r="H53" s="1033"/>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c r="B54" s="33" t="s">
        <v>776</v>
      </c>
      <c r="C54" s="1033"/>
      <c r="H54" s="1033"/>
    </row>
    <row r="55" spans="1:22">
      <c r="A55" s="755">
        <v>2023</v>
      </c>
      <c r="B55" s="33" t="s">
        <v>240</v>
      </c>
      <c r="C55" s="1033"/>
      <c r="H55" s="1033"/>
    </row>
    <row r="56" spans="1:22">
      <c r="B56" s="33" t="s">
        <v>241</v>
      </c>
      <c r="C56" s="1033"/>
      <c r="H56" s="1033"/>
    </row>
    <row r="57" spans="1:22">
      <c r="B57" s="33" t="s">
        <v>331</v>
      </c>
      <c r="C57" s="1033"/>
      <c r="H57" s="1033"/>
    </row>
    <row r="58" spans="1:22">
      <c r="B58" s="33" t="s">
        <v>776</v>
      </c>
      <c r="C58" s="1033"/>
      <c r="H58" s="1033"/>
    </row>
    <row r="59" spans="1:22">
      <c r="A59" s="755">
        <v>2024</v>
      </c>
      <c r="B59" s="33" t="s">
        <v>240</v>
      </c>
      <c r="C59" s="1033"/>
      <c r="H59" s="1033"/>
    </row>
    <row r="60" spans="1:22">
      <c r="B60" s="33" t="s">
        <v>241</v>
      </c>
      <c r="C60" s="1033"/>
      <c r="H60" s="1033"/>
    </row>
    <row r="61" spans="1:22">
      <c r="B61" s="33" t="s">
        <v>331</v>
      </c>
      <c r="C61" s="1033"/>
      <c r="H61" s="1033"/>
    </row>
    <row r="62" spans="1:22">
      <c r="B62" s="33" t="s">
        <v>776</v>
      </c>
      <c r="C62" s="1033"/>
      <c r="H62" s="1033"/>
    </row>
    <row r="63" spans="1:22">
      <c r="A63" t="s">
        <v>892</v>
      </c>
      <c r="B63" s="33"/>
      <c r="C63" s="1033"/>
      <c r="G63">
        <v>5</v>
      </c>
      <c r="H63" s="1033">
        <v>10</v>
      </c>
      <c r="I63">
        <v>15</v>
      </c>
      <c r="J63">
        <v>8</v>
      </c>
      <c r="K63">
        <v>0</v>
      </c>
      <c r="L63">
        <v>-10</v>
      </c>
      <c r="M63">
        <v>-10</v>
      </c>
      <c r="N63">
        <v>-10</v>
      </c>
      <c r="O63">
        <v>-8</v>
      </c>
    </row>
    <row r="64" spans="1:22">
      <c r="B64" s="33"/>
      <c r="C64" s="1033"/>
      <c r="H64" s="1033"/>
    </row>
    <row r="65" spans="2:24">
      <c r="B65" s="33"/>
      <c r="C65" s="1033"/>
      <c r="H65" s="1033"/>
    </row>
    <row r="66" spans="2:24">
      <c r="B66" s="33"/>
      <c r="C66" s="1033"/>
      <c r="H66" s="1033"/>
    </row>
    <row r="67" spans="2:24">
      <c r="B67" s="33"/>
      <c r="C67" s="1033"/>
      <c r="H67" s="1033"/>
    </row>
    <row r="68" spans="2:24">
      <c r="B68" s="33"/>
      <c r="C68" s="1033"/>
      <c r="H68" s="1033"/>
    </row>
    <row r="69" spans="2:24">
      <c r="B69" s="33"/>
      <c r="C69" s="1033"/>
      <c r="H69" s="1033"/>
    </row>
    <row r="70" spans="2:24">
      <c r="B70" s="33"/>
      <c r="C70" s="1033"/>
      <c r="H70" s="1033"/>
    </row>
    <row r="71" spans="2:24">
      <c r="B71" s="33"/>
      <c r="C71" s="1033"/>
      <c r="H71" s="1033"/>
    </row>
    <row r="72" spans="2:24">
      <c r="B72" s="33"/>
      <c r="C72" s="1033"/>
      <c r="H72" s="1033"/>
    </row>
    <row r="73" spans="2:24">
      <c r="B73" s="33" t="s">
        <v>778</v>
      </c>
      <c r="C73" s="1208">
        <v>2021</v>
      </c>
      <c r="D73" s="1208">
        <v>2022</v>
      </c>
      <c r="E73" s="1208">
        <v>2023</v>
      </c>
      <c r="F73" s="1208">
        <v>2024</v>
      </c>
      <c r="G73" s="1208">
        <v>2025</v>
      </c>
      <c r="H73" s="1033"/>
    </row>
    <row r="74" spans="2:24">
      <c r="B74" s="33" t="s">
        <v>675</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c r="B75" s="33" t="s">
        <v>676</v>
      </c>
      <c r="C75" s="1212">
        <f t="shared" si="43"/>
        <v>19.722000000000016</v>
      </c>
      <c r="D75" s="1212">
        <f t="shared" si="44"/>
        <v>52.756999999999998</v>
      </c>
      <c r="E75" s="1212">
        <f t="shared" si="45"/>
        <v>12</v>
      </c>
      <c r="F75" s="1212">
        <f t="shared" si="46"/>
        <v>4.2219999999999995</v>
      </c>
      <c r="G75" s="1212">
        <f t="shared" si="47"/>
        <v>2.3719999999999999</v>
      </c>
      <c r="H75" s="1033"/>
    </row>
    <row r="76" spans="2:24">
      <c r="B76" s="33" t="s">
        <v>52</v>
      </c>
      <c r="C76" s="1212">
        <f t="shared" si="43"/>
        <v>81.643000000000001</v>
      </c>
      <c r="D76" s="1212">
        <f t="shared" si="44"/>
        <v>110.24799999999999</v>
      </c>
      <c r="E76" s="1212">
        <f t="shared" si="45"/>
        <v>12.726000000000001</v>
      </c>
      <c r="F76" s="1212">
        <f t="shared" si="46"/>
        <v>1.365</v>
      </c>
      <c r="G76" s="1212">
        <f t="shared" si="47"/>
        <v>-0.90100000000000025</v>
      </c>
      <c r="H76" s="1033"/>
      <c r="O76" s="33"/>
      <c r="P76" s="33"/>
      <c r="Q76" s="33"/>
      <c r="R76" s="33"/>
      <c r="S76" s="1213"/>
      <c r="T76" s="1213"/>
      <c r="U76" s="1213"/>
      <c r="V76" s="14"/>
      <c r="W76" s="33"/>
      <c r="X76" s="33"/>
    </row>
    <row r="77" spans="2:24">
      <c r="B77" s="33" t="s">
        <v>131</v>
      </c>
      <c r="C77" s="1212">
        <f t="shared" si="43"/>
        <v>7.798</v>
      </c>
      <c r="D77" s="1212">
        <f t="shared" si="44"/>
        <v>7.9489999999999998</v>
      </c>
      <c r="E77" s="1212">
        <f t="shared" si="45"/>
        <v>4.7519999999999998</v>
      </c>
      <c r="F77" s="1212">
        <f t="shared" si="46"/>
        <v>4.637999999999999</v>
      </c>
      <c r="G77" s="1212">
        <f t="shared" si="47"/>
        <v>1.8800000000000001</v>
      </c>
      <c r="H77" s="1033"/>
    </row>
    <row r="78" spans="2:24">
      <c r="B78" s="1210" t="s">
        <v>348</v>
      </c>
      <c r="C78" s="1212">
        <f t="shared" si="43"/>
        <v>247.29179999999997</v>
      </c>
      <c r="D78" s="1212">
        <f t="shared" si="44"/>
        <v>164.8612</v>
      </c>
      <c r="E78" s="1212">
        <f t="shared" si="45"/>
        <v>0</v>
      </c>
      <c r="F78" s="1212">
        <f t="shared" si="46"/>
        <v>0</v>
      </c>
      <c r="G78" s="1212">
        <f t="shared" si="47"/>
        <v>0</v>
      </c>
      <c r="H78" s="1033"/>
      <c r="R78" s="1179"/>
      <c r="S78" s="1179"/>
    </row>
    <row r="79" spans="2:24">
      <c r="B79" s="1210" t="s">
        <v>150</v>
      </c>
      <c r="C79" s="1212">
        <f t="shared" si="43"/>
        <v>12.347</v>
      </c>
      <c r="D79" s="1212">
        <f t="shared" si="44"/>
        <v>46.79</v>
      </c>
      <c r="E79" s="1212">
        <f t="shared" si="45"/>
        <v>38.595999999999997</v>
      </c>
      <c r="F79" s="1212">
        <f t="shared" si="46"/>
        <v>31.911000000000001</v>
      </c>
      <c r="G79" s="1212">
        <f t="shared" si="47"/>
        <v>23.099</v>
      </c>
      <c r="H79" s="1033"/>
      <c r="R79" s="1179"/>
      <c r="S79" s="1179"/>
    </row>
    <row r="80" spans="2:24">
      <c r="B80" s="1210" t="s">
        <v>364</v>
      </c>
      <c r="C80" s="1212">
        <f t="shared" si="43"/>
        <v>29.628</v>
      </c>
      <c r="D80" s="1212">
        <f t="shared" si="44"/>
        <v>35.671000000000006</v>
      </c>
      <c r="E80" s="1212">
        <f t="shared" si="45"/>
        <v>24.216000000000001</v>
      </c>
      <c r="F80" s="1212">
        <f t="shared" si="46"/>
        <v>9.6430000000000007</v>
      </c>
      <c r="G80" s="1212">
        <f t="shared" si="47"/>
        <v>4.5789999999999997</v>
      </c>
      <c r="H80" s="1033"/>
      <c r="R80" s="1179"/>
      <c r="S80" s="1179"/>
    </row>
    <row r="81" spans="2:19">
      <c r="B81" s="14" t="s">
        <v>159</v>
      </c>
      <c r="C81" s="1212">
        <f t="shared" si="43"/>
        <v>25.75</v>
      </c>
      <c r="D81" s="1212">
        <f t="shared" si="44"/>
        <v>0</v>
      </c>
      <c r="E81" s="1212">
        <f t="shared" si="45"/>
        <v>0</v>
      </c>
      <c r="F81" s="1212">
        <f t="shared" si="46"/>
        <v>0</v>
      </c>
      <c r="G81" s="1212">
        <f t="shared" si="47"/>
        <v>0</v>
      </c>
      <c r="H81" s="1033"/>
      <c r="R81" s="1179"/>
      <c r="S81" s="1179"/>
    </row>
    <row r="82" spans="2:19">
      <c r="B82" s="33" t="s">
        <v>109</v>
      </c>
      <c r="C82" s="1212">
        <f t="shared" si="43"/>
        <v>31.939</v>
      </c>
      <c r="D82" s="1212">
        <f t="shared" si="44"/>
        <v>56.413000000000004</v>
      </c>
      <c r="E82" s="1212">
        <f t="shared" si="45"/>
        <v>15.652999999999999</v>
      </c>
      <c r="F82" s="1212">
        <f t="shared" si="46"/>
        <v>3.9320000000000004</v>
      </c>
      <c r="G82" s="1212">
        <f t="shared" si="47"/>
        <v>-0.74299999999999988</v>
      </c>
      <c r="R82" s="1179"/>
      <c r="S82" s="1179"/>
    </row>
    <row r="83" spans="2:19">
      <c r="B83" s="755" t="s">
        <v>769</v>
      </c>
      <c r="C83" s="1212">
        <f t="shared" si="43"/>
        <v>1.02</v>
      </c>
      <c r="D83" s="1212">
        <f t="shared" si="44"/>
        <v>1.5299999999999998</v>
      </c>
      <c r="E83" s="1212">
        <f t="shared" si="45"/>
        <v>0</v>
      </c>
      <c r="F83" s="1212">
        <f t="shared" si="46"/>
        <v>0</v>
      </c>
      <c r="G83" s="1212">
        <f t="shared" si="47"/>
        <v>0</v>
      </c>
      <c r="R83" s="1179"/>
      <c r="S83" s="1179"/>
    </row>
    <row r="84" spans="2:19">
      <c r="B84" s="755" t="s">
        <v>770</v>
      </c>
      <c r="C84" s="1212">
        <f t="shared" si="43"/>
        <v>0.67999999999999994</v>
      </c>
      <c r="D84" s="1212">
        <f t="shared" si="44"/>
        <v>1.02</v>
      </c>
      <c r="E84" s="1212">
        <f t="shared" si="45"/>
        <v>0</v>
      </c>
      <c r="F84" s="1212">
        <f t="shared" si="46"/>
        <v>0</v>
      </c>
      <c r="G84" s="1212">
        <f t="shared" si="47"/>
        <v>0</v>
      </c>
      <c r="R84" s="1179"/>
      <c r="S84" s="1179"/>
    </row>
    <row r="85" spans="2:19">
      <c r="B85" s="755" t="s">
        <v>471</v>
      </c>
      <c r="C85" s="1212">
        <f t="shared" si="43"/>
        <v>1.6999999999999997</v>
      </c>
      <c r="D85" s="1212">
        <f t="shared" si="44"/>
        <v>2.5499999999999998</v>
      </c>
      <c r="E85" s="1212">
        <f t="shared" si="45"/>
        <v>0</v>
      </c>
      <c r="F85" s="1212">
        <f t="shared" si="46"/>
        <v>0</v>
      </c>
      <c r="G85" s="1212">
        <f t="shared" si="47"/>
        <v>0</v>
      </c>
      <c r="R85" s="1179"/>
      <c r="S85" s="1179"/>
    </row>
    <row r="86" spans="2:19">
      <c r="C86" s="1208">
        <v>2021</v>
      </c>
      <c r="D86" s="1208">
        <v>2022</v>
      </c>
      <c r="E86" s="1208">
        <v>2023</v>
      </c>
      <c r="F86" s="1208">
        <v>2024</v>
      </c>
      <c r="G86" s="1208">
        <v>2025</v>
      </c>
      <c r="R86" s="1179"/>
      <c r="S86" s="1179"/>
    </row>
    <row r="87" spans="2:19">
      <c r="B87" s="755" t="s">
        <v>779</v>
      </c>
      <c r="C87" s="1211">
        <f>SUM(C83:C85)</f>
        <v>3.3999999999999995</v>
      </c>
      <c r="D87" s="1211">
        <f t="shared" ref="D87:G87" si="48">SUM(D83:D85)</f>
        <v>5.0999999999999996</v>
      </c>
      <c r="E87" s="1211">
        <f t="shared" si="48"/>
        <v>0</v>
      </c>
      <c r="F87" s="1211">
        <f t="shared" si="48"/>
        <v>0</v>
      </c>
      <c r="G87" s="1211">
        <f t="shared" si="48"/>
        <v>0</v>
      </c>
      <c r="R87" s="1179"/>
      <c r="S87" s="1179"/>
    </row>
    <row r="90" spans="2:19">
      <c r="B90" s="755" t="s">
        <v>675</v>
      </c>
      <c r="C90" s="1212">
        <v>26.636000000000024</v>
      </c>
      <c r="D90" s="1212">
        <v>98.978999999999999</v>
      </c>
      <c r="E90" s="1212">
        <v>2.1159999999999997</v>
      </c>
      <c r="F90" s="1212">
        <v>2.1789999999999998</v>
      </c>
      <c r="G90" s="1212">
        <v>2.33</v>
      </c>
      <c r="H90" s="1212"/>
      <c r="I90" s="1212"/>
      <c r="J90" s="1212"/>
      <c r="K90" s="1212"/>
      <c r="L90" s="1212"/>
      <c r="M90" s="1212"/>
    </row>
    <row r="91" spans="2:19">
      <c r="B91" s="755" t="s">
        <v>676</v>
      </c>
      <c r="C91" s="1212">
        <v>47.722000000000016</v>
      </c>
      <c r="D91" s="1212">
        <v>52.756999999999998</v>
      </c>
      <c r="E91" s="1212">
        <v>12</v>
      </c>
      <c r="F91" s="1212">
        <v>4.2219999999999995</v>
      </c>
      <c r="G91" s="1212">
        <v>2.3719999999999999</v>
      </c>
      <c r="H91" s="1212"/>
      <c r="I91" s="1212"/>
      <c r="J91" s="1212"/>
      <c r="K91" s="1212"/>
      <c r="L91" s="1212"/>
      <c r="M91" s="1212"/>
    </row>
    <row r="92" spans="2:19">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c r="B94" s="755" t="s">
        <v>348</v>
      </c>
      <c r="C94" s="1212">
        <v>283.95749999999998</v>
      </c>
      <c r="D94" s="1212">
        <v>77.092500000000001</v>
      </c>
      <c r="E94" s="1212">
        <v>1</v>
      </c>
      <c r="F94" s="1212">
        <v>0</v>
      </c>
      <c r="G94" s="1212">
        <v>0</v>
      </c>
      <c r="H94" s="1212"/>
      <c r="I94" s="1212"/>
      <c r="J94" s="1212"/>
      <c r="K94" s="1212"/>
      <c r="L94" s="1212"/>
      <c r="M94" s="1212"/>
    </row>
    <row r="95" spans="2:19">
      <c r="B95" s="755" t="s">
        <v>150</v>
      </c>
      <c r="C95" s="1212">
        <v>12.347</v>
      </c>
      <c r="D95" s="1212">
        <v>46.79</v>
      </c>
      <c r="E95" s="1212">
        <v>38.595999999999997</v>
      </c>
      <c r="F95" s="1212">
        <v>31.911000000000001</v>
      </c>
      <c r="G95" s="1212">
        <v>23.099</v>
      </c>
      <c r="H95" s="1212"/>
      <c r="I95" s="1212"/>
      <c r="J95" s="1212"/>
      <c r="K95" s="1212"/>
      <c r="L95" s="1212"/>
      <c r="M95" s="1212"/>
    </row>
    <row r="96" spans="2:19">
      <c r="B96" s="755" t="s">
        <v>364</v>
      </c>
      <c r="C96" s="1212">
        <v>2.286</v>
      </c>
      <c r="D96" s="1212">
        <v>4.6049999999999995</v>
      </c>
      <c r="E96" s="1212">
        <v>1.349</v>
      </c>
      <c r="F96" s="1212">
        <v>0.441</v>
      </c>
      <c r="G96" s="1212">
        <v>0.313</v>
      </c>
      <c r="H96" s="1212"/>
      <c r="I96" s="1212"/>
      <c r="J96" s="1212"/>
      <c r="K96" s="1212"/>
      <c r="L96" s="1212"/>
      <c r="M96" s="1212"/>
    </row>
    <row r="97" spans="2:13">
      <c r="B97" s="755" t="s">
        <v>159</v>
      </c>
      <c r="C97" s="1212">
        <v>25.75</v>
      </c>
      <c r="D97" s="1212">
        <v>0</v>
      </c>
      <c r="E97" s="1212">
        <v>0</v>
      </c>
      <c r="F97" s="1212">
        <v>0</v>
      </c>
      <c r="G97" s="1212">
        <v>0</v>
      </c>
      <c r="H97" s="1212"/>
      <c r="I97" s="1212"/>
      <c r="J97" s="1212"/>
      <c r="K97" s="1212"/>
      <c r="L97" s="1212"/>
      <c r="M97" s="1212"/>
    </row>
    <row r="98" spans="2:13">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sheetData>
    <row r="1" spans="1:12">
      <c r="A1" s="75" t="s">
        <v>1436</v>
      </c>
      <c r="B1" s="75" t="s">
        <v>1437</v>
      </c>
      <c r="C1" s="75" t="s">
        <v>1438</v>
      </c>
      <c r="D1" s="75" t="s">
        <v>1439</v>
      </c>
      <c r="E1" s="75" t="s">
        <v>1440</v>
      </c>
      <c r="F1" s="75" t="s">
        <v>1441</v>
      </c>
      <c r="G1" s="75" t="s">
        <v>925</v>
      </c>
      <c r="H1" s="75" t="s">
        <v>926</v>
      </c>
      <c r="I1" s="75" t="s">
        <v>927</v>
      </c>
      <c r="J1" s="75" t="s">
        <v>928</v>
      </c>
      <c r="K1" s="75" t="s">
        <v>929</v>
      </c>
      <c r="L1" s="75" t="s">
        <v>930</v>
      </c>
    </row>
    <row r="2" spans="1:12">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May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2024-06-28T20:14:58Z</dcterms:modified>
  <cp:category/>
  <cp:contentStatus/>
</cp:coreProperties>
</file>